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20" yWindow="-90" windowWidth="12270" windowHeight="10890" tabRatio="669" activeTab="2"/>
  </bookViews>
  <sheets>
    <sheet name="Méthode" sheetId="12" r:id="rId1"/>
    <sheet name="Inscrits" sheetId="7" r:id="rId2"/>
    <sheet name="1ère J." sheetId="1" r:id="rId3"/>
    <sheet name="2ème J." sheetId="11" r:id="rId4"/>
    <sheet name="3ème J." sheetId="13" r:id="rId5"/>
    <sheet name="4ème J." sheetId="14" r:id="rId6"/>
    <sheet name="5ème J." sheetId="15" r:id="rId7"/>
    <sheet name="6ème J." sheetId="16" r:id="rId8"/>
    <sheet name="Class. 1J." sheetId="9" state="hidden" r:id="rId9"/>
    <sheet name="Résultats" sheetId="6" state="hidden" r:id="rId10"/>
    <sheet name="Class. Final1" sheetId="17" r:id="rId11"/>
  </sheets>
  <externalReferences>
    <externalReference r:id="rId12"/>
  </externalReferences>
  <definedNames>
    <definedName name="_xlnm.Print_Area" localSheetId="2">'1ère J.'!$A$1:$Z$35</definedName>
    <definedName name="_xlnm.Print_Area" localSheetId="8">'Class. 1J.'!$A$1:$Y$71</definedName>
  </definedNames>
  <calcPr calcId="125725"/>
</workbook>
</file>

<file path=xl/calcChain.xml><?xml version="1.0" encoding="utf-8"?>
<calcChain xmlns="http://schemas.openxmlformats.org/spreadsheetml/2006/main">
  <c r="AE7" i="17"/>
  <c r="AE8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"/>
  <c r="BE10" i="16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BE10" i="15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BE10" i="14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BE10" i="13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BE10" i="11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BE10" i="1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9"/>
  <c r="U24"/>
  <c r="U20"/>
  <c r="U19"/>
  <c r="U18"/>
  <c r="U15"/>
  <c r="U14"/>
  <c r="U13"/>
  <c r="U12"/>
  <c r="U11"/>
  <c r="U26"/>
  <c r="V26"/>
  <c r="E10"/>
  <c r="E11"/>
  <c r="E12"/>
  <c r="G10"/>
  <c r="G11"/>
  <c r="BK3"/>
  <c r="K5"/>
  <c r="BO61" s="1"/>
  <c r="BO11" l="1"/>
  <c r="BO9"/>
  <c r="BO13"/>
  <c r="BO15"/>
  <c r="BO18"/>
  <c r="BO10"/>
  <c r="BO12"/>
  <c r="BO14"/>
  <c r="BO16"/>
  <c r="BO20"/>
  <c r="BO24"/>
  <c r="BO17"/>
  <c r="BO19"/>
  <c r="BO22"/>
  <c r="BO26"/>
  <c r="BO28"/>
  <c r="BO30"/>
  <c r="BO21"/>
  <c r="BO23"/>
  <c r="BO25"/>
  <c r="BO27"/>
  <c r="BO29"/>
  <c r="BO32"/>
  <c r="BO34"/>
  <c r="BO36"/>
  <c r="BO38"/>
  <c r="BO40"/>
  <c r="BO31"/>
  <c r="BO33"/>
  <c r="BO35"/>
  <c r="BO37"/>
  <c r="BO39"/>
  <c r="BO41"/>
  <c r="BO43"/>
  <c r="BO45"/>
  <c r="BO42"/>
  <c r="BO44"/>
  <c r="BO46"/>
  <c r="BO47"/>
  <c r="BO49"/>
  <c r="BO52"/>
  <c r="BO56"/>
  <c r="BO60"/>
  <c r="BO48"/>
  <c r="BO50"/>
  <c r="BO54"/>
  <c r="BO58"/>
  <c r="BO62"/>
  <c r="BO51"/>
  <c r="BO53"/>
  <c r="BO55"/>
  <c r="BO57"/>
  <c r="BO59"/>
  <c r="C12" l="1"/>
  <c r="C10"/>
  <c r="B21" i="7" a="1"/>
  <c r="B21" s="1"/>
  <c r="D21" a="1"/>
  <c r="D21" s="1"/>
  <c r="F21" a="1"/>
  <c r="F21"/>
  <c r="AP62" i="16" l="1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62" i="15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62" i="14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62" i="13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62" i="11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46" i="1"/>
  <c r="AP47"/>
  <c r="AP48"/>
  <c r="AP49"/>
  <c r="AP50"/>
  <c r="AP51"/>
  <c r="AP52"/>
  <c r="AP53"/>
  <c r="AP54"/>
  <c r="AP55"/>
  <c r="AP56"/>
  <c r="AP57"/>
  <c r="AP58"/>
  <c r="AP59"/>
  <c r="AP60"/>
  <c r="AP61"/>
  <c r="AP62"/>
  <c r="AP45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27"/>
  <c r="AP10"/>
  <c r="AP11"/>
  <c r="AP12"/>
  <c r="AP13"/>
  <c r="AP14"/>
  <c r="AP15"/>
  <c r="AP16"/>
  <c r="AP17"/>
  <c r="AP18"/>
  <c r="AP19"/>
  <c r="AP20"/>
  <c r="AP21"/>
  <c r="AP22"/>
  <c r="AP23"/>
  <c r="AP24"/>
  <c r="AP25"/>
  <c r="AP26"/>
  <c r="AP9"/>
  <c r="B43" i="17"/>
  <c r="B44"/>
  <c r="B45"/>
  <c r="B46"/>
  <c r="B47"/>
  <c r="B48"/>
  <c r="B49"/>
  <c r="B50"/>
  <c r="B51"/>
  <c r="B52"/>
  <c r="B53"/>
  <c r="B54"/>
  <c r="B55"/>
  <c r="B56"/>
  <c r="B57"/>
  <c r="B58"/>
  <c r="B59"/>
  <c r="B42"/>
  <c r="B25"/>
  <c r="B26"/>
  <c r="B27"/>
  <c r="B28"/>
  <c r="B29"/>
  <c r="B30"/>
  <c r="B31"/>
  <c r="B32"/>
  <c r="B33"/>
  <c r="B34"/>
  <c r="B35"/>
  <c r="B36"/>
  <c r="B37"/>
  <c r="B38"/>
  <c r="B39"/>
  <c r="B40"/>
  <c r="B41"/>
  <c r="B24"/>
  <c r="B7"/>
  <c r="B8"/>
  <c r="B9"/>
  <c r="B10"/>
  <c r="B11"/>
  <c r="B12"/>
  <c r="B13"/>
  <c r="B14"/>
  <c r="B15"/>
  <c r="B16"/>
  <c r="B17"/>
  <c r="B18"/>
  <c r="B19"/>
  <c r="B20"/>
  <c r="B21"/>
  <c r="B22"/>
  <c r="B23"/>
  <c r="B6"/>
  <c r="C12" i="14" l="1"/>
  <c r="C18" i="13"/>
  <c r="C14" i="11"/>
  <c r="C16" i="13"/>
  <c r="C16" i="1"/>
  <c r="C15"/>
  <c r="G27" i="16" l="1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C14"/>
  <c r="G13"/>
  <c r="E13"/>
  <c r="C13"/>
  <c r="G12"/>
  <c r="E12"/>
  <c r="C12"/>
  <c r="G11"/>
  <c r="E11"/>
  <c r="C11"/>
  <c r="G10"/>
  <c r="E10"/>
  <c r="C10"/>
  <c r="G27" i="15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C14"/>
  <c r="G13"/>
  <c r="E13"/>
  <c r="C13"/>
  <c r="G12"/>
  <c r="E12"/>
  <c r="G11"/>
  <c r="E11"/>
  <c r="C11"/>
  <c r="G10"/>
  <c r="E10"/>
  <c r="C10"/>
  <c r="G27" i="14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C14"/>
  <c r="G13"/>
  <c r="E13"/>
  <c r="C13"/>
  <c r="G12"/>
  <c r="E12"/>
  <c r="G11"/>
  <c r="E11"/>
  <c r="C11"/>
  <c r="G10"/>
  <c r="E10"/>
  <c r="C10"/>
  <c r="G27" i="1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G15"/>
  <c r="E15"/>
  <c r="G14"/>
  <c r="E14"/>
  <c r="C14"/>
  <c r="G13"/>
  <c r="E13"/>
  <c r="C13"/>
  <c r="G12"/>
  <c r="C11"/>
  <c r="G27" i="11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G13"/>
  <c r="E13"/>
  <c r="C13"/>
  <c r="G12"/>
  <c r="E12"/>
  <c r="C12"/>
  <c r="G11"/>
  <c r="E11"/>
  <c r="C11"/>
  <c r="G10"/>
  <c r="E10"/>
  <c r="C10"/>
  <c r="J10" s="1"/>
  <c r="O10" s="1"/>
  <c r="K26" l="1"/>
  <c r="J27" i="14"/>
  <c r="L27"/>
  <c r="Q27" s="1"/>
  <c r="J27" i="16"/>
  <c r="L27"/>
  <c r="Q27" s="1"/>
  <c r="K26" i="1"/>
  <c r="J27"/>
  <c r="L27"/>
  <c r="Q27" s="1"/>
  <c r="J26" i="11"/>
  <c r="O26" s="1"/>
  <c r="L26"/>
  <c r="Q26" s="1"/>
  <c r="J27"/>
  <c r="L27"/>
  <c r="Q27" s="1"/>
  <c r="L10"/>
  <c r="Q10" s="1"/>
  <c r="K26" i="14"/>
  <c r="K10"/>
  <c r="P10" s="1"/>
  <c r="K14"/>
  <c r="K26" i="16"/>
  <c r="K10"/>
  <c r="K26" i="15"/>
  <c r="J27"/>
  <c r="L27"/>
  <c r="Q27" s="1"/>
  <c r="J10" i="16"/>
  <c r="L10"/>
  <c r="P10"/>
  <c r="K11"/>
  <c r="P11" s="1"/>
  <c r="J12"/>
  <c r="L12"/>
  <c r="K13"/>
  <c r="J14"/>
  <c r="L14"/>
  <c r="K15"/>
  <c r="J16"/>
  <c r="L16"/>
  <c r="K17"/>
  <c r="J18"/>
  <c r="L18"/>
  <c r="K19"/>
  <c r="J20"/>
  <c r="L20"/>
  <c r="K21"/>
  <c r="J22"/>
  <c r="L22"/>
  <c r="Q22" s="1"/>
  <c r="K23"/>
  <c r="J24"/>
  <c r="O24" s="1"/>
  <c r="L24"/>
  <c r="K25"/>
  <c r="J26"/>
  <c r="O26" s="1"/>
  <c r="L26"/>
  <c r="Q26" s="1"/>
  <c r="K27"/>
  <c r="J11"/>
  <c r="L11"/>
  <c r="K12"/>
  <c r="J13"/>
  <c r="L13"/>
  <c r="K14"/>
  <c r="J15"/>
  <c r="L15"/>
  <c r="K16"/>
  <c r="J17"/>
  <c r="L17"/>
  <c r="K18"/>
  <c r="J19"/>
  <c r="L19"/>
  <c r="K20"/>
  <c r="J21"/>
  <c r="L21"/>
  <c r="K22"/>
  <c r="J23"/>
  <c r="L23"/>
  <c r="K24"/>
  <c r="J25"/>
  <c r="L25"/>
  <c r="Q25" s="1"/>
  <c r="J10" i="15"/>
  <c r="L10"/>
  <c r="K11"/>
  <c r="P11" s="1"/>
  <c r="J12"/>
  <c r="L12"/>
  <c r="K13"/>
  <c r="J14"/>
  <c r="L14"/>
  <c r="K15"/>
  <c r="J16"/>
  <c r="L16"/>
  <c r="K17"/>
  <c r="J18"/>
  <c r="L18"/>
  <c r="K19"/>
  <c r="J20"/>
  <c r="L20"/>
  <c r="K21"/>
  <c r="J22"/>
  <c r="L22"/>
  <c r="Q22" s="1"/>
  <c r="K23"/>
  <c r="J24"/>
  <c r="O24" s="1"/>
  <c r="L24"/>
  <c r="K25"/>
  <c r="O27" s="1"/>
  <c r="J26"/>
  <c r="O26" s="1"/>
  <c r="L26"/>
  <c r="Q26" s="1"/>
  <c r="K27"/>
  <c r="K10"/>
  <c r="J11"/>
  <c r="L11"/>
  <c r="K12"/>
  <c r="J13"/>
  <c r="L13"/>
  <c r="K14"/>
  <c r="J15"/>
  <c r="L15"/>
  <c r="K16"/>
  <c r="J17"/>
  <c r="L17"/>
  <c r="K18"/>
  <c r="J19"/>
  <c r="L19"/>
  <c r="K20"/>
  <c r="J21"/>
  <c r="L21"/>
  <c r="K22"/>
  <c r="J23"/>
  <c r="L23"/>
  <c r="K24"/>
  <c r="J25"/>
  <c r="L25"/>
  <c r="Q25" s="1"/>
  <c r="J11" i="14"/>
  <c r="L11"/>
  <c r="K12"/>
  <c r="J13"/>
  <c r="L13"/>
  <c r="J15"/>
  <c r="L15"/>
  <c r="J10"/>
  <c r="L10"/>
  <c r="K11"/>
  <c r="P11" s="1"/>
  <c r="J12"/>
  <c r="L12"/>
  <c r="K13"/>
  <c r="J14"/>
  <c r="L14"/>
  <c r="K15"/>
  <c r="J16"/>
  <c r="L16"/>
  <c r="K17"/>
  <c r="J18"/>
  <c r="L18"/>
  <c r="K19"/>
  <c r="J20"/>
  <c r="L20"/>
  <c r="K21"/>
  <c r="J22"/>
  <c r="L22"/>
  <c r="Q22" s="1"/>
  <c r="K23"/>
  <c r="J24"/>
  <c r="O24" s="1"/>
  <c r="L24"/>
  <c r="K25"/>
  <c r="J26"/>
  <c r="O26" s="1"/>
  <c r="L26"/>
  <c r="Q26" s="1"/>
  <c r="K27"/>
  <c r="K16"/>
  <c r="J17"/>
  <c r="L17"/>
  <c r="K18"/>
  <c r="J19"/>
  <c r="L19"/>
  <c r="K20"/>
  <c r="J21"/>
  <c r="L21"/>
  <c r="K22"/>
  <c r="J23"/>
  <c r="L23"/>
  <c r="K24"/>
  <c r="J25"/>
  <c r="L25"/>
  <c r="Q25" s="1"/>
  <c r="J10" i="1"/>
  <c r="O10" s="1"/>
  <c r="L10"/>
  <c r="K11"/>
  <c r="J12"/>
  <c r="L12"/>
  <c r="K13"/>
  <c r="J14"/>
  <c r="L14"/>
  <c r="K15"/>
  <c r="J16"/>
  <c r="L16"/>
  <c r="K17"/>
  <c r="J18"/>
  <c r="L18"/>
  <c r="K19"/>
  <c r="J20"/>
  <c r="L20"/>
  <c r="K21"/>
  <c r="J22"/>
  <c r="L22"/>
  <c r="Q22" s="1"/>
  <c r="K23"/>
  <c r="J24"/>
  <c r="O24" s="1"/>
  <c r="L24"/>
  <c r="K25"/>
  <c r="J26"/>
  <c r="O26" s="1"/>
  <c r="L26"/>
  <c r="Q26" s="1"/>
  <c r="K27"/>
  <c r="K10"/>
  <c r="J11"/>
  <c r="L11"/>
  <c r="K12"/>
  <c r="J13"/>
  <c r="L13"/>
  <c r="K14"/>
  <c r="J15"/>
  <c r="L15"/>
  <c r="K16"/>
  <c r="J17"/>
  <c r="L17"/>
  <c r="K18"/>
  <c r="J19"/>
  <c r="L19"/>
  <c r="K20"/>
  <c r="J21"/>
  <c r="L21"/>
  <c r="K22"/>
  <c r="J23"/>
  <c r="L23"/>
  <c r="K24"/>
  <c r="J25"/>
  <c r="L25"/>
  <c r="Q25" s="1"/>
  <c r="K11" i="11"/>
  <c r="P11" s="1"/>
  <c r="J12"/>
  <c r="L12"/>
  <c r="K13"/>
  <c r="J14"/>
  <c r="L14"/>
  <c r="K15"/>
  <c r="J16"/>
  <c r="L16"/>
  <c r="K17"/>
  <c r="J18"/>
  <c r="L18"/>
  <c r="K19"/>
  <c r="J20"/>
  <c r="L20"/>
  <c r="K21"/>
  <c r="J22"/>
  <c r="L22"/>
  <c r="Q22" s="1"/>
  <c r="K23"/>
  <c r="J24"/>
  <c r="O24" s="1"/>
  <c r="L24"/>
  <c r="K25"/>
  <c r="O27" s="1"/>
  <c r="R27" s="1"/>
  <c r="K27"/>
  <c r="K10"/>
  <c r="J11"/>
  <c r="L11"/>
  <c r="K12"/>
  <c r="J13"/>
  <c r="L13"/>
  <c r="K14"/>
  <c r="J15"/>
  <c r="L15"/>
  <c r="K16"/>
  <c r="J17"/>
  <c r="L17"/>
  <c r="K18"/>
  <c r="J19"/>
  <c r="L19"/>
  <c r="K20"/>
  <c r="J21"/>
  <c r="L21"/>
  <c r="K22"/>
  <c r="J23"/>
  <c r="R22" s="1"/>
  <c r="L23"/>
  <c r="K24"/>
  <c r="J25"/>
  <c r="R24" s="1"/>
  <c r="L25"/>
  <c r="Q25" s="1"/>
  <c r="R12" i="1" l="1"/>
  <c r="P10"/>
  <c r="Q10"/>
  <c r="P14" i="14"/>
  <c r="P11" i="1"/>
  <c r="O27"/>
  <c r="O27" i="14"/>
  <c r="P27"/>
  <c r="P27" i="15"/>
  <c r="S12" i="14"/>
  <c r="P27" i="1"/>
  <c r="S25" s="1"/>
  <c r="O27" i="16"/>
  <c r="Q24" i="1"/>
  <c r="P26"/>
  <c r="T24"/>
  <c r="T25"/>
  <c r="R24"/>
  <c r="P25"/>
  <c r="O25"/>
  <c r="R25" s="1"/>
  <c r="T23"/>
  <c r="S24"/>
  <c r="Q23"/>
  <c r="P24"/>
  <c r="T22"/>
  <c r="P23"/>
  <c r="Q21"/>
  <c r="O23"/>
  <c r="P22"/>
  <c r="S23" s="1"/>
  <c r="Q20"/>
  <c r="R26" i="11"/>
  <c r="P27"/>
  <c r="S25" s="1"/>
  <c r="Q24"/>
  <c r="P26"/>
  <c r="T24"/>
  <c r="T25"/>
  <c r="P25"/>
  <c r="O25"/>
  <c r="R25" s="1"/>
  <c r="Q23"/>
  <c r="P24"/>
  <c r="T23"/>
  <c r="S24"/>
  <c r="T20"/>
  <c r="T22"/>
  <c r="P23"/>
  <c r="Q21"/>
  <c r="O23"/>
  <c r="R23" s="1"/>
  <c r="P22"/>
  <c r="Q20"/>
  <c r="T19"/>
  <c r="Q24" i="14"/>
  <c r="P26"/>
  <c r="T24"/>
  <c r="T25"/>
  <c r="P25"/>
  <c r="R24"/>
  <c r="O25"/>
  <c r="R25" s="1"/>
  <c r="S25"/>
  <c r="Q23"/>
  <c r="P24"/>
  <c r="T20" s="1"/>
  <c r="T23"/>
  <c r="S24"/>
  <c r="T22"/>
  <c r="O23"/>
  <c r="R23" s="1"/>
  <c r="P23"/>
  <c r="S22" s="1"/>
  <c r="Q21"/>
  <c r="P22"/>
  <c r="Q20"/>
  <c r="P27" i="16"/>
  <c r="T22" s="1"/>
  <c r="Q24"/>
  <c r="P26"/>
  <c r="T24"/>
  <c r="T25"/>
  <c r="O23"/>
  <c r="R23" s="1"/>
  <c r="R24"/>
  <c r="O25"/>
  <c r="R25" s="1"/>
  <c r="S25"/>
  <c r="P25"/>
  <c r="Q23"/>
  <c r="P24"/>
  <c r="T23"/>
  <c r="S24"/>
  <c r="T20"/>
  <c r="P23"/>
  <c r="Q21"/>
  <c r="P22"/>
  <c r="Q20"/>
  <c r="Q24" i="15"/>
  <c r="P26"/>
  <c r="T24"/>
  <c r="T25"/>
  <c r="R24"/>
  <c r="P25"/>
  <c r="O25"/>
  <c r="R25" s="1"/>
  <c r="S25"/>
  <c r="T23"/>
  <c r="S24"/>
  <c r="Q23"/>
  <c r="P24"/>
  <c r="T20" s="1"/>
  <c r="T22"/>
  <c r="P23"/>
  <c r="Q21"/>
  <c r="O23"/>
  <c r="R23" s="1"/>
  <c r="P22"/>
  <c r="Q20"/>
  <c r="P20" i="16"/>
  <c r="O19"/>
  <c r="R18"/>
  <c r="Q17"/>
  <c r="P16"/>
  <c r="O15"/>
  <c r="R14"/>
  <c r="Q13"/>
  <c r="P12"/>
  <c r="O11"/>
  <c r="P21"/>
  <c r="S20" s="1"/>
  <c r="O20"/>
  <c r="R19"/>
  <c r="Q18"/>
  <c r="P17"/>
  <c r="T14" s="1"/>
  <c r="O16"/>
  <c r="Q14"/>
  <c r="P13"/>
  <c r="S11" s="1"/>
  <c r="O12"/>
  <c r="R11"/>
  <c r="O10"/>
  <c r="R22"/>
  <c r="O21"/>
  <c r="R20"/>
  <c r="Q19"/>
  <c r="T16"/>
  <c r="P18"/>
  <c r="S16" s="1"/>
  <c r="O17"/>
  <c r="R16"/>
  <c r="Q15"/>
  <c r="S12"/>
  <c r="P14"/>
  <c r="S15" s="1"/>
  <c r="O13"/>
  <c r="R12" s="1"/>
  <c r="S22"/>
  <c r="Q11"/>
  <c r="O22"/>
  <c r="R21"/>
  <c r="P19"/>
  <c r="S19" s="1"/>
  <c r="S17"/>
  <c r="O18"/>
  <c r="R17"/>
  <c r="Q16"/>
  <c r="T13"/>
  <c r="P15"/>
  <c r="T11" s="1"/>
  <c r="O14"/>
  <c r="R13"/>
  <c r="Q12"/>
  <c r="S23"/>
  <c r="T19"/>
  <c r="Q10"/>
  <c r="S13" s="1"/>
  <c r="P20" i="15"/>
  <c r="O19"/>
  <c r="R18" s="1"/>
  <c r="Q17"/>
  <c r="P16"/>
  <c r="O15"/>
  <c r="R14"/>
  <c r="Q13"/>
  <c r="P12"/>
  <c r="O11"/>
  <c r="O22"/>
  <c r="P19"/>
  <c r="S17"/>
  <c r="O18"/>
  <c r="Q16"/>
  <c r="T13"/>
  <c r="P15"/>
  <c r="O14"/>
  <c r="Q12"/>
  <c r="S23"/>
  <c r="O10"/>
  <c r="R26" s="1"/>
  <c r="R22"/>
  <c r="O21"/>
  <c r="R21" s="1"/>
  <c r="R20"/>
  <c r="Q19"/>
  <c r="P18"/>
  <c r="S16" s="1"/>
  <c r="O17"/>
  <c r="R17" s="1"/>
  <c r="R16"/>
  <c r="Q15"/>
  <c r="T12"/>
  <c r="P14"/>
  <c r="O13"/>
  <c r="R10" s="1"/>
  <c r="Q11"/>
  <c r="S21"/>
  <c r="P10"/>
  <c r="S22" s="1"/>
  <c r="P21"/>
  <c r="S20" s="1"/>
  <c r="S19"/>
  <c r="O20"/>
  <c r="R19"/>
  <c r="Q18"/>
  <c r="T15"/>
  <c r="P17"/>
  <c r="T14" s="1"/>
  <c r="S15"/>
  <c r="O16"/>
  <c r="R15"/>
  <c r="Q14"/>
  <c r="P13"/>
  <c r="S11"/>
  <c r="O12"/>
  <c r="R13" s="1"/>
  <c r="R11"/>
  <c r="T19"/>
  <c r="Q10"/>
  <c r="S13" s="1"/>
  <c r="P20" i="14"/>
  <c r="O19"/>
  <c r="R18" s="1"/>
  <c r="Q17"/>
  <c r="P16"/>
  <c r="S14"/>
  <c r="P21"/>
  <c r="S20" s="1"/>
  <c r="O20"/>
  <c r="R19"/>
  <c r="Q18"/>
  <c r="P17"/>
  <c r="T14" s="1"/>
  <c r="O16"/>
  <c r="Q14"/>
  <c r="P13"/>
  <c r="S11" s="1"/>
  <c r="O12"/>
  <c r="R22"/>
  <c r="O10"/>
  <c r="O15"/>
  <c r="S15" s="1"/>
  <c r="R14"/>
  <c r="O13"/>
  <c r="Q11"/>
  <c r="O21"/>
  <c r="R20"/>
  <c r="Q19"/>
  <c r="P18"/>
  <c r="S16" s="1"/>
  <c r="O17"/>
  <c r="R16"/>
  <c r="O22"/>
  <c r="R21"/>
  <c r="P19"/>
  <c r="S19" s="1"/>
  <c r="S17"/>
  <c r="O18"/>
  <c r="R17"/>
  <c r="Q16"/>
  <c r="T13"/>
  <c r="P15"/>
  <c r="T11" s="1"/>
  <c r="O14"/>
  <c r="R13"/>
  <c r="S23"/>
  <c r="Q12"/>
  <c r="T19"/>
  <c r="Q10"/>
  <c r="Q15"/>
  <c r="Q13"/>
  <c r="T10"/>
  <c r="P12"/>
  <c r="S10"/>
  <c r="O11"/>
  <c r="R10"/>
  <c r="P20" i="1"/>
  <c r="O19"/>
  <c r="Q17"/>
  <c r="P16"/>
  <c r="O15"/>
  <c r="Q13"/>
  <c r="P12"/>
  <c r="O11"/>
  <c r="O22"/>
  <c r="P19"/>
  <c r="O18"/>
  <c r="Q16"/>
  <c r="P15"/>
  <c r="O14"/>
  <c r="Q12"/>
  <c r="R22"/>
  <c r="U21" s="1"/>
  <c r="O21"/>
  <c r="R20"/>
  <c r="Q19"/>
  <c r="P18"/>
  <c r="S16" s="1"/>
  <c r="O17"/>
  <c r="R16"/>
  <c r="Q15"/>
  <c r="P14"/>
  <c r="O13"/>
  <c r="Q11"/>
  <c r="P21"/>
  <c r="S20" s="1"/>
  <c r="O20"/>
  <c r="R19"/>
  <c r="Q18"/>
  <c r="P17"/>
  <c r="O16"/>
  <c r="Q14"/>
  <c r="P13"/>
  <c r="O12"/>
  <c r="T19"/>
  <c r="P20" i="11"/>
  <c r="O19"/>
  <c r="R18"/>
  <c r="Q17"/>
  <c r="P16"/>
  <c r="O15"/>
  <c r="R14"/>
  <c r="Q13"/>
  <c r="P12"/>
  <c r="O11"/>
  <c r="P10"/>
  <c r="O22"/>
  <c r="P19"/>
  <c r="S17"/>
  <c r="O18"/>
  <c r="Q16"/>
  <c r="T13"/>
  <c r="P15"/>
  <c r="S13"/>
  <c r="O14"/>
  <c r="Q12"/>
  <c r="S23"/>
  <c r="O21"/>
  <c r="R21" s="1"/>
  <c r="R20"/>
  <c r="Q19"/>
  <c r="P18"/>
  <c r="S21" s="1"/>
  <c r="O17"/>
  <c r="R17" s="1"/>
  <c r="R16"/>
  <c r="Q15"/>
  <c r="T12"/>
  <c r="S12"/>
  <c r="P14"/>
  <c r="O13"/>
  <c r="R12" s="1"/>
  <c r="S22"/>
  <c r="Q11"/>
  <c r="P21"/>
  <c r="S20" s="1"/>
  <c r="O20"/>
  <c r="R19"/>
  <c r="Q18"/>
  <c r="T15"/>
  <c r="P17"/>
  <c r="T14" s="1"/>
  <c r="S15"/>
  <c r="O16"/>
  <c r="R15" s="1"/>
  <c r="Q14"/>
  <c r="T11"/>
  <c r="P13"/>
  <c r="S11" s="1"/>
  <c r="O12"/>
  <c r="R13" s="1"/>
  <c r="R11"/>
  <c r="R23" i="1" l="1"/>
  <c r="U22" s="1"/>
  <c r="R21"/>
  <c r="S17"/>
  <c r="S15"/>
  <c r="S11"/>
  <c r="S14"/>
  <c r="S10"/>
  <c r="S12"/>
  <c r="V10" s="1"/>
  <c r="T15"/>
  <c r="T16"/>
  <c r="T20"/>
  <c r="T17"/>
  <c r="T18"/>
  <c r="T14"/>
  <c r="T13"/>
  <c r="T12"/>
  <c r="S13"/>
  <c r="R18"/>
  <c r="U17" s="1"/>
  <c r="S19"/>
  <c r="R10"/>
  <c r="R11"/>
  <c r="U10" s="1"/>
  <c r="R13"/>
  <c r="R15"/>
  <c r="R14"/>
  <c r="T11"/>
  <c r="T10"/>
  <c r="W21" s="1"/>
  <c r="R17"/>
  <c r="U16" s="1"/>
  <c r="S21"/>
  <c r="V19" s="1"/>
  <c r="R26" i="16"/>
  <c r="R26" i="14"/>
  <c r="S13"/>
  <c r="R15" i="16"/>
  <c r="T16" i="11"/>
  <c r="S19"/>
  <c r="S22" i="1"/>
  <c r="R26"/>
  <c r="U25" s="1"/>
  <c r="R10" i="16"/>
  <c r="U10" s="1"/>
  <c r="S14"/>
  <c r="V12" s="1"/>
  <c r="T10"/>
  <c r="S10"/>
  <c r="V11" s="1"/>
  <c r="V14"/>
  <c r="T15"/>
  <c r="W13" s="1"/>
  <c r="T12"/>
  <c r="W27" s="1"/>
  <c r="T17"/>
  <c r="V10"/>
  <c r="S21"/>
  <c r="U21" s="1"/>
  <c r="S18"/>
  <c r="V16" s="1"/>
  <c r="V13"/>
  <c r="V17"/>
  <c r="W11"/>
  <c r="T18"/>
  <c r="W15" s="1"/>
  <c r="S12" i="15"/>
  <c r="S14"/>
  <c r="V13" s="1"/>
  <c r="S10"/>
  <c r="T11"/>
  <c r="T10"/>
  <c r="W12" s="1"/>
  <c r="T16"/>
  <c r="T17"/>
  <c r="W13"/>
  <c r="S18"/>
  <c r="V17" s="1"/>
  <c r="W11"/>
  <c r="V11"/>
  <c r="W10"/>
  <c r="V15"/>
  <c r="U15"/>
  <c r="V14"/>
  <c r="U16"/>
  <c r="T18"/>
  <c r="W14" s="1"/>
  <c r="R11" i="14"/>
  <c r="U10" s="1"/>
  <c r="R12"/>
  <c r="R15"/>
  <c r="T16"/>
  <c r="T21"/>
  <c r="R10" i="11"/>
  <c r="U26" s="1"/>
  <c r="T12" i="14"/>
  <c r="W27" s="1"/>
  <c r="V14"/>
  <c r="V20" i="15"/>
  <c r="U17"/>
  <c r="T15" i="14"/>
  <c r="W13" s="1"/>
  <c r="T17"/>
  <c r="V11"/>
  <c r="S18"/>
  <c r="W10"/>
  <c r="V16"/>
  <c r="S21"/>
  <c r="V15" s="1"/>
  <c r="U17"/>
  <c r="V10"/>
  <c r="V13"/>
  <c r="V12"/>
  <c r="W11"/>
  <c r="T18"/>
  <c r="T10" i="11"/>
  <c r="V19" s="1"/>
  <c r="S14"/>
  <c r="S10"/>
  <c r="V11" s="1"/>
  <c r="T17"/>
  <c r="S16"/>
  <c r="W13"/>
  <c r="S18"/>
  <c r="V16" s="1"/>
  <c r="U15"/>
  <c r="V14"/>
  <c r="U12"/>
  <c r="U16"/>
  <c r="U13"/>
  <c r="U17"/>
  <c r="W10"/>
  <c r="W11"/>
  <c r="T18"/>
  <c r="W15" s="1"/>
  <c r="S18" i="1"/>
  <c r="W17" i="16"/>
  <c r="U20"/>
  <c r="U19"/>
  <c r="U18"/>
  <c r="W26" i="1"/>
  <c r="T26"/>
  <c r="T27"/>
  <c r="R27"/>
  <c r="S26"/>
  <c r="V27" s="1"/>
  <c r="T21"/>
  <c r="S27"/>
  <c r="W26" i="11"/>
  <c r="W27"/>
  <c r="T26"/>
  <c r="T27"/>
  <c r="U11"/>
  <c r="U27"/>
  <c r="S26"/>
  <c r="V27" s="1"/>
  <c r="T21"/>
  <c r="W18" s="1"/>
  <c r="S27"/>
  <c r="V26" s="1"/>
  <c r="U14"/>
  <c r="W24"/>
  <c r="W25"/>
  <c r="V25"/>
  <c r="U25"/>
  <c r="V24"/>
  <c r="U22"/>
  <c r="U24"/>
  <c r="W22"/>
  <c r="W23"/>
  <c r="U21"/>
  <c r="V21"/>
  <c r="U23"/>
  <c r="V23"/>
  <c r="W21"/>
  <c r="W16"/>
  <c r="W19"/>
  <c r="U18"/>
  <c r="V22"/>
  <c r="U19"/>
  <c r="U20"/>
  <c r="V18"/>
  <c r="T26" i="14"/>
  <c r="W23" s="1"/>
  <c r="T27"/>
  <c r="W24" s="1"/>
  <c r="W25"/>
  <c r="W26"/>
  <c r="R27"/>
  <c r="U27" s="1"/>
  <c r="S27"/>
  <c r="V26" s="1"/>
  <c r="S26"/>
  <c r="V27" s="1"/>
  <c r="U12"/>
  <c r="U15"/>
  <c r="U13"/>
  <c r="U14"/>
  <c r="V21"/>
  <c r="U20"/>
  <c r="U19"/>
  <c r="U25"/>
  <c r="V25"/>
  <c r="U22"/>
  <c r="U24"/>
  <c r="U18"/>
  <c r="U11"/>
  <c r="W21"/>
  <c r="V22"/>
  <c r="W22"/>
  <c r="V20"/>
  <c r="U23"/>
  <c r="W18"/>
  <c r="U16"/>
  <c r="U21"/>
  <c r="V18"/>
  <c r="W19"/>
  <c r="W20"/>
  <c r="V23"/>
  <c r="W15"/>
  <c r="T26" i="16"/>
  <c r="T27"/>
  <c r="W26"/>
  <c r="R27"/>
  <c r="S26"/>
  <c r="V27" s="1"/>
  <c r="T21"/>
  <c r="W18" s="1"/>
  <c r="S27"/>
  <c r="U12"/>
  <c r="U15"/>
  <c r="U14"/>
  <c r="U13"/>
  <c r="W23"/>
  <c r="W21"/>
  <c r="U22"/>
  <c r="U24"/>
  <c r="U11"/>
  <c r="V21"/>
  <c r="V22"/>
  <c r="V20"/>
  <c r="U23"/>
  <c r="U17"/>
  <c r="W19"/>
  <c r="V23"/>
  <c r="V18"/>
  <c r="U16"/>
  <c r="T26" i="15"/>
  <c r="T27"/>
  <c r="W26"/>
  <c r="W27"/>
  <c r="R12"/>
  <c r="U11" s="1"/>
  <c r="R27"/>
  <c r="U27" s="1"/>
  <c r="S26"/>
  <c r="V27" s="1"/>
  <c r="U14"/>
  <c r="T21"/>
  <c r="S27"/>
  <c r="V26" s="1"/>
  <c r="W24"/>
  <c r="W25"/>
  <c r="U25"/>
  <c r="V19"/>
  <c r="U22"/>
  <c r="U24"/>
  <c r="W22"/>
  <c r="W23"/>
  <c r="V21"/>
  <c r="U23"/>
  <c r="V23"/>
  <c r="W21"/>
  <c r="W19"/>
  <c r="W20"/>
  <c r="U18"/>
  <c r="V22"/>
  <c r="U19"/>
  <c r="U21"/>
  <c r="W18"/>
  <c r="U20"/>
  <c r="V18"/>
  <c r="W23" i="1" l="1"/>
  <c r="W22"/>
  <c r="U23"/>
  <c r="V23"/>
  <c r="W17"/>
  <c r="W18"/>
  <c r="V13"/>
  <c r="W12"/>
  <c r="V20"/>
  <c r="W11"/>
  <c r="W10"/>
  <c r="W14"/>
  <c r="V12"/>
  <c r="V14"/>
  <c r="V15"/>
  <c r="W16"/>
  <c r="V11"/>
  <c r="V24"/>
  <c r="W15"/>
  <c r="V16"/>
  <c r="V17"/>
  <c r="W13"/>
  <c r="V22"/>
  <c r="W19"/>
  <c r="V25"/>
  <c r="V21"/>
  <c r="W20"/>
  <c r="V18"/>
  <c r="AE23"/>
  <c r="AE19"/>
  <c r="AE20"/>
  <c r="U27"/>
  <c r="V12" i="15"/>
  <c r="U25" i="16"/>
  <c r="W25"/>
  <c r="V15" i="11"/>
  <c r="V12"/>
  <c r="W20"/>
  <c r="V24" i="14"/>
  <c r="W24" i="16"/>
  <c r="V26"/>
  <c r="V19"/>
  <c r="W12"/>
  <c r="U27"/>
  <c r="W15" i="15"/>
  <c r="V16"/>
  <c r="W16"/>
  <c r="W14" i="16"/>
  <c r="W14" i="11"/>
  <c r="U10"/>
  <c r="V13"/>
  <c r="W27" i="1"/>
  <c r="W25"/>
  <c r="W24"/>
  <c r="W10" i="16"/>
  <c r="V15"/>
  <c r="W16"/>
  <c r="W20"/>
  <c r="V10" i="15"/>
  <c r="U10"/>
  <c r="U12"/>
  <c r="U13"/>
  <c r="W17"/>
  <c r="W12" i="14"/>
  <c r="V19"/>
  <c r="V24" i="15"/>
  <c r="V10" i="11"/>
  <c r="W16" i="14"/>
  <c r="W14"/>
  <c r="V25" i="15"/>
  <c r="V17" i="14"/>
  <c r="W17"/>
  <c r="W12" i="11"/>
  <c r="V17"/>
  <c r="W17"/>
  <c r="V20"/>
  <c r="W22" i="16"/>
  <c r="V25"/>
  <c r="V24"/>
  <c r="U26" i="15"/>
  <c r="U26" i="14"/>
  <c r="U26" i="16"/>
  <c r="AM79" l="1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AJ81"/>
  <c r="AJ80"/>
  <c r="AJ79"/>
  <c r="AE81"/>
  <c r="AE80"/>
  <c r="AE79"/>
  <c r="Z81"/>
  <c r="Z80"/>
  <c r="Z79"/>
  <c r="AJ77"/>
  <c r="AJ76"/>
  <c r="AJ75"/>
  <c r="AE77"/>
  <c r="AE76"/>
  <c r="AE75"/>
  <c r="Z77"/>
  <c r="Z76"/>
  <c r="Z75"/>
  <c r="AJ73"/>
  <c r="AJ72"/>
  <c r="AJ71"/>
  <c r="AE73"/>
  <c r="AE72"/>
  <c r="AE71"/>
  <c r="Z73"/>
  <c r="Z72"/>
  <c r="Z71"/>
  <c r="AJ69"/>
  <c r="AJ68"/>
  <c r="AJ67"/>
  <c r="AE69"/>
  <c r="AE68"/>
  <c r="AE67"/>
  <c r="Z69"/>
  <c r="Z68"/>
  <c r="Z67"/>
  <c r="AM23"/>
  <c r="AL23"/>
  <c r="AH23"/>
  <c r="AG23"/>
  <c r="AC23"/>
  <c r="AB23"/>
  <c r="AJ65"/>
  <c r="AE65"/>
  <c r="Z65"/>
  <c r="AJ61"/>
  <c r="AE61"/>
  <c r="Z61"/>
  <c r="AJ57"/>
  <c r="AE57"/>
  <c r="Z57"/>
  <c r="AJ53"/>
  <c r="AE53"/>
  <c r="Z53"/>
  <c r="AM19"/>
  <c r="AL19"/>
  <c r="AH19"/>
  <c r="AG19"/>
  <c r="AC19"/>
  <c r="AB19"/>
  <c r="AM15"/>
  <c r="AL15"/>
  <c r="AH15"/>
  <c r="AG15"/>
  <c r="AC15"/>
  <c r="AB15"/>
  <c r="AM11"/>
  <c r="AL11"/>
  <c r="AH11"/>
  <c r="AG11"/>
  <c r="AC11"/>
  <c r="AB11"/>
  <c r="Z12"/>
  <c r="S5"/>
  <c r="A5"/>
  <c r="AM79" i="15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AJ81"/>
  <c r="AJ80"/>
  <c r="AJ79"/>
  <c r="AE81"/>
  <c r="AE80"/>
  <c r="AE79"/>
  <c r="Z81"/>
  <c r="Z80"/>
  <c r="Z79"/>
  <c r="AJ77"/>
  <c r="AJ76"/>
  <c r="AJ75"/>
  <c r="AE77"/>
  <c r="AE76"/>
  <c r="AE75"/>
  <c r="Z77"/>
  <c r="Z76"/>
  <c r="Z75"/>
  <c r="AJ73"/>
  <c r="AJ72"/>
  <c r="AJ71"/>
  <c r="AE73"/>
  <c r="AE72"/>
  <c r="AE71"/>
  <c r="Z73"/>
  <c r="Z72"/>
  <c r="Z71"/>
  <c r="AJ69"/>
  <c r="AJ68"/>
  <c r="AJ67"/>
  <c r="AE69"/>
  <c r="AE68"/>
  <c r="AE67"/>
  <c r="Z69"/>
  <c r="Z68"/>
  <c r="Z67"/>
  <c r="AM23"/>
  <c r="AL23"/>
  <c r="AH23"/>
  <c r="AG23"/>
  <c r="AC23"/>
  <c r="AB23"/>
  <c r="AJ65"/>
  <c r="AE65"/>
  <c r="Z65"/>
  <c r="AJ61"/>
  <c r="AE61"/>
  <c r="Z61"/>
  <c r="AJ57"/>
  <c r="AE57"/>
  <c r="Z57"/>
  <c r="AJ53"/>
  <c r="AE53"/>
  <c r="Z53"/>
  <c r="AM19"/>
  <c r="AL19"/>
  <c r="AH19"/>
  <c r="AG19"/>
  <c r="AC19"/>
  <c r="AB19"/>
  <c r="AM15"/>
  <c r="AL15"/>
  <c r="AH15"/>
  <c r="AG15"/>
  <c r="AC15"/>
  <c r="AB15"/>
  <c r="AM11"/>
  <c r="AL11"/>
  <c r="AH11"/>
  <c r="AG11"/>
  <c r="AC11"/>
  <c r="AB11"/>
  <c r="Z12"/>
  <c r="S5"/>
  <c r="A5"/>
  <c r="AM79" i="14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AJ81"/>
  <c r="AJ80"/>
  <c r="AJ79"/>
  <c r="AE81"/>
  <c r="AE80"/>
  <c r="AE79"/>
  <c r="Z81"/>
  <c r="Z80"/>
  <c r="Z79"/>
  <c r="AJ77"/>
  <c r="AJ76"/>
  <c r="AJ75"/>
  <c r="AE77"/>
  <c r="AE76"/>
  <c r="AE75"/>
  <c r="Z77"/>
  <c r="Z76"/>
  <c r="Z75"/>
  <c r="AJ73"/>
  <c r="AJ72"/>
  <c r="AJ71"/>
  <c r="AE73"/>
  <c r="AE72"/>
  <c r="AE71"/>
  <c r="Z73"/>
  <c r="Z72"/>
  <c r="Z71"/>
  <c r="AJ69"/>
  <c r="AJ68"/>
  <c r="AJ67"/>
  <c r="AE69"/>
  <c r="AE68"/>
  <c r="AE67"/>
  <c r="Z69"/>
  <c r="Z68"/>
  <c r="Z67"/>
  <c r="AM23"/>
  <c r="AL23"/>
  <c r="AH23"/>
  <c r="AG23"/>
  <c r="AC23"/>
  <c r="AB23"/>
  <c r="AJ65"/>
  <c r="AE65"/>
  <c r="Z65"/>
  <c r="AJ61"/>
  <c r="AE61"/>
  <c r="Z61"/>
  <c r="AJ57"/>
  <c r="AE57"/>
  <c r="Z57"/>
  <c r="AJ53"/>
  <c r="AE53"/>
  <c r="Z53"/>
  <c r="AM19"/>
  <c r="AL19"/>
  <c r="AH19"/>
  <c r="AG19"/>
  <c r="AC19"/>
  <c r="AB19"/>
  <c r="AM15"/>
  <c r="AL15"/>
  <c r="AH15"/>
  <c r="AG15"/>
  <c r="AC15"/>
  <c r="AB15"/>
  <c r="AM11"/>
  <c r="AL11"/>
  <c r="AH11"/>
  <c r="AG11"/>
  <c r="AC11"/>
  <c r="AB11"/>
  <c r="S5"/>
  <c r="A5"/>
  <c r="AM79" i="13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G27"/>
  <c r="E27"/>
  <c r="C27"/>
  <c r="G26"/>
  <c r="E26"/>
  <c r="C26"/>
  <c r="G25"/>
  <c r="E25"/>
  <c r="C25"/>
  <c r="G24"/>
  <c r="E24"/>
  <c r="C24"/>
  <c r="AM23"/>
  <c r="AL23"/>
  <c r="AH23"/>
  <c r="AG23"/>
  <c r="AC23"/>
  <c r="AB23"/>
  <c r="G23"/>
  <c r="E23"/>
  <c r="C23"/>
  <c r="G22"/>
  <c r="E22"/>
  <c r="C22"/>
  <c r="G21"/>
  <c r="E21"/>
  <c r="C21"/>
  <c r="G20"/>
  <c r="E20"/>
  <c r="C20"/>
  <c r="AM19"/>
  <c r="AL19"/>
  <c r="AH19"/>
  <c r="AG19"/>
  <c r="AC19"/>
  <c r="AB19"/>
  <c r="G19"/>
  <c r="E19"/>
  <c r="C19"/>
  <c r="G18"/>
  <c r="E18"/>
  <c r="G17"/>
  <c r="E17"/>
  <c r="C17"/>
  <c r="G16"/>
  <c r="E16"/>
  <c r="AM15"/>
  <c r="AL15"/>
  <c r="AH15"/>
  <c r="AG15"/>
  <c r="AC15"/>
  <c r="AB15"/>
  <c r="G15"/>
  <c r="E15"/>
  <c r="C15"/>
  <c r="G14"/>
  <c r="E14"/>
  <c r="C14"/>
  <c r="G13"/>
  <c r="E13"/>
  <c r="C13"/>
  <c r="G12"/>
  <c r="E12"/>
  <c r="C12"/>
  <c r="AM11"/>
  <c r="AL11"/>
  <c r="AH11"/>
  <c r="AG11"/>
  <c r="AC11"/>
  <c r="AB11"/>
  <c r="G11"/>
  <c r="E11"/>
  <c r="C11"/>
  <c r="G10"/>
  <c r="E10"/>
  <c r="C10"/>
  <c r="S5"/>
  <c r="A5"/>
  <c r="AM79" i="11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AJ81"/>
  <c r="AJ80"/>
  <c r="AJ79"/>
  <c r="AE81"/>
  <c r="AE80"/>
  <c r="AE79"/>
  <c r="Z81"/>
  <c r="Z80"/>
  <c r="Z79"/>
  <c r="AJ77"/>
  <c r="AJ76"/>
  <c r="AJ75"/>
  <c r="AE77"/>
  <c r="AE76"/>
  <c r="AE75"/>
  <c r="Z77"/>
  <c r="Z76"/>
  <c r="Z75"/>
  <c r="AJ73"/>
  <c r="AJ72"/>
  <c r="AJ71"/>
  <c r="AE73"/>
  <c r="AE72"/>
  <c r="AE71"/>
  <c r="Z73"/>
  <c r="Z72"/>
  <c r="Z71"/>
  <c r="AJ69"/>
  <c r="AJ68"/>
  <c r="AJ67"/>
  <c r="AE69"/>
  <c r="AE68"/>
  <c r="AE67"/>
  <c r="Z69"/>
  <c r="Z68"/>
  <c r="Z67"/>
  <c r="AM23"/>
  <c r="AL23"/>
  <c r="AH23"/>
  <c r="AG23"/>
  <c r="AC23"/>
  <c r="AB23"/>
  <c r="AJ65"/>
  <c r="AE65"/>
  <c r="Z65"/>
  <c r="AJ61"/>
  <c r="AE61"/>
  <c r="Z61"/>
  <c r="AJ57"/>
  <c r="AE57"/>
  <c r="Z57"/>
  <c r="AJ53"/>
  <c r="AE53"/>
  <c r="Z53"/>
  <c r="AM19"/>
  <c r="AL19"/>
  <c r="AH19"/>
  <c r="AG19"/>
  <c r="AC19"/>
  <c r="AB19"/>
  <c r="AM15"/>
  <c r="AL15"/>
  <c r="AH15"/>
  <c r="AG15"/>
  <c r="AC15"/>
  <c r="AB15"/>
  <c r="AM11"/>
  <c r="AL11"/>
  <c r="AH11"/>
  <c r="AG11"/>
  <c r="AC11"/>
  <c r="AB11"/>
  <c r="S5"/>
  <c r="A5"/>
  <c r="J27" i="13" l="1"/>
  <c r="L27"/>
  <c r="Q27" s="1"/>
  <c r="Z81" s="1"/>
  <c r="AA81" s="1"/>
  <c r="K26"/>
  <c r="L10"/>
  <c r="J10"/>
  <c r="AC12" i="16"/>
  <c r="AA12"/>
  <c r="AB12"/>
  <c r="AH53"/>
  <c r="AF53"/>
  <c r="AG53"/>
  <c r="AB57"/>
  <c r="AC57"/>
  <c r="AA57"/>
  <c r="AL57"/>
  <c r="AM57"/>
  <c r="AK57"/>
  <c r="AH61"/>
  <c r="AF61"/>
  <c r="AG61"/>
  <c r="AB65"/>
  <c r="AC65"/>
  <c r="AA65"/>
  <c r="AL65"/>
  <c r="AM65"/>
  <c r="AK65"/>
  <c r="AB69"/>
  <c r="AC69"/>
  <c r="AA69"/>
  <c r="AG68"/>
  <c r="AH68"/>
  <c r="AF68"/>
  <c r="AL69"/>
  <c r="AM69"/>
  <c r="AK69"/>
  <c r="AC72"/>
  <c r="AA72"/>
  <c r="AB72"/>
  <c r="AH73"/>
  <c r="AF73"/>
  <c r="AG73"/>
  <c r="AM72"/>
  <c r="AK72"/>
  <c r="AL72"/>
  <c r="AB77"/>
  <c r="AC77"/>
  <c r="AA77"/>
  <c r="AG76"/>
  <c r="AH76"/>
  <c r="AF76"/>
  <c r="AL77"/>
  <c r="AM77"/>
  <c r="AK77"/>
  <c r="AC80"/>
  <c r="AA80"/>
  <c r="AB80"/>
  <c r="AH81"/>
  <c r="AF81"/>
  <c r="AG81"/>
  <c r="AM80"/>
  <c r="AK80"/>
  <c r="AL80"/>
  <c r="AC53"/>
  <c r="AA53"/>
  <c r="AB53"/>
  <c r="AM53"/>
  <c r="AK53"/>
  <c r="AL53"/>
  <c r="AG57"/>
  <c r="AH57"/>
  <c r="AF57"/>
  <c r="AC61"/>
  <c r="AA61"/>
  <c r="AB61"/>
  <c r="AM61"/>
  <c r="AK61"/>
  <c r="AL61"/>
  <c r="AG65"/>
  <c r="AH65"/>
  <c r="AF65"/>
  <c r="AB68"/>
  <c r="AC68"/>
  <c r="AA68"/>
  <c r="AG69"/>
  <c r="AH69"/>
  <c r="AF69"/>
  <c r="AL68"/>
  <c r="AM68"/>
  <c r="AK68"/>
  <c r="AC73"/>
  <c r="AA73"/>
  <c r="AB73"/>
  <c r="AH72"/>
  <c r="AF72"/>
  <c r="AG72"/>
  <c r="AM73"/>
  <c r="AK73"/>
  <c r="AL73"/>
  <c r="AB76"/>
  <c r="AC76"/>
  <c r="AA76"/>
  <c r="AG77"/>
  <c r="AH77"/>
  <c r="AF77"/>
  <c r="AL76"/>
  <c r="AM76"/>
  <c r="AK76"/>
  <c r="AC81"/>
  <c r="AA81"/>
  <c r="AB81"/>
  <c r="AH80"/>
  <c r="AF80"/>
  <c r="AG80"/>
  <c r="AM81"/>
  <c r="AK81"/>
  <c r="AL81"/>
  <c r="AC12" i="15"/>
  <c r="AA12"/>
  <c r="AB12"/>
  <c r="AH53"/>
  <c r="AF53"/>
  <c r="AG53"/>
  <c r="AB57"/>
  <c r="AC57"/>
  <c r="AA57"/>
  <c r="AL57"/>
  <c r="AM57"/>
  <c r="AK57"/>
  <c r="AH61"/>
  <c r="AF61"/>
  <c r="AG61"/>
  <c r="AB65"/>
  <c r="AC65"/>
  <c r="AA65"/>
  <c r="AL65"/>
  <c r="AM65"/>
  <c r="AK65"/>
  <c r="AB69"/>
  <c r="AC69"/>
  <c r="AA69"/>
  <c r="AG68"/>
  <c r="AH68"/>
  <c r="AF68"/>
  <c r="AL69"/>
  <c r="AM69"/>
  <c r="AK69"/>
  <c r="AC72"/>
  <c r="AA72"/>
  <c r="AB72"/>
  <c r="AH73"/>
  <c r="AF73"/>
  <c r="AG73"/>
  <c r="AM72"/>
  <c r="AK72"/>
  <c r="AL72"/>
  <c r="AB77"/>
  <c r="AC77"/>
  <c r="AA77"/>
  <c r="AG76"/>
  <c r="AH76"/>
  <c r="AF76"/>
  <c r="AL77"/>
  <c r="AM77"/>
  <c r="AK77"/>
  <c r="AC80"/>
  <c r="AA80"/>
  <c r="AB80"/>
  <c r="AH81"/>
  <c r="AF81"/>
  <c r="AG81"/>
  <c r="AM80"/>
  <c r="AK80"/>
  <c r="AL80"/>
  <c r="AC53"/>
  <c r="AA53"/>
  <c r="AB53"/>
  <c r="AM53"/>
  <c r="AK53"/>
  <c r="AL53"/>
  <c r="AG57"/>
  <c r="AH57"/>
  <c r="AF57"/>
  <c r="AC61"/>
  <c r="AA61"/>
  <c r="AB61"/>
  <c r="AM61"/>
  <c r="AK61"/>
  <c r="AL61"/>
  <c r="AG65"/>
  <c r="AH65"/>
  <c r="AF65"/>
  <c r="AB68"/>
  <c r="AC68"/>
  <c r="AA68"/>
  <c r="AG69"/>
  <c r="AH69"/>
  <c r="AF69"/>
  <c r="AL68"/>
  <c r="AM68"/>
  <c r="AK68"/>
  <c r="AC73"/>
  <c r="AA73"/>
  <c r="AB73"/>
  <c r="AH72"/>
  <c r="AF72"/>
  <c r="AG72"/>
  <c r="AM73"/>
  <c r="AK73"/>
  <c r="AL73"/>
  <c r="AB76"/>
  <c r="AC76"/>
  <c r="AA76"/>
  <c r="AG77"/>
  <c r="AH77"/>
  <c r="AF77"/>
  <c r="AL76"/>
  <c r="AM76"/>
  <c r="AK76"/>
  <c r="AC81"/>
  <c r="AA81"/>
  <c r="AB81"/>
  <c r="AH80"/>
  <c r="AF80"/>
  <c r="AG80"/>
  <c r="AM81"/>
  <c r="AK81"/>
  <c r="AL81"/>
  <c r="AE49" i="14"/>
  <c r="AJ37"/>
  <c r="AE59"/>
  <c r="AJ55"/>
  <c r="AC53"/>
  <c r="AA53"/>
  <c r="AB53"/>
  <c r="AM53"/>
  <c r="AK53"/>
  <c r="AL53"/>
  <c r="AG57"/>
  <c r="AH57"/>
  <c r="AF57"/>
  <c r="AC61"/>
  <c r="AA61"/>
  <c r="AB61"/>
  <c r="AM61"/>
  <c r="AK61"/>
  <c r="AL61"/>
  <c r="AG65"/>
  <c r="AH65"/>
  <c r="AF65"/>
  <c r="AB68"/>
  <c r="AC68"/>
  <c r="AA68"/>
  <c r="AG69"/>
  <c r="AH69"/>
  <c r="AF69"/>
  <c r="AL68"/>
  <c r="AM68"/>
  <c r="AK68"/>
  <c r="AC73"/>
  <c r="AA73"/>
  <c r="AB73"/>
  <c r="AH72"/>
  <c r="AF72"/>
  <c r="AG72"/>
  <c r="AM73"/>
  <c r="AK73"/>
  <c r="AL73"/>
  <c r="AB76"/>
  <c r="AC76"/>
  <c r="AA76"/>
  <c r="AG77"/>
  <c r="AH77"/>
  <c r="AF77"/>
  <c r="AL76"/>
  <c r="AM76"/>
  <c r="AK76"/>
  <c r="AC81"/>
  <c r="AA81"/>
  <c r="AB81"/>
  <c r="AH80"/>
  <c r="AF80"/>
  <c r="AG80"/>
  <c r="AM81"/>
  <c r="AK81"/>
  <c r="AL81"/>
  <c r="AH53"/>
  <c r="AF53"/>
  <c r="AG53"/>
  <c r="AB57"/>
  <c r="AC57"/>
  <c r="AA57"/>
  <c r="AL57"/>
  <c r="AM57"/>
  <c r="AK57"/>
  <c r="AH61"/>
  <c r="AF61"/>
  <c r="AG61"/>
  <c r="AB65"/>
  <c r="AC65"/>
  <c r="AA65"/>
  <c r="AL65"/>
  <c r="AM65"/>
  <c r="AK65"/>
  <c r="AB69"/>
  <c r="AC69"/>
  <c r="AA69"/>
  <c r="AG68"/>
  <c r="AH68"/>
  <c r="AF68"/>
  <c r="AL69"/>
  <c r="AM69"/>
  <c r="AK69"/>
  <c r="AC72"/>
  <c r="AA72"/>
  <c r="AB72"/>
  <c r="AH73"/>
  <c r="AF73"/>
  <c r="AG73"/>
  <c r="AM72"/>
  <c r="AK72"/>
  <c r="AL72"/>
  <c r="AB77"/>
  <c r="AC77"/>
  <c r="AA77"/>
  <c r="AG76"/>
  <c r="AH76"/>
  <c r="AF76"/>
  <c r="AL77"/>
  <c r="AM77"/>
  <c r="AK77"/>
  <c r="AC80"/>
  <c r="AA80"/>
  <c r="AB80"/>
  <c r="AH81"/>
  <c r="AF81"/>
  <c r="AG81"/>
  <c r="AM80"/>
  <c r="AK80"/>
  <c r="AL80"/>
  <c r="Z11"/>
  <c r="Z13"/>
  <c r="AC81" i="13"/>
  <c r="K11"/>
  <c r="K12"/>
  <c r="J13"/>
  <c r="L13"/>
  <c r="K14"/>
  <c r="J15"/>
  <c r="L15"/>
  <c r="J16"/>
  <c r="L16"/>
  <c r="K17"/>
  <c r="J18"/>
  <c r="L18"/>
  <c r="K19"/>
  <c r="K20"/>
  <c r="J21"/>
  <c r="L21"/>
  <c r="K22"/>
  <c r="J23"/>
  <c r="L23"/>
  <c r="J24"/>
  <c r="O24" s="1"/>
  <c r="Z67" s="1"/>
  <c r="L24"/>
  <c r="K25"/>
  <c r="J26"/>
  <c r="O26" s="1"/>
  <c r="Z75" s="1"/>
  <c r="L26"/>
  <c r="Q26" s="1"/>
  <c r="Z77" s="1"/>
  <c r="AC77" s="1"/>
  <c r="K27"/>
  <c r="AB77"/>
  <c r="K10"/>
  <c r="J11"/>
  <c r="L11"/>
  <c r="J12"/>
  <c r="L12"/>
  <c r="T25" s="1"/>
  <c r="AE73" s="1"/>
  <c r="AH73" s="1"/>
  <c r="K13"/>
  <c r="J14"/>
  <c r="L14"/>
  <c r="K15"/>
  <c r="K16"/>
  <c r="J17"/>
  <c r="L17"/>
  <c r="K18"/>
  <c r="J19"/>
  <c r="L19"/>
  <c r="J20"/>
  <c r="L20"/>
  <c r="K21"/>
  <c r="J22"/>
  <c r="L22"/>
  <c r="Q22" s="1"/>
  <c r="Z61" s="1"/>
  <c r="AA61" s="1"/>
  <c r="K23"/>
  <c r="K24"/>
  <c r="J25"/>
  <c r="L25"/>
  <c r="Q25" s="1"/>
  <c r="Z73" s="1"/>
  <c r="AC73" s="1"/>
  <c r="AE49" i="11"/>
  <c r="AJ37"/>
  <c r="AE59"/>
  <c r="AJ55"/>
  <c r="AC53"/>
  <c r="AA53"/>
  <c r="AB53"/>
  <c r="AM53"/>
  <c r="AK53"/>
  <c r="AL53"/>
  <c r="AG57"/>
  <c r="AH57"/>
  <c r="AF57"/>
  <c r="AC61"/>
  <c r="AA61"/>
  <c r="AB61"/>
  <c r="AM61"/>
  <c r="AK61"/>
  <c r="AL61"/>
  <c r="AG65"/>
  <c r="AH65"/>
  <c r="AF65"/>
  <c r="AB68"/>
  <c r="AC68"/>
  <c r="AA68"/>
  <c r="AG69"/>
  <c r="AH69"/>
  <c r="AF69"/>
  <c r="AL68"/>
  <c r="AM68"/>
  <c r="AK68"/>
  <c r="AC73"/>
  <c r="AA73"/>
  <c r="AB73"/>
  <c r="AH72"/>
  <c r="AF72"/>
  <c r="AG72"/>
  <c r="AM73"/>
  <c r="AK73"/>
  <c r="AL73"/>
  <c r="AB76"/>
  <c r="AC76"/>
  <c r="AA76"/>
  <c r="AG77"/>
  <c r="AH77"/>
  <c r="AF77"/>
  <c r="AL76"/>
  <c r="AM76"/>
  <c r="AK76"/>
  <c r="AC81"/>
  <c r="AA81"/>
  <c r="AB81"/>
  <c r="AH80"/>
  <c r="AF80"/>
  <c r="AG80"/>
  <c r="AM81"/>
  <c r="AK81"/>
  <c r="AL81"/>
  <c r="AH53"/>
  <c r="AF53"/>
  <c r="AG53"/>
  <c r="AB57"/>
  <c r="AC57"/>
  <c r="AA57"/>
  <c r="AL57"/>
  <c r="AM57"/>
  <c r="AK57"/>
  <c r="AH61"/>
  <c r="AF61"/>
  <c r="AG61"/>
  <c r="AB65"/>
  <c r="AC65"/>
  <c r="AA65"/>
  <c r="AL65"/>
  <c r="AM65"/>
  <c r="AK65"/>
  <c r="AB69"/>
  <c r="AC69"/>
  <c r="AA69"/>
  <c r="AG68"/>
  <c r="AH68"/>
  <c r="AF68"/>
  <c r="AL69"/>
  <c r="AM69"/>
  <c r="AK69"/>
  <c r="AC72"/>
  <c r="AA72"/>
  <c r="AB72"/>
  <c r="AH73"/>
  <c r="AF73"/>
  <c r="AG73"/>
  <c r="AM72"/>
  <c r="AK72"/>
  <c r="AL72"/>
  <c r="AB77"/>
  <c r="AC77"/>
  <c r="AA77"/>
  <c r="AG76"/>
  <c r="AH76"/>
  <c r="AF76"/>
  <c r="AL77"/>
  <c r="AM77"/>
  <c r="AK77"/>
  <c r="AC80"/>
  <c r="AA80"/>
  <c r="AB80"/>
  <c r="AH81"/>
  <c r="AF81"/>
  <c r="AG81"/>
  <c r="AM80"/>
  <c r="AK80"/>
  <c r="AL80"/>
  <c r="Z11"/>
  <c r="Z13"/>
  <c r="AB81" i="13" l="1"/>
  <c r="AA77"/>
  <c r="P27"/>
  <c r="Z80" s="1"/>
  <c r="O27"/>
  <c r="Q24"/>
  <c r="Z69" s="1"/>
  <c r="P26"/>
  <c r="AF73"/>
  <c r="AA73"/>
  <c r="AG73"/>
  <c r="AB73"/>
  <c r="T24"/>
  <c r="AE69" s="1"/>
  <c r="O25"/>
  <c r="R25" s="1"/>
  <c r="AE71" s="1"/>
  <c r="O21"/>
  <c r="Z55" s="1"/>
  <c r="P19"/>
  <c r="Z48" s="1"/>
  <c r="O15"/>
  <c r="P10"/>
  <c r="S12" s="1"/>
  <c r="O13"/>
  <c r="R24"/>
  <c r="AE67" s="1"/>
  <c r="R10"/>
  <c r="O10"/>
  <c r="T23"/>
  <c r="AE65" s="1"/>
  <c r="S24"/>
  <c r="Q21"/>
  <c r="Z57" s="1"/>
  <c r="P25"/>
  <c r="Q23"/>
  <c r="Z65" s="1"/>
  <c r="P24"/>
  <c r="Z68" s="1"/>
  <c r="Q10"/>
  <c r="Z13" s="1"/>
  <c r="AA13" s="1"/>
  <c r="S25"/>
  <c r="AE72" s="1"/>
  <c r="T20"/>
  <c r="AE53" s="1"/>
  <c r="AH53" s="1"/>
  <c r="T22"/>
  <c r="AE61" s="1"/>
  <c r="AB61"/>
  <c r="AC61"/>
  <c r="O23"/>
  <c r="R22"/>
  <c r="AE59" s="1"/>
  <c r="P22"/>
  <c r="Z60" s="1"/>
  <c r="Q20"/>
  <c r="Z53" s="1"/>
  <c r="AF53"/>
  <c r="P23"/>
  <c r="T19" s="1"/>
  <c r="AE49" s="1"/>
  <c r="Z63" i="16"/>
  <c r="Z55"/>
  <c r="Z52"/>
  <c r="Z45"/>
  <c r="Z37"/>
  <c r="AE27"/>
  <c r="Z28"/>
  <c r="AE19"/>
  <c r="Z20"/>
  <c r="Z16"/>
  <c r="Z11"/>
  <c r="Z59"/>
  <c r="Z56"/>
  <c r="Z60"/>
  <c r="Z49"/>
  <c r="AE35"/>
  <c r="Z36"/>
  <c r="Z32"/>
  <c r="Z29"/>
  <c r="Z24"/>
  <c r="Z21"/>
  <c r="Z15"/>
  <c r="Z64"/>
  <c r="Z48"/>
  <c r="AE39"/>
  <c r="Z40"/>
  <c r="AE31"/>
  <c r="Z33"/>
  <c r="Z25"/>
  <c r="Z13"/>
  <c r="AE56"/>
  <c r="AJ48"/>
  <c r="Z51"/>
  <c r="AE43"/>
  <c r="Z44"/>
  <c r="Z41"/>
  <c r="AE23"/>
  <c r="Z19"/>
  <c r="Z17"/>
  <c r="Z64" i="15"/>
  <c r="Z48"/>
  <c r="AE39"/>
  <c r="Z40"/>
  <c r="AE31"/>
  <c r="Z33"/>
  <c r="Z25"/>
  <c r="Z13"/>
  <c r="AE56"/>
  <c r="AJ48"/>
  <c r="Z51"/>
  <c r="AE43"/>
  <c r="AE35"/>
  <c r="AE23"/>
  <c r="Z19"/>
  <c r="Z17"/>
  <c r="Z63"/>
  <c r="Z55"/>
  <c r="Z52"/>
  <c r="Z45"/>
  <c r="Z37"/>
  <c r="AE27"/>
  <c r="Z28"/>
  <c r="AE19"/>
  <c r="Z20"/>
  <c r="Z16"/>
  <c r="Z11"/>
  <c r="Z59"/>
  <c r="Z56"/>
  <c r="Z60"/>
  <c r="Z49"/>
  <c r="Z44"/>
  <c r="Z41"/>
  <c r="Z36"/>
  <c r="Z32"/>
  <c r="Z29"/>
  <c r="Z24"/>
  <c r="Z21"/>
  <c r="Z15"/>
  <c r="Z59" i="14"/>
  <c r="Z60"/>
  <c r="AE43"/>
  <c r="Z44"/>
  <c r="AE35"/>
  <c r="Z36"/>
  <c r="Z29"/>
  <c r="Z21"/>
  <c r="Z17"/>
  <c r="Z63"/>
  <c r="Z64"/>
  <c r="Z52"/>
  <c r="Z48"/>
  <c r="Z45"/>
  <c r="AE31"/>
  <c r="AE27"/>
  <c r="AE19"/>
  <c r="Z16"/>
  <c r="AH49"/>
  <c r="AF49"/>
  <c r="AG49"/>
  <c r="Z56"/>
  <c r="Z51"/>
  <c r="Z49"/>
  <c r="Z41"/>
  <c r="Z32"/>
  <c r="AE23"/>
  <c r="Z24"/>
  <c r="Z19"/>
  <c r="Z15"/>
  <c r="AC13"/>
  <c r="AA13"/>
  <c r="AB13"/>
  <c r="Z12"/>
  <c r="Z55"/>
  <c r="AE39"/>
  <c r="Z40"/>
  <c r="Z37"/>
  <c r="Z33"/>
  <c r="Z28"/>
  <c r="Z25"/>
  <c r="Z20"/>
  <c r="AL37"/>
  <c r="AM37"/>
  <c r="AK37"/>
  <c r="O22" i="13"/>
  <c r="Z59" s="1"/>
  <c r="Q19"/>
  <c r="Z49" s="1"/>
  <c r="Q17"/>
  <c r="Z41" s="1"/>
  <c r="P15"/>
  <c r="Z32" s="1"/>
  <c r="O14"/>
  <c r="P13"/>
  <c r="Z24" s="1"/>
  <c r="O12"/>
  <c r="Z19" s="1"/>
  <c r="O11"/>
  <c r="Z15" s="1"/>
  <c r="Z12"/>
  <c r="P20"/>
  <c r="Z52" s="1"/>
  <c r="Q18"/>
  <c r="Z45" s="1"/>
  <c r="P17"/>
  <c r="Z40" s="1"/>
  <c r="Q16"/>
  <c r="Z37" s="1"/>
  <c r="R14"/>
  <c r="AE27" s="1"/>
  <c r="P12"/>
  <c r="Z20" s="1"/>
  <c r="P21"/>
  <c r="Z56" s="1"/>
  <c r="R19"/>
  <c r="O20"/>
  <c r="Z51" s="1"/>
  <c r="O19"/>
  <c r="R18" s="1"/>
  <c r="P18"/>
  <c r="O17"/>
  <c r="R17" s="1"/>
  <c r="AE39" s="1"/>
  <c r="R16"/>
  <c r="P16"/>
  <c r="Z36" s="1"/>
  <c r="T11"/>
  <c r="Q14"/>
  <c r="Z29" s="1"/>
  <c r="Q12"/>
  <c r="T27" s="1"/>
  <c r="AE81" s="1"/>
  <c r="Q11"/>
  <c r="Z17" s="1"/>
  <c r="R20"/>
  <c r="O18"/>
  <c r="O16"/>
  <c r="R15" s="1"/>
  <c r="Q15"/>
  <c r="Z33" s="1"/>
  <c r="T12"/>
  <c r="W27" s="1"/>
  <c r="AJ81" s="1"/>
  <c r="P14"/>
  <c r="Q13"/>
  <c r="Z25" s="1"/>
  <c r="P11"/>
  <c r="S23" s="1"/>
  <c r="Z60" i="11"/>
  <c r="AE43"/>
  <c r="Z44"/>
  <c r="AE35"/>
  <c r="Z36"/>
  <c r="Z29"/>
  <c r="Z21"/>
  <c r="Z17"/>
  <c r="Z55"/>
  <c r="AE39"/>
  <c r="Z40"/>
  <c r="Z37"/>
  <c r="AE27"/>
  <c r="AE19"/>
  <c r="Z16"/>
  <c r="AH49"/>
  <c r="AF49"/>
  <c r="AG49"/>
  <c r="Z59"/>
  <c r="Z56"/>
  <c r="Z51"/>
  <c r="Z49"/>
  <c r="Z41"/>
  <c r="Z32"/>
  <c r="AE23"/>
  <c r="Z24"/>
  <c r="Z19"/>
  <c r="Z15"/>
  <c r="AC13"/>
  <c r="AA13"/>
  <c r="AB13"/>
  <c r="Z12"/>
  <c r="Z63"/>
  <c r="Z64"/>
  <c r="Z52"/>
  <c r="Z48"/>
  <c r="Z45"/>
  <c r="AE31"/>
  <c r="Z33"/>
  <c r="Z28"/>
  <c r="Z25"/>
  <c r="Z20"/>
  <c r="AL37"/>
  <c r="AM37"/>
  <c r="AK37"/>
  <c r="S15" i="13" l="1"/>
  <c r="AE32" s="1"/>
  <c r="S13"/>
  <c r="S16"/>
  <c r="AE36" s="1"/>
  <c r="T10"/>
  <c r="AE13" s="1"/>
  <c r="S14"/>
  <c r="AE28" s="1"/>
  <c r="S19"/>
  <c r="S21"/>
  <c r="AE56" s="1"/>
  <c r="S22"/>
  <c r="AE60" s="1"/>
  <c r="T21"/>
  <c r="AE57" s="1"/>
  <c r="AG57" s="1"/>
  <c r="AK81"/>
  <c r="AM81"/>
  <c r="AL81"/>
  <c r="AH81"/>
  <c r="AG81"/>
  <c r="AF81"/>
  <c r="W26"/>
  <c r="AJ77" s="1"/>
  <c r="Z21"/>
  <c r="AC21" s="1"/>
  <c r="T26"/>
  <c r="AE77" s="1"/>
  <c r="U24"/>
  <c r="AJ67" s="1"/>
  <c r="AC80"/>
  <c r="AB80"/>
  <c r="AA80"/>
  <c r="Z79"/>
  <c r="R27"/>
  <c r="U26" s="1"/>
  <c r="AJ75" s="1"/>
  <c r="Z16"/>
  <c r="AA16" s="1"/>
  <c r="AE79"/>
  <c r="Z72"/>
  <c r="AA72" s="1"/>
  <c r="S27"/>
  <c r="W22" s="1"/>
  <c r="AJ61" s="1"/>
  <c r="AM61" s="1"/>
  <c r="Z11"/>
  <c r="R26"/>
  <c r="AE75" s="1"/>
  <c r="Z76"/>
  <c r="S26"/>
  <c r="AB69"/>
  <c r="AA69"/>
  <c r="AC69"/>
  <c r="W24"/>
  <c r="AJ69" s="1"/>
  <c r="AL69" s="1"/>
  <c r="W25"/>
  <c r="AJ73" s="1"/>
  <c r="AM69"/>
  <c r="AG69"/>
  <c r="AF69"/>
  <c r="AH69"/>
  <c r="AE68"/>
  <c r="AH68" s="1"/>
  <c r="Z71"/>
  <c r="S20"/>
  <c r="Z63"/>
  <c r="R23"/>
  <c r="AE63" s="1"/>
  <c r="U19"/>
  <c r="Z44"/>
  <c r="AC44" s="1"/>
  <c r="S17"/>
  <c r="AE40" s="1"/>
  <c r="AE43"/>
  <c r="U15"/>
  <c r="AJ31" s="1"/>
  <c r="AE35"/>
  <c r="U17"/>
  <c r="AJ39" s="1"/>
  <c r="S10"/>
  <c r="AE12" s="1"/>
  <c r="AE31"/>
  <c r="AC13"/>
  <c r="S11"/>
  <c r="Z28"/>
  <c r="AA28" s="1"/>
  <c r="R11"/>
  <c r="R13"/>
  <c r="AE23" s="1"/>
  <c r="R12"/>
  <c r="AE19" s="1"/>
  <c r="AB13"/>
  <c r="T13"/>
  <c r="AE25" s="1"/>
  <c r="T14"/>
  <c r="AE29" s="1"/>
  <c r="T15"/>
  <c r="AE33" s="1"/>
  <c r="T16"/>
  <c r="AE37" s="1"/>
  <c r="T17"/>
  <c r="AE41" s="1"/>
  <c r="S18"/>
  <c r="AE44" s="1"/>
  <c r="R21"/>
  <c r="U21" s="1"/>
  <c r="AJ55" s="1"/>
  <c r="T18"/>
  <c r="W20" s="1"/>
  <c r="AJ53" s="1"/>
  <c r="AC65"/>
  <c r="AB65"/>
  <c r="AA65"/>
  <c r="AC57"/>
  <c r="AA57"/>
  <c r="AB57"/>
  <c r="AH65"/>
  <c r="AG65"/>
  <c r="AF65"/>
  <c r="AH72"/>
  <c r="AG72"/>
  <c r="AF72"/>
  <c r="AB68"/>
  <c r="AA68"/>
  <c r="AC68"/>
  <c r="W21"/>
  <c r="AJ57" s="1"/>
  <c r="AK57" s="1"/>
  <c r="Z64"/>
  <c r="AB64" s="1"/>
  <c r="AG53"/>
  <c r="AH61"/>
  <c r="AG61"/>
  <c r="AF61"/>
  <c r="AH49"/>
  <c r="AG49"/>
  <c r="AF49"/>
  <c r="AA53"/>
  <c r="AC53"/>
  <c r="AB53"/>
  <c r="AE60" i="16"/>
  <c r="AJ41"/>
  <c r="AJ19"/>
  <c r="Z27"/>
  <c r="AC41"/>
  <c r="AA41"/>
  <c r="AB41"/>
  <c r="AB44"/>
  <c r="AC44"/>
  <c r="AA44"/>
  <c r="Z47"/>
  <c r="AJ39"/>
  <c r="AG56"/>
  <c r="AH56"/>
  <c r="AF56"/>
  <c r="AE49"/>
  <c r="AJ37"/>
  <c r="AJ49"/>
  <c r="AE13"/>
  <c r="AC33"/>
  <c r="AA33"/>
  <c r="AB33"/>
  <c r="AC40"/>
  <c r="AA40"/>
  <c r="AB40"/>
  <c r="Z43"/>
  <c r="AJ35"/>
  <c r="AE40"/>
  <c r="AJ32"/>
  <c r="AB64"/>
  <c r="AC64"/>
  <c r="AA64"/>
  <c r="AB21"/>
  <c r="AC21"/>
  <c r="AA21"/>
  <c r="AB24"/>
  <c r="AC24"/>
  <c r="AA24"/>
  <c r="AB29"/>
  <c r="AC29"/>
  <c r="AA29"/>
  <c r="AC32"/>
  <c r="AA32"/>
  <c r="AB32"/>
  <c r="AC36"/>
  <c r="AA36"/>
  <c r="AB36"/>
  <c r="Z39"/>
  <c r="AJ31"/>
  <c r="AC49"/>
  <c r="AA49"/>
  <c r="AB49"/>
  <c r="AB60"/>
  <c r="AC60"/>
  <c r="AA60"/>
  <c r="AB56"/>
  <c r="AC56"/>
  <c r="AA56"/>
  <c r="AE59"/>
  <c r="AJ55"/>
  <c r="AE63"/>
  <c r="AJ52"/>
  <c r="AC20"/>
  <c r="AA20"/>
  <c r="AB20"/>
  <c r="Z23"/>
  <c r="AJ15"/>
  <c r="AJ12"/>
  <c r="AE20"/>
  <c r="Z31"/>
  <c r="AJ23"/>
  <c r="AE25"/>
  <c r="AJ13"/>
  <c r="AJ21"/>
  <c r="AE33"/>
  <c r="AC52"/>
  <c r="AA52"/>
  <c r="AB52"/>
  <c r="AC17"/>
  <c r="AA17"/>
  <c r="AS46" s="1"/>
  <c r="AB17"/>
  <c r="AE15"/>
  <c r="AJ11"/>
  <c r="AE29"/>
  <c r="AJ17"/>
  <c r="AE36"/>
  <c r="AJ28"/>
  <c r="AE47"/>
  <c r="AJ43"/>
  <c r="AM48"/>
  <c r="AK48"/>
  <c r="AL48"/>
  <c r="AB13"/>
  <c r="AC13"/>
  <c r="AA13"/>
  <c r="AC25"/>
  <c r="AA25"/>
  <c r="AB25"/>
  <c r="AE21"/>
  <c r="AJ60"/>
  <c r="Z35"/>
  <c r="AJ27"/>
  <c r="AJ24"/>
  <c r="AE32"/>
  <c r="AC48"/>
  <c r="AA48"/>
  <c r="AB48"/>
  <c r="AE45"/>
  <c r="AJ33"/>
  <c r="AJ59"/>
  <c r="AE11"/>
  <c r="AE64"/>
  <c r="AJ45"/>
  <c r="AE16"/>
  <c r="AJ63"/>
  <c r="AJ64"/>
  <c r="AE17"/>
  <c r="AE24"/>
  <c r="AJ16"/>
  <c r="AE28"/>
  <c r="AJ20"/>
  <c r="AE37"/>
  <c r="AJ25"/>
  <c r="AE41"/>
  <c r="AJ29"/>
  <c r="AE48"/>
  <c r="AJ40"/>
  <c r="AE55"/>
  <c r="AJ51"/>
  <c r="AB16"/>
  <c r="AQ28" s="1"/>
  <c r="AC16"/>
  <c r="AA16"/>
  <c r="AJ56"/>
  <c r="AE12"/>
  <c r="AB28"/>
  <c r="AC28"/>
  <c r="AA28"/>
  <c r="AC37"/>
  <c r="AA37"/>
  <c r="AB37"/>
  <c r="AB45"/>
  <c r="AC45"/>
  <c r="AA45"/>
  <c r="AE44"/>
  <c r="AJ36"/>
  <c r="AE51"/>
  <c r="AJ47"/>
  <c r="AE52"/>
  <c r="AJ44"/>
  <c r="AB21" i="15"/>
  <c r="AC21"/>
  <c r="AA21"/>
  <c r="AB24"/>
  <c r="AC24"/>
  <c r="AA24"/>
  <c r="AB29"/>
  <c r="AC29"/>
  <c r="AA29"/>
  <c r="AC32"/>
  <c r="AA32"/>
  <c r="AB32"/>
  <c r="AC36"/>
  <c r="AA36"/>
  <c r="AB36"/>
  <c r="AC41"/>
  <c r="AA41"/>
  <c r="AB41"/>
  <c r="AB44"/>
  <c r="AC44"/>
  <c r="AA44"/>
  <c r="AC49"/>
  <c r="AA49"/>
  <c r="AB49"/>
  <c r="AB60"/>
  <c r="AC60"/>
  <c r="AA60"/>
  <c r="AB56"/>
  <c r="AC56"/>
  <c r="AA56"/>
  <c r="AE59"/>
  <c r="AJ55"/>
  <c r="AE63"/>
  <c r="AJ52"/>
  <c r="AC20"/>
  <c r="AA20"/>
  <c r="AB20"/>
  <c r="Z23"/>
  <c r="AJ15"/>
  <c r="AJ12"/>
  <c r="AE20"/>
  <c r="Z31"/>
  <c r="AJ23"/>
  <c r="AE25"/>
  <c r="AJ13"/>
  <c r="AJ21"/>
  <c r="AE33"/>
  <c r="AC52"/>
  <c r="AA52"/>
  <c r="AB52"/>
  <c r="AE60"/>
  <c r="AJ41"/>
  <c r="AJ19"/>
  <c r="Z27"/>
  <c r="Z39"/>
  <c r="AJ31"/>
  <c r="Z47"/>
  <c r="AJ39"/>
  <c r="AG56"/>
  <c r="AH56"/>
  <c r="AF56"/>
  <c r="AE49"/>
  <c r="AJ37"/>
  <c r="AJ49"/>
  <c r="AE13"/>
  <c r="AC33"/>
  <c r="AA33"/>
  <c r="AB33"/>
  <c r="AC40"/>
  <c r="AA40"/>
  <c r="AB40"/>
  <c r="Z43"/>
  <c r="AJ35"/>
  <c r="AE40"/>
  <c r="AJ32"/>
  <c r="AB64"/>
  <c r="AC64"/>
  <c r="AA64"/>
  <c r="AJ59"/>
  <c r="AE11"/>
  <c r="AE64"/>
  <c r="AJ45"/>
  <c r="AE16"/>
  <c r="AJ63"/>
  <c r="AJ64"/>
  <c r="AE17"/>
  <c r="AE24"/>
  <c r="AJ16"/>
  <c r="AE28"/>
  <c r="AJ20"/>
  <c r="AE29"/>
  <c r="AJ17"/>
  <c r="AE36"/>
  <c r="AJ28"/>
  <c r="AE37"/>
  <c r="AJ25"/>
  <c r="AE41"/>
  <c r="AJ29"/>
  <c r="AE48"/>
  <c r="AJ40"/>
  <c r="AE55"/>
  <c r="AJ51"/>
  <c r="AB16"/>
  <c r="AC16"/>
  <c r="AR28" s="1"/>
  <c r="AA16"/>
  <c r="AJ56"/>
  <c r="AE12"/>
  <c r="AB28"/>
  <c r="AC28"/>
  <c r="AA28"/>
  <c r="AB37"/>
  <c r="AC37"/>
  <c r="AA37"/>
  <c r="AB45"/>
  <c r="AC45"/>
  <c r="AA45"/>
  <c r="AE44"/>
  <c r="AJ36"/>
  <c r="AE51"/>
  <c r="AJ47"/>
  <c r="AE52"/>
  <c r="AJ44"/>
  <c r="AC17"/>
  <c r="AA17"/>
  <c r="AB17"/>
  <c r="AE15"/>
  <c r="AJ11"/>
  <c r="AE47"/>
  <c r="AJ43"/>
  <c r="AM48"/>
  <c r="AK48"/>
  <c r="AL48"/>
  <c r="AB13"/>
  <c r="AC13"/>
  <c r="AA13"/>
  <c r="AC25"/>
  <c r="AA25"/>
  <c r="AB25"/>
  <c r="AE21"/>
  <c r="AJ60"/>
  <c r="Z35"/>
  <c r="AJ27"/>
  <c r="AJ24"/>
  <c r="AE32"/>
  <c r="AC48"/>
  <c r="AA48"/>
  <c r="AB48"/>
  <c r="AE45"/>
  <c r="AJ33"/>
  <c r="AB20" i="14"/>
  <c r="AC20"/>
  <c r="AA20"/>
  <c r="AB25"/>
  <c r="AC25"/>
  <c r="AA25"/>
  <c r="AC28"/>
  <c r="AA28"/>
  <c r="AB28"/>
  <c r="AB33"/>
  <c r="AC33"/>
  <c r="AA33"/>
  <c r="AB37"/>
  <c r="AC37"/>
  <c r="AA37"/>
  <c r="AC40"/>
  <c r="AA40"/>
  <c r="AB40"/>
  <c r="Z43"/>
  <c r="AJ35"/>
  <c r="AE56"/>
  <c r="AJ48"/>
  <c r="AJ59"/>
  <c r="AE11"/>
  <c r="AJ63"/>
  <c r="AE16"/>
  <c r="AB32"/>
  <c r="AC32"/>
  <c r="AA32"/>
  <c r="AC41"/>
  <c r="AA41"/>
  <c r="AB41"/>
  <c r="AE37"/>
  <c r="AJ25"/>
  <c r="AE48"/>
  <c r="AJ40"/>
  <c r="AE63"/>
  <c r="AJ52"/>
  <c r="AE33"/>
  <c r="AJ21"/>
  <c r="AE40"/>
  <c r="AJ32"/>
  <c r="AE44"/>
  <c r="AJ36"/>
  <c r="AE45"/>
  <c r="AJ33"/>
  <c r="AE52"/>
  <c r="AJ44"/>
  <c r="AE60"/>
  <c r="AJ41"/>
  <c r="AE64"/>
  <c r="AJ45"/>
  <c r="AE17"/>
  <c r="AJ64"/>
  <c r="AB36"/>
  <c r="AC36"/>
  <c r="AA36"/>
  <c r="Z39"/>
  <c r="AJ31"/>
  <c r="AE36"/>
  <c r="AJ28"/>
  <c r="Z47"/>
  <c r="AJ39"/>
  <c r="AB60"/>
  <c r="AC60"/>
  <c r="AA60"/>
  <c r="AE12"/>
  <c r="AJ56"/>
  <c r="AJ49"/>
  <c r="AE13"/>
  <c r="AE20"/>
  <c r="AJ12"/>
  <c r="AJ60"/>
  <c r="AE21"/>
  <c r="AE25"/>
  <c r="AJ13"/>
  <c r="AE32"/>
  <c r="AJ24"/>
  <c r="AE51"/>
  <c r="AJ47"/>
  <c r="AB12"/>
  <c r="AC12"/>
  <c r="AA12"/>
  <c r="AE15"/>
  <c r="AJ11"/>
  <c r="AC24"/>
  <c r="AA24"/>
  <c r="AB24"/>
  <c r="Z27"/>
  <c r="AJ19"/>
  <c r="AJ16"/>
  <c r="AE24"/>
  <c r="AE29"/>
  <c r="AJ17"/>
  <c r="AC49"/>
  <c r="AA49"/>
  <c r="AB49"/>
  <c r="AE47"/>
  <c r="AJ43"/>
  <c r="AB56"/>
  <c r="AC56"/>
  <c r="AA56"/>
  <c r="AC16"/>
  <c r="AA16"/>
  <c r="AB16"/>
  <c r="Z23"/>
  <c r="AJ15"/>
  <c r="AJ23"/>
  <c r="Z31"/>
  <c r="Z35"/>
  <c r="AJ27"/>
  <c r="AB45"/>
  <c r="AC45"/>
  <c r="AA45"/>
  <c r="AC48"/>
  <c r="AA48"/>
  <c r="AB48"/>
  <c r="AC52"/>
  <c r="AA52"/>
  <c r="AB52"/>
  <c r="AB64"/>
  <c r="AC64"/>
  <c r="AA64"/>
  <c r="AB17"/>
  <c r="AC17"/>
  <c r="AA17"/>
  <c r="AC21"/>
  <c r="AA21"/>
  <c r="AB21"/>
  <c r="AC29"/>
  <c r="AA29"/>
  <c r="AB29"/>
  <c r="AJ20"/>
  <c r="AE28"/>
  <c r="AB44"/>
  <c r="AC44"/>
  <c r="AA44"/>
  <c r="AE41"/>
  <c r="AJ29"/>
  <c r="AE55"/>
  <c r="AJ51"/>
  <c r="AB25" i="13"/>
  <c r="AC25"/>
  <c r="AA25"/>
  <c r="AB33"/>
  <c r="AC33"/>
  <c r="AA33"/>
  <c r="Z43"/>
  <c r="U16"/>
  <c r="AJ35" s="1"/>
  <c r="AE20"/>
  <c r="AE21"/>
  <c r="AE51"/>
  <c r="AB17"/>
  <c r="AC17"/>
  <c r="AA17"/>
  <c r="AA21"/>
  <c r="AC29"/>
  <c r="AA29"/>
  <c r="AB29"/>
  <c r="AB20"/>
  <c r="AC20"/>
  <c r="AA20"/>
  <c r="Z23"/>
  <c r="Z31"/>
  <c r="AC37"/>
  <c r="AA37"/>
  <c r="AB37"/>
  <c r="AB40"/>
  <c r="AC40"/>
  <c r="AA40"/>
  <c r="AC45"/>
  <c r="AA45"/>
  <c r="AB45"/>
  <c r="AB48"/>
  <c r="AC48"/>
  <c r="AA48"/>
  <c r="AC52"/>
  <c r="AA52"/>
  <c r="AB52"/>
  <c r="AE11"/>
  <c r="AB32"/>
  <c r="AC32"/>
  <c r="AA32"/>
  <c r="AB41"/>
  <c r="AC41"/>
  <c r="AA41"/>
  <c r="U20"/>
  <c r="AJ51" s="1"/>
  <c r="Z35"/>
  <c r="U14"/>
  <c r="AJ27" s="1"/>
  <c r="AE64"/>
  <c r="W18"/>
  <c r="AJ45" s="1"/>
  <c r="AE17"/>
  <c r="AC36"/>
  <c r="AA36"/>
  <c r="AB36"/>
  <c r="Z39"/>
  <c r="Z47"/>
  <c r="AE47"/>
  <c r="U18"/>
  <c r="AJ43" s="1"/>
  <c r="AB56"/>
  <c r="AC56"/>
  <c r="AA56"/>
  <c r="AB12"/>
  <c r="AC12"/>
  <c r="AA12"/>
  <c r="AC24"/>
  <c r="AA24"/>
  <c r="AB24"/>
  <c r="Z27"/>
  <c r="AB49"/>
  <c r="AC49"/>
  <c r="AA49"/>
  <c r="AB60"/>
  <c r="AC60"/>
  <c r="AA60"/>
  <c r="AE12" i="11"/>
  <c r="AJ56"/>
  <c r="AJ49"/>
  <c r="AE13"/>
  <c r="AE20"/>
  <c r="AJ12"/>
  <c r="AJ60"/>
  <c r="AE21"/>
  <c r="AE33"/>
  <c r="AJ21"/>
  <c r="AE40"/>
  <c r="AJ32"/>
  <c r="AE44"/>
  <c r="AJ36"/>
  <c r="AE45"/>
  <c r="AJ33"/>
  <c r="AE52"/>
  <c r="AJ44"/>
  <c r="AK44" s="1"/>
  <c r="AB12"/>
  <c r="AC12"/>
  <c r="AA12"/>
  <c r="AE15"/>
  <c r="AJ11"/>
  <c r="AC24"/>
  <c r="AA24"/>
  <c r="AB24"/>
  <c r="Z27"/>
  <c r="AJ19"/>
  <c r="AJ16"/>
  <c r="AE24"/>
  <c r="AE29"/>
  <c r="AJ17"/>
  <c r="AC49"/>
  <c r="AA49"/>
  <c r="AB49"/>
  <c r="AE47"/>
  <c r="AJ43"/>
  <c r="AB56"/>
  <c r="AC56"/>
  <c r="AA56"/>
  <c r="AC16"/>
  <c r="AA16"/>
  <c r="AB16"/>
  <c r="Z23"/>
  <c r="AJ15"/>
  <c r="AJ23"/>
  <c r="Z31"/>
  <c r="AB37"/>
  <c r="AC37"/>
  <c r="AA37"/>
  <c r="AC40"/>
  <c r="AA40"/>
  <c r="AB40"/>
  <c r="Z43"/>
  <c r="AJ35"/>
  <c r="AE60"/>
  <c r="AJ41"/>
  <c r="AE64"/>
  <c r="AJ45"/>
  <c r="AE17"/>
  <c r="AJ64"/>
  <c r="AB36"/>
  <c r="AC36"/>
  <c r="AA36"/>
  <c r="Z39"/>
  <c r="AJ31"/>
  <c r="AE36"/>
  <c r="AJ28"/>
  <c r="Z47"/>
  <c r="AJ39"/>
  <c r="AB60"/>
  <c r="AC60"/>
  <c r="AA60"/>
  <c r="AB20"/>
  <c r="AC20"/>
  <c r="AR29" s="1"/>
  <c r="AA20"/>
  <c r="AB25"/>
  <c r="AC25"/>
  <c r="AA25"/>
  <c r="AC28"/>
  <c r="AA28"/>
  <c r="AB28"/>
  <c r="AB33"/>
  <c r="AC33"/>
  <c r="AA33"/>
  <c r="Z35"/>
  <c r="AJ27"/>
  <c r="AB45"/>
  <c r="AC45"/>
  <c r="AA45"/>
  <c r="AC48"/>
  <c r="AA48"/>
  <c r="AB48"/>
  <c r="AC52"/>
  <c r="AA52"/>
  <c r="AB52"/>
  <c r="AB64"/>
  <c r="AC64"/>
  <c r="AA64"/>
  <c r="AE56"/>
  <c r="AJ48"/>
  <c r="AJ59"/>
  <c r="AE11"/>
  <c r="AJ63"/>
  <c r="AE16"/>
  <c r="AB32"/>
  <c r="AC32"/>
  <c r="AA32"/>
  <c r="AC41"/>
  <c r="AA41"/>
  <c r="AB41"/>
  <c r="AE37"/>
  <c r="AJ25"/>
  <c r="AE48"/>
  <c r="AJ40"/>
  <c r="AE55"/>
  <c r="AJ51"/>
  <c r="AE63"/>
  <c r="AJ52"/>
  <c r="AE25"/>
  <c r="AJ13"/>
  <c r="AE32"/>
  <c r="AJ24"/>
  <c r="AE51"/>
  <c r="AJ47"/>
  <c r="AB17"/>
  <c r="AQ46" s="1"/>
  <c r="AC17"/>
  <c r="AR46" s="1"/>
  <c r="AA17"/>
  <c r="AS46" s="1"/>
  <c r="AC21"/>
  <c r="AR47" s="1"/>
  <c r="AA21"/>
  <c r="AS47" s="1"/>
  <c r="AB21"/>
  <c r="AQ47" s="1"/>
  <c r="AC29"/>
  <c r="AA29"/>
  <c r="AB29"/>
  <c r="AJ20"/>
  <c r="AE28"/>
  <c r="AB44"/>
  <c r="AC44"/>
  <c r="AA44"/>
  <c r="AE41"/>
  <c r="AJ29"/>
  <c r="AR11" i="16" l="1"/>
  <c r="AR10"/>
  <c r="AS10"/>
  <c r="AS11"/>
  <c r="AQ10"/>
  <c r="AQ11"/>
  <c r="AQ27" i="15"/>
  <c r="AR47"/>
  <c r="AS11"/>
  <c r="AQ11"/>
  <c r="AR27"/>
  <c r="AR10"/>
  <c r="AR46"/>
  <c r="AR29"/>
  <c r="AQ10"/>
  <c r="AS10"/>
  <c r="AR11"/>
  <c r="W19" i="13"/>
  <c r="AJ49" s="1"/>
  <c r="W16"/>
  <c r="AJ37" s="1"/>
  <c r="AK37" s="1"/>
  <c r="AS10" i="14"/>
  <c r="AS11"/>
  <c r="AR11"/>
  <c r="AR10"/>
  <c r="AQ11"/>
  <c r="AQ10"/>
  <c r="AS29" i="11"/>
  <c r="AS27"/>
  <c r="AC83" i="16" a="1"/>
  <c r="AC83" s="1"/>
  <c r="AC84" s="1"/>
  <c r="AB83" a="1"/>
  <c r="AB83" s="1"/>
  <c r="AC83" i="15" a="1"/>
  <c r="AC83" s="1"/>
  <c r="AC84" s="1"/>
  <c r="AR56"/>
  <c r="AR48"/>
  <c r="AR39"/>
  <c r="AR31"/>
  <c r="AR23"/>
  <c r="AR15"/>
  <c r="AR59"/>
  <c r="AR51"/>
  <c r="AR44"/>
  <c r="AR36"/>
  <c r="AR20"/>
  <c r="AR12"/>
  <c r="AR58"/>
  <c r="AR50"/>
  <c r="AR41"/>
  <c r="AR33"/>
  <c r="AR25"/>
  <c r="AR17"/>
  <c r="AR61"/>
  <c r="AR53"/>
  <c r="AR45"/>
  <c r="AR38"/>
  <c r="AR30"/>
  <c r="AR22"/>
  <c r="AR14"/>
  <c r="AB83" a="1"/>
  <c r="AB83" s="1"/>
  <c r="AR60"/>
  <c r="AR52"/>
  <c r="AR43"/>
  <c r="AR35"/>
  <c r="AR19"/>
  <c r="AR55"/>
  <c r="AR40"/>
  <c r="AR32"/>
  <c r="AR24"/>
  <c r="AR16"/>
  <c r="AR62"/>
  <c r="AR54"/>
  <c r="AR37"/>
  <c r="AR21"/>
  <c r="AR13"/>
  <c r="AR57"/>
  <c r="AR49"/>
  <c r="AR42"/>
  <c r="AR34"/>
  <c r="AR26"/>
  <c r="AR18"/>
  <c r="AB83" i="14" a="1"/>
  <c r="AB83" s="1"/>
  <c r="AC83" a="1"/>
  <c r="AC83" s="1"/>
  <c r="AC84" s="1"/>
  <c r="AQ27" i="11"/>
  <c r="AB83" a="1"/>
  <c r="AR27"/>
  <c r="AC83" a="1"/>
  <c r="AB83"/>
  <c r="AC83"/>
  <c r="AC84" s="1"/>
  <c r="AR45" i="16"/>
  <c r="W11" i="13"/>
  <c r="AJ17" s="1"/>
  <c r="AM17" s="1"/>
  <c r="U22"/>
  <c r="AJ59" s="1"/>
  <c r="V24"/>
  <c r="AJ68" s="1"/>
  <c r="AK68" s="1"/>
  <c r="AS19" i="16"/>
  <c r="AS29"/>
  <c r="AS27"/>
  <c r="AQ27"/>
  <c r="AQ29"/>
  <c r="AR29"/>
  <c r="AR27"/>
  <c r="AS46" i="15"/>
  <c r="AS29"/>
  <c r="AS27"/>
  <c r="AS45"/>
  <c r="AQ45"/>
  <c r="AQ46"/>
  <c r="AS28"/>
  <c r="AQ28"/>
  <c r="AQ29"/>
  <c r="AS47"/>
  <c r="AQ47"/>
  <c r="AU11" i="14"/>
  <c r="AU13"/>
  <c r="AU15"/>
  <c r="AU17"/>
  <c r="AU19"/>
  <c r="AU21"/>
  <c r="AU23"/>
  <c r="AU25"/>
  <c r="AU43"/>
  <c r="AT10"/>
  <c r="AT11"/>
  <c r="AT12"/>
  <c r="AT13"/>
  <c r="AT14"/>
  <c r="AT15"/>
  <c r="AT16"/>
  <c r="AT17"/>
  <c r="AT18"/>
  <c r="AT19"/>
  <c r="AT20"/>
  <c r="AT21"/>
  <c r="AT22"/>
  <c r="AT23"/>
  <c r="AT24"/>
  <c r="AT25"/>
  <c r="AU44"/>
  <c r="AV26"/>
  <c r="AV43"/>
  <c r="AU58"/>
  <c r="AU60"/>
  <c r="AU62"/>
  <c r="AV57"/>
  <c r="AV58"/>
  <c r="AV59"/>
  <c r="AV60"/>
  <c r="AV61"/>
  <c r="AV62"/>
  <c r="AU10"/>
  <c r="AU14"/>
  <c r="AU18"/>
  <c r="AU22"/>
  <c r="AU26"/>
  <c r="AT26"/>
  <c r="AT43"/>
  <c r="AT44"/>
  <c r="AU59"/>
  <c r="AT57"/>
  <c r="AT58"/>
  <c r="AT59"/>
  <c r="AT60"/>
  <c r="AT61"/>
  <c r="AT62"/>
  <c r="AU12"/>
  <c r="AU16"/>
  <c r="AU20"/>
  <c r="AU24"/>
  <c r="AV44"/>
  <c r="AV10"/>
  <c r="AV11"/>
  <c r="AV12"/>
  <c r="AV13"/>
  <c r="AV14"/>
  <c r="AV15"/>
  <c r="AV16"/>
  <c r="AV17"/>
  <c r="AV18"/>
  <c r="AV19"/>
  <c r="AV20"/>
  <c r="AV21"/>
  <c r="AV22"/>
  <c r="AV23"/>
  <c r="AV24"/>
  <c r="AV25"/>
  <c r="AU57"/>
  <c r="AU61"/>
  <c r="AW25"/>
  <c r="AW23"/>
  <c r="AW21"/>
  <c r="AW19"/>
  <c r="AW17"/>
  <c r="AW15"/>
  <c r="AW13"/>
  <c r="AW11"/>
  <c r="AW26"/>
  <c r="AW24"/>
  <c r="AW22"/>
  <c r="AW20"/>
  <c r="AW18"/>
  <c r="AW16"/>
  <c r="AW14"/>
  <c r="AW12"/>
  <c r="AW10"/>
  <c r="AY12"/>
  <c r="AY16"/>
  <c r="AY20"/>
  <c r="AY24"/>
  <c r="AX10"/>
  <c r="AX11"/>
  <c r="AX12"/>
  <c r="AX13"/>
  <c r="AX14"/>
  <c r="AX15"/>
  <c r="AX16"/>
  <c r="AX17"/>
  <c r="AX18"/>
  <c r="AX19"/>
  <c r="AX20"/>
  <c r="AX21"/>
  <c r="AX22"/>
  <c r="AX23"/>
  <c r="AX24"/>
  <c r="AX25"/>
  <c r="AW57"/>
  <c r="AY58"/>
  <c r="AW61"/>
  <c r="AY62"/>
  <c r="AY11"/>
  <c r="AY13"/>
  <c r="AY15"/>
  <c r="AY17"/>
  <c r="AY19"/>
  <c r="AY21"/>
  <c r="AY23"/>
  <c r="AY25"/>
  <c r="AY10"/>
  <c r="AY14"/>
  <c r="AY18"/>
  <c r="AY22"/>
  <c r="AY26"/>
  <c r="AY57"/>
  <c r="AW58"/>
  <c r="AY61"/>
  <c r="AW62"/>
  <c r="AX26"/>
  <c r="AX57"/>
  <c r="AX58"/>
  <c r="AX61"/>
  <c r="AX62"/>
  <c r="AR45"/>
  <c r="AQ44"/>
  <c r="AQ40"/>
  <c r="AQ42"/>
  <c r="AQ16"/>
  <c r="AQ24"/>
  <c r="AS15"/>
  <c r="AS23"/>
  <c r="AS31"/>
  <c r="AS39"/>
  <c r="AQ48"/>
  <c r="AS45"/>
  <c r="AS53"/>
  <c r="AR29"/>
  <c r="AR33"/>
  <c r="AR37"/>
  <c r="AR41"/>
  <c r="AS55"/>
  <c r="AS59"/>
  <c r="AR58"/>
  <c r="AR62"/>
  <c r="AQ17"/>
  <c r="AQ30"/>
  <c r="AQ31"/>
  <c r="AQ39"/>
  <c r="AS16"/>
  <c r="BB16" s="1"/>
  <c r="AS32"/>
  <c r="BA11"/>
  <c r="AR15"/>
  <c r="AR19"/>
  <c r="BA19" s="1"/>
  <c r="AR23"/>
  <c r="AS48"/>
  <c r="AR46"/>
  <c r="AR54"/>
  <c r="AQ61"/>
  <c r="AS22"/>
  <c r="AS38"/>
  <c r="AQ45"/>
  <c r="AS58"/>
  <c r="AR49"/>
  <c r="AS44"/>
  <c r="AQ25"/>
  <c r="AQ34"/>
  <c r="AQ14"/>
  <c r="AQ22"/>
  <c r="AS13"/>
  <c r="AS21"/>
  <c r="AS29"/>
  <c r="AS37"/>
  <c r="AS46"/>
  <c r="AS54"/>
  <c r="AQ51"/>
  <c r="AR28"/>
  <c r="AR32"/>
  <c r="AR36"/>
  <c r="AR40"/>
  <c r="AR44"/>
  <c r="AQ58"/>
  <c r="AZ58" s="1"/>
  <c r="AQ62"/>
  <c r="AR57"/>
  <c r="AR61"/>
  <c r="AQ21"/>
  <c r="AQ19"/>
  <c r="AQ29"/>
  <c r="AQ37"/>
  <c r="AS12"/>
  <c r="BB12" s="1"/>
  <c r="AS28"/>
  <c r="BA10"/>
  <c r="AR14"/>
  <c r="AR18"/>
  <c r="AR22"/>
  <c r="AQ46"/>
  <c r="AS51"/>
  <c r="AR52"/>
  <c r="AS60"/>
  <c r="AS18"/>
  <c r="BB18" s="1"/>
  <c r="AS34"/>
  <c r="AS52"/>
  <c r="AQ55"/>
  <c r="AR47"/>
  <c r="AQ36"/>
  <c r="AQ23"/>
  <c r="AQ12"/>
  <c r="AQ20"/>
  <c r="AS19"/>
  <c r="AS27"/>
  <c r="AS35"/>
  <c r="AS43"/>
  <c r="AQ52"/>
  <c r="AS49"/>
  <c r="AR27"/>
  <c r="AR31"/>
  <c r="AR35"/>
  <c r="AR39"/>
  <c r="AR43"/>
  <c r="AS57"/>
  <c r="AS61"/>
  <c r="AR56"/>
  <c r="AR60"/>
  <c r="AQ13"/>
  <c r="AQ27"/>
  <c r="AQ35"/>
  <c r="AQ43"/>
  <c r="AS24"/>
  <c r="AS40"/>
  <c r="AR13"/>
  <c r="AR17"/>
  <c r="AR21"/>
  <c r="AR25"/>
  <c r="AQ49"/>
  <c r="AR50"/>
  <c r="AQ57"/>
  <c r="AS14"/>
  <c r="BB14" s="1"/>
  <c r="AS30"/>
  <c r="AQ50"/>
  <c r="AQ53"/>
  <c r="AS62"/>
  <c r="BB62" s="1"/>
  <c r="AR51"/>
  <c r="AQ28"/>
  <c r="AQ15"/>
  <c r="AQ18"/>
  <c r="AQ26"/>
  <c r="AS17"/>
  <c r="AS25"/>
  <c r="AS33"/>
  <c r="AS41"/>
  <c r="AS50"/>
  <c r="AQ47"/>
  <c r="AR26"/>
  <c r="AR30"/>
  <c r="AR34"/>
  <c r="AR38"/>
  <c r="AR42"/>
  <c r="AQ56"/>
  <c r="AQ60"/>
  <c r="AR55"/>
  <c r="AR59"/>
  <c r="AQ32"/>
  <c r="AQ38"/>
  <c r="AQ33"/>
  <c r="AQ41"/>
  <c r="AS20"/>
  <c r="BB20" s="1"/>
  <c r="AS36"/>
  <c r="AR12"/>
  <c r="BA12" s="1"/>
  <c r="AR16"/>
  <c r="AR20"/>
  <c r="AR24"/>
  <c r="AQ54"/>
  <c r="AR48"/>
  <c r="AS56"/>
  <c r="AS26"/>
  <c r="AS42"/>
  <c r="AS47"/>
  <c r="AQ59"/>
  <c r="AR53"/>
  <c r="AR52" i="13"/>
  <c r="AR41"/>
  <c r="AR37"/>
  <c r="AR22"/>
  <c r="AR18"/>
  <c r="AR33"/>
  <c r="AR29"/>
  <c r="AR26"/>
  <c r="AR14"/>
  <c r="AR10"/>
  <c r="AR48"/>
  <c r="AR11"/>
  <c r="AR13"/>
  <c r="AR15"/>
  <c r="AR17"/>
  <c r="AR19"/>
  <c r="AR21"/>
  <c r="AR23"/>
  <c r="AR25"/>
  <c r="AR30"/>
  <c r="AR32"/>
  <c r="AR34"/>
  <c r="AR36"/>
  <c r="AR38"/>
  <c r="AR44"/>
  <c r="AR45"/>
  <c r="AR47"/>
  <c r="AR49"/>
  <c r="AR51"/>
  <c r="AR53"/>
  <c r="AR55"/>
  <c r="AR61"/>
  <c r="AQ62"/>
  <c r="AQ53"/>
  <c r="AQ49"/>
  <c r="AS47"/>
  <c r="AQ38"/>
  <c r="AQ30"/>
  <c r="AQ15"/>
  <c r="AS10"/>
  <c r="AQ12"/>
  <c r="AS14"/>
  <c r="AQ16"/>
  <c r="AS18"/>
  <c r="AQ20"/>
  <c r="AS22"/>
  <c r="AQ24"/>
  <c r="AS26"/>
  <c r="AQ27"/>
  <c r="AS29"/>
  <c r="AS33"/>
  <c r="AS37"/>
  <c r="AQ39"/>
  <c r="AS41"/>
  <c r="AS46"/>
  <c r="AQ48"/>
  <c r="AS50"/>
  <c r="AS58"/>
  <c r="AQ45"/>
  <c r="AS44"/>
  <c r="AS13"/>
  <c r="AR62"/>
  <c r="AS61"/>
  <c r="AQ55"/>
  <c r="AS53"/>
  <c r="AR46"/>
  <c r="AS45"/>
  <c r="AQ40"/>
  <c r="AR39"/>
  <c r="AS38"/>
  <c r="AQ32"/>
  <c r="AS30"/>
  <c r="AQ25"/>
  <c r="AR24"/>
  <c r="AS23"/>
  <c r="AQ17"/>
  <c r="AR16"/>
  <c r="AS15"/>
  <c r="AS62"/>
  <c r="AQ61"/>
  <c r="AQ34"/>
  <c r="AQ23"/>
  <c r="AS21"/>
  <c r="AQ19"/>
  <c r="AS17"/>
  <c r="AQ10"/>
  <c r="AS12"/>
  <c r="AQ14"/>
  <c r="AS16"/>
  <c r="AQ18"/>
  <c r="AS20"/>
  <c r="AQ22"/>
  <c r="AS24"/>
  <c r="AQ26"/>
  <c r="AS27"/>
  <c r="AQ29"/>
  <c r="AS31"/>
  <c r="AQ33"/>
  <c r="AQ37"/>
  <c r="AS39"/>
  <c r="AQ41"/>
  <c r="AQ46"/>
  <c r="AS48"/>
  <c r="AQ50"/>
  <c r="AQ54"/>
  <c r="AQ58"/>
  <c r="AQ57"/>
  <c r="AS55"/>
  <c r="AS36"/>
  <c r="AS32"/>
  <c r="AS28"/>
  <c r="AS25"/>
  <c r="AQ11"/>
  <c r="AR58"/>
  <c r="AR50"/>
  <c r="AS49"/>
  <c r="AQ44"/>
  <c r="AS42"/>
  <c r="AQ36"/>
  <c r="AR35"/>
  <c r="AS34"/>
  <c r="AR27"/>
  <c r="AQ21"/>
  <c r="AR20"/>
  <c r="AS19"/>
  <c r="AQ13"/>
  <c r="AR12"/>
  <c r="AS11"/>
  <c r="AS45" i="11"/>
  <c r="AQ29"/>
  <c r="AS28"/>
  <c r="AR45"/>
  <c r="AQ45"/>
  <c r="AQ28"/>
  <c r="AR28"/>
  <c r="AS11"/>
  <c r="AQ11"/>
  <c r="AQ10"/>
  <c r="AR11"/>
  <c r="AR10"/>
  <c r="AS10"/>
  <c r="AQ58"/>
  <c r="AU10"/>
  <c r="AT11"/>
  <c r="AV11"/>
  <c r="AU12"/>
  <c r="AT13"/>
  <c r="AV13"/>
  <c r="AU14"/>
  <c r="AT15"/>
  <c r="AV15"/>
  <c r="AU16"/>
  <c r="AT17"/>
  <c r="AV17"/>
  <c r="AU18"/>
  <c r="AT19"/>
  <c r="AV19"/>
  <c r="AU20"/>
  <c r="AT21"/>
  <c r="AV21"/>
  <c r="AU22"/>
  <c r="AT23"/>
  <c r="AV23"/>
  <c r="AU24"/>
  <c r="AT25"/>
  <c r="AV25"/>
  <c r="AU26"/>
  <c r="AU43"/>
  <c r="AU58"/>
  <c r="AT59"/>
  <c r="AV59"/>
  <c r="AU60"/>
  <c r="AT61"/>
  <c r="AV61"/>
  <c r="AT10"/>
  <c r="AV10"/>
  <c r="AU11"/>
  <c r="AT12"/>
  <c r="AV12"/>
  <c r="AU13"/>
  <c r="AT14"/>
  <c r="AV14"/>
  <c r="AU15"/>
  <c r="AT16"/>
  <c r="AV16"/>
  <c r="AU17"/>
  <c r="AT18"/>
  <c r="AV18"/>
  <c r="AU19"/>
  <c r="AT20"/>
  <c r="AV20"/>
  <c r="AU21"/>
  <c r="AT22"/>
  <c r="AV22"/>
  <c r="AU23"/>
  <c r="AT24"/>
  <c r="AV24"/>
  <c r="AU25"/>
  <c r="AT26"/>
  <c r="AV26"/>
  <c r="AT43"/>
  <c r="AV43"/>
  <c r="AT58"/>
  <c r="AV58"/>
  <c r="AU59"/>
  <c r="AT60"/>
  <c r="AV60"/>
  <c r="AU61"/>
  <c r="AW17"/>
  <c r="AX20"/>
  <c r="AX12"/>
  <c r="AY57"/>
  <c r="AY19"/>
  <c r="AY15"/>
  <c r="AW13"/>
  <c r="AX13"/>
  <c r="AX17"/>
  <c r="AX21"/>
  <c r="AX25"/>
  <c r="AY10"/>
  <c r="AY12"/>
  <c r="AY14"/>
  <c r="AY16"/>
  <c r="AY18"/>
  <c r="AY20"/>
  <c r="AY22"/>
  <c r="AY24"/>
  <c r="AY26"/>
  <c r="AY61"/>
  <c r="AY23"/>
  <c r="AW21"/>
  <c r="AY11"/>
  <c r="AY25"/>
  <c r="AY21"/>
  <c r="AY17"/>
  <c r="AY13"/>
  <c r="AX24"/>
  <c r="AX16"/>
  <c r="AX11"/>
  <c r="AX15"/>
  <c r="AX19"/>
  <c r="AX23"/>
  <c r="AW57"/>
  <c r="AW25"/>
  <c r="AW10"/>
  <c r="AW12"/>
  <c r="AW14"/>
  <c r="AW16"/>
  <c r="AW18"/>
  <c r="AW20"/>
  <c r="AW22"/>
  <c r="AW24"/>
  <c r="AW26"/>
  <c r="AW61"/>
  <c r="AX61"/>
  <c r="AX57"/>
  <c r="AX26"/>
  <c r="AW23"/>
  <c r="AX22"/>
  <c r="AW19"/>
  <c r="AX18"/>
  <c r="AW15"/>
  <c r="AX14"/>
  <c r="AW11"/>
  <c r="AX10"/>
  <c r="AQ50"/>
  <c r="AR42"/>
  <c r="AR26"/>
  <c r="AR57"/>
  <c r="AR49"/>
  <c r="AQ41"/>
  <c r="AS25"/>
  <c r="AR60"/>
  <c r="AR43"/>
  <c r="AR23"/>
  <c r="AS57"/>
  <c r="AS18"/>
  <c r="AS26"/>
  <c r="AS33"/>
  <c r="AS58"/>
  <c r="AS50"/>
  <c r="AS38"/>
  <c r="AS30"/>
  <c r="AR20"/>
  <c r="AR12"/>
  <c r="AR50"/>
  <c r="AQ59"/>
  <c r="AQ49"/>
  <c r="AQ15"/>
  <c r="AR25"/>
  <c r="AR36"/>
  <c r="AQ14"/>
  <c r="AQ22"/>
  <c r="AQ37"/>
  <c r="AQ51"/>
  <c r="AQ42"/>
  <c r="AQ23"/>
  <c r="AS41"/>
  <c r="AQ13"/>
  <c r="AQ56"/>
  <c r="AQ48"/>
  <c r="AR37"/>
  <c r="AR22"/>
  <c r="AQ62"/>
  <c r="AR55"/>
  <c r="AQ34"/>
  <c r="AS21"/>
  <c r="AR56"/>
  <c r="AR32"/>
  <c r="AS55"/>
  <c r="AS12"/>
  <c r="AS20"/>
  <c r="AS35"/>
  <c r="AS61"/>
  <c r="AS42"/>
  <c r="AS56"/>
  <c r="AS48"/>
  <c r="AR35"/>
  <c r="AS19"/>
  <c r="AQ57"/>
  <c r="AS44"/>
  <c r="AR13"/>
  <c r="BA13" s="1"/>
  <c r="AR40"/>
  <c r="AQ16"/>
  <c r="AQ24"/>
  <c r="AQ31"/>
  <c r="AQ39"/>
  <c r="AS40"/>
  <c r="AS17"/>
  <c r="AQ40"/>
  <c r="AQ25"/>
  <c r="AQ54"/>
  <c r="AR33"/>
  <c r="AR18"/>
  <c r="AR61"/>
  <c r="AR53"/>
  <c r="AQ30"/>
  <c r="AS13"/>
  <c r="AR52"/>
  <c r="AR15"/>
  <c r="AR38"/>
  <c r="AS53"/>
  <c r="AS14"/>
  <c r="AS22"/>
  <c r="AS37"/>
  <c r="AS51"/>
  <c r="AS62"/>
  <c r="AS54"/>
  <c r="AS34"/>
  <c r="AR24"/>
  <c r="AR16"/>
  <c r="AR58"/>
  <c r="AR41"/>
  <c r="AQ55"/>
  <c r="AQ38"/>
  <c r="AR17"/>
  <c r="AR30"/>
  <c r="AQ18"/>
  <c r="AQ26"/>
  <c r="AQ33"/>
  <c r="AQ61"/>
  <c r="AS36"/>
  <c r="AQ36"/>
  <c r="AQ21"/>
  <c r="AQ60"/>
  <c r="AQ52"/>
  <c r="AR44"/>
  <c r="AR59"/>
  <c r="AR51"/>
  <c r="AQ43"/>
  <c r="AR14"/>
  <c r="AR48"/>
  <c r="AR19"/>
  <c r="AS49"/>
  <c r="AS16"/>
  <c r="AS24"/>
  <c r="AS31"/>
  <c r="AS39"/>
  <c r="AS60"/>
  <c r="AS52"/>
  <c r="AR39"/>
  <c r="AR31"/>
  <c r="AS23"/>
  <c r="AS15"/>
  <c r="AR54"/>
  <c r="AR62"/>
  <c r="AQ53"/>
  <c r="AQ19"/>
  <c r="AR21"/>
  <c r="AR34"/>
  <c r="AQ12"/>
  <c r="AQ20"/>
  <c r="AQ35"/>
  <c r="AS59"/>
  <c r="AQ44"/>
  <c r="AS32"/>
  <c r="AS43"/>
  <c r="AQ32"/>
  <c r="AQ17"/>
  <c r="AV11" i="16"/>
  <c r="AU15"/>
  <c r="AT15"/>
  <c r="AV19"/>
  <c r="AU23"/>
  <c r="AT23"/>
  <c r="AV40"/>
  <c r="AU44"/>
  <c r="AT44"/>
  <c r="AV47"/>
  <c r="AU59"/>
  <c r="AT59"/>
  <c r="AU13"/>
  <c r="AT13"/>
  <c r="AV17"/>
  <c r="AU21"/>
  <c r="AT21"/>
  <c r="AV25"/>
  <c r="AV45"/>
  <c r="AV61"/>
  <c r="AV62"/>
  <c r="AU62"/>
  <c r="AT10"/>
  <c r="AV12"/>
  <c r="AU12"/>
  <c r="AT14"/>
  <c r="AV16"/>
  <c r="AU16"/>
  <c r="AT18"/>
  <c r="AV20"/>
  <c r="AU20"/>
  <c r="AT22"/>
  <c r="AV24"/>
  <c r="AU24"/>
  <c r="AT26"/>
  <c r="AV43"/>
  <c r="AU43"/>
  <c r="AT58"/>
  <c r="AV60"/>
  <c r="AU60"/>
  <c r="AU11"/>
  <c r="AT11"/>
  <c r="AV15"/>
  <c r="AU19"/>
  <c r="AT19"/>
  <c r="AV23"/>
  <c r="AU40"/>
  <c r="AT40"/>
  <c r="AV44"/>
  <c r="AU47"/>
  <c r="AT47"/>
  <c r="AV59"/>
  <c r="AV13"/>
  <c r="AU17"/>
  <c r="AT17"/>
  <c r="AV21"/>
  <c r="AU25"/>
  <c r="AT25"/>
  <c r="AU45"/>
  <c r="AT45"/>
  <c r="AU61"/>
  <c r="AT61"/>
  <c r="AT62"/>
  <c r="AV10"/>
  <c r="AU10"/>
  <c r="AT12"/>
  <c r="AV14"/>
  <c r="AU14"/>
  <c r="AT16"/>
  <c r="AV18"/>
  <c r="AU18"/>
  <c r="AT20"/>
  <c r="AV22"/>
  <c r="AU22"/>
  <c r="AT24"/>
  <c r="AV26"/>
  <c r="AU26"/>
  <c r="AT43"/>
  <c r="AV58"/>
  <c r="AU58"/>
  <c r="AT60"/>
  <c r="AW11"/>
  <c r="AY15"/>
  <c r="AX15"/>
  <c r="AW19"/>
  <c r="AY23"/>
  <c r="AX23"/>
  <c r="AW40"/>
  <c r="AY13"/>
  <c r="AX13"/>
  <c r="AW17"/>
  <c r="AY21"/>
  <c r="AX21"/>
  <c r="AW25"/>
  <c r="AY49"/>
  <c r="AX49"/>
  <c r="AW61"/>
  <c r="AY62"/>
  <c r="AX10"/>
  <c r="AW10"/>
  <c r="AZ10" s="1"/>
  <c r="AY12"/>
  <c r="AX14"/>
  <c r="AW14"/>
  <c r="AY16"/>
  <c r="AX18"/>
  <c r="AW18"/>
  <c r="AY20"/>
  <c r="AX22"/>
  <c r="AW22"/>
  <c r="AY24"/>
  <c r="AX26"/>
  <c r="AW26"/>
  <c r="AY48"/>
  <c r="AY11"/>
  <c r="AX11"/>
  <c r="AW15"/>
  <c r="AY19"/>
  <c r="AX19"/>
  <c r="AW23"/>
  <c r="AY40"/>
  <c r="AX40"/>
  <c r="AW13"/>
  <c r="AY17"/>
  <c r="AX17"/>
  <c r="AW21"/>
  <c r="AY25"/>
  <c r="AX25"/>
  <c r="AW49"/>
  <c r="AY61"/>
  <c r="AX61"/>
  <c r="AX62"/>
  <c r="AW62"/>
  <c r="AY10"/>
  <c r="AX12"/>
  <c r="AW12"/>
  <c r="AY14"/>
  <c r="AX16"/>
  <c r="AW16"/>
  <c r="AY18"/>
  <c r="AX20"/>
  <c r="AW20"/>
  <c r="AY22"/>
  <c r="AX24"/>
  <c r="AW24"/>
  <c r="AY26"/>
  <c r="AX48"/>
  <c r="AW48"/>
  <c r="AQ58"/>
  <c r="AS56"/>
  <c r="AR54"/>
  <c r="AQ50"/>
  <c r="AS48"/>
  <c r="AR46"/>
  <c r="AQ41"/>
  <c r="AS39"/>
  <c r="AR37"/>
  <c r="AQ33"/>
  <c r="AS31"/>
  <c r="AQ26"/>
  <c r="AS24"/>
  <c r="AR22"/>
  <c r="AQ18"/>
  <c r="AS16"/>
  <c r="AR14"/>
  <c r="AS62"/>
  <c r="AR57"/>
  <c r="AQ53"/>
  <c r="AS49"/>
  <c r="AR42"/>
  <c r="AQ38"/>
  <c r="AS36"/>
  <c r="AR28"/>
  <c r="AQ25"/>
  <c r="AS21"/>
  <c r="AR13"/>
  <c r="AS59"/>
  <c r="AR51"/>
  <c r="AQ47"/>
  <c r="AS44"/>
  <c r="AR34"/>
  <c r="AQ30"/>
  <c r="AS23"/>
  <c r="AR15"/>
  <c r="AR60"/>
  <c r="AQ56"/>
  <c r="AS54"/>
  <c r="AR52"/>
  <c r="AQ48"/>
  <c r="AR43"/>
  <c r="AQ39"/>
  <c r="AS37"/>
  <c r="AR35"/>
  <c r="AQ31"/>
  <c r="AQ24"/>
  <c r="AS22"/>
  <c r="AR20"/>
  <c r="BA20" s="1"/>
  <c r="AQ16"/>
  <c r="AS14"/>
  <c r="AR12"/>
  <c r="AQ62"/>
  <c r="AR61"/>
  <c r="AQ57"/>
  <c r="AS53"/>
  <c r="AQ42"/>
  <c r="AS38"/>
  <c r="AR32"/>
  <c r="AS25"/>
  <c r="AR17"/>
  <c r="AQ13"/>
  <c r="AR55"/>
  <c r="AQ51"/>
  <c r="AS47"/>
  <c r="AR40"/>
  <c r="AQ34"/>
  <c r="AS30"/>
  <c r="AR19"/>
  <c r="AQ15"/>
  <c r="AS60"/>
  <c r="AR58"/>
  <c r="AQ54"/>
  <c r="AS52"/>
  <c r="AR50"/>
  <c r="AQ46"/>
  <c r="AS43"/>
  <c r="AR41"/>
  <c r="AQ37"/>
  <c r="AS35"/>
  <c r="AR33"/>
  <c r="AR26"/>
  <c r="AQ22"/>
  <c r="AS20"/>
  <c r="AR18"/>
  <c r="AQ14"/>
  <c r="AS12"/>
  <c r="AQ61"/>
  <c r="AS57"/>
  <c r="AR49"/>
  <c r="AQ45"/>
  <c r="AS42"/>
  <c r="AR36"/>
  <c r="AQ32"/>
  <c r="AS28"/>
  <c r="AR21"/>
  <c r="AQ17"/>
  <c r="AS13"/>
  <c r="AR59"/>
  <c r="AQ55"/>
  <c r="AS51"/>
  <c r="AR44"/>
  <c r="AQ40"/>
  <c r="AS34"/>
  <c r="AR23"/>
  <c r="AQ19"/>
  <c r="AS15"/>
  <c r="AQ60"/>
  <c r="AS58"/>
  <c r="AR56"/>
  <c r="AQ52"/>
  <c r="AS50"/>
  <c r="AR48"/>
  <c r="AQ43"/>
  <c r="AS41"/>
  <c r="AR39"/>
  <c r="AQ35"/>
  <c r="AS33"/>
  <c r="AR31"/>
  <c r="AS26"/>
  <c r="AR24"/>
  <c r="AQ20"/>
  <c r="AS18"/>
  <c r="AR16"/>
  <c r="AQ12"/>
  <c r="AR62"/>
  <c r="AS61"/>
  <c r="AR53"/>
  <c r="AQ49"/>
  <c r="AS45"/>
  <c r="AR38"/>
  <c r="AQ36"/>
  <c r="AS32"/>
  <c r="AR25"/>
  <c r="AQ21"/>
  <c r="AS17"/>
  <c r="AQ59"/>
  <c r="AS55"/>
  <c r="AR47"/>
  <c r="AQ44"/>
  <c r="AS40"/>
  <c r="AR30"/>
  <c r="AQ23"/>
  <c r="AQ31" i="15"/>
  <c r="AX19"/>
  <c r="AW40"/>
  <c r="AX11"/>
  <c r="AX12"/>
  <c r="AW10"/>
  <c r="AY11"/>
  <c r="AW12"/>
  <c r="AY13"/>
  <c r="AW14"/>
  <c r="AY15"/>
  <c r="AW16"/>
  <c r="AY17"/>
  <c r="AW18"/>
  <c r="AY19"/>
  <c r="AW20"/>
  <c r="AY21"/>
  <c r="AW22"/>
  <c r="AY23"/>
  <c r="AW24"/>
  <c r="AY25"/>
  <c r="AX26"/>
  <c r="AX14"/>
  <c r="AX15"/>
  <c r="AX16"/>
  <c r="AX17"/>
  <c r="AX18"/>
  <c r="AY26"/>
  <c r="AY48"/>
  <c r="AW61"/>
  <c r="AY62"/>
  <c r="AY40"/>
  <c r="AX10"/>
  <c r="AY10"/>
  <c r="AW11"/>
  <c r="AY12"/>
  <c r="AW13"/>
  <c r="AY14"/>
  <c r="AW15"/>
  <c r="AY16"/>
  <c r="AW17"/>
  <c r="AY18"/>
  <c r="AW19"/>
  <c r="AY20"/>
  <c r="AW21"/>
  <c r="AY22"/>
  <c r="AW23"/>
  <c r="AY24"/>
  <c r="AW25"/>
  <c r="AW26"/>
  <c r="AX13"/>
  <c r="AX20"/>
  <c r="AX21"/>
  <c r="AX22"/>
  <c r="AX23"/>
  <c r="AX24"/>
  <c r="AX25"/>
  <c r="AW48"/>
  <c r="AX48"/>
  <c r="AX40"/>
  <c r="AY61"/>
  <c r="AW62"/>
  <c r="AX61"/>
  <c r="AX62"/>
  <c r="AS62"/>
  <c r="AS60"/>
  <c r="AS58"/>
  <c r="AS56"/>
  <c r="AS51"/>
  <c r="AQ54"/>
  <c r="AQ50"/>
  <c r="AQ26"/>
  <c r="AQ24"/>
  <c r="AQ22"/>
  <c r="AQ20"/>
  <c r="AQ18"/>
  <c r="AQ16"/>
  <c r="AQ14"/>
  <c r="AQ12"/>
  <c r="AS41"/>
  <c r="AS37"/>
  <c r="AS33"/>
  <c r="AQ62"/>
  <c r="AQ60"/>
  <c r="AQ58"/>
  <c r="AQ56"/>
  <c r="AS53"/>
  <c r="AS49"/>
  <c r="AQ52"/>
  <c r="AQ48"/>
  <c r="AQ25"/>
  <c r="AQ23"/>
  <c r="AQ21"/>
  <c r="AQ19"/>
  <c r="AQ17"/>
  <c r="AQ15"/>
  <c r="AQ13"/>
  <c r="AS42"/>
  <c r="AS38"/>
  <c r="AS34"/>
  <c r="AS30"/>
  <c r="AQ44"/>
  <c r="AQ42"/>
  <c r="AQ40"/>
  <c r="AQ38"/>
  <c r="AQ36"/>
  <c r="AQ34"/>
  <c r="AQ32"/>
  <c r="AQ30"/>
  <c r="AS44"/>
  <c r="AU40"/>
  <c r="AV44"/>
  <c r="AT10"/>
  <c r="AV14"/>
  <c r="AU11"/>
  <c r="AU13"/>
  <c r="AU15"/>
  <c r="AU17"/>
  <c r="BA17" s="1"/>
  <c r="AU19"/>
  <c r="AU21"/>
  <c r="AU23"/>
  <c r="AU25"/>
  <c r="AT26"/>
  <c r="AV10"/>
  <c r="BB10" s="1"/>
  <c r="AV13"/>
  <c r="AT15"/>
  <c r="AT16"/>
  <c r="AT17"/>
  <c r="AT18"/>
  <c r="AT19"/>
  <c r="AV20"/>
  <c r="AV21"/>
  <c r="AV22"/>
  <c r="AV23"/>
  <c r="AV24"/>
  <c r="AV25"/>
  <c r="AU44"/>
  <c r="AV40"/>
  <c r="AV43"/>
  <c r="AU58"/>
  <c r="AU60"/>
  <c r="AU62"/>
  <c r="AV58"/>
  <c r="AV59"/>
  <c r="AV60"/>
  <c r="AV61"/>
  <c r="AV62"/>
  <c r="AV12"/>
  <c r="AU43"/>
  <c r="AV11"/>
  <c r="AT12"/>
  <c r="AT13"/>
  <c r="AU10"/>
  <c r="AU12"/>
  <c r="AU14"/>
  <c r="AU16"/>
  <c r="AU18"/>
  <c r="AU20"/>
  <c r="AU22"/>
  <c r="AU24"/>
  <c r="AV26"/>
  <c r="AT11"/>
  <c r="AT14"/>
  <c r="AV15"/>
  <c r="AV16"/>
  <c r="AV17"/>
  <c r="AV18"/>
  <c r="AV19"/>
  <c r="AT20"/>
  <c r="AT21"/>
  <c r="AT22"/>
  <c r="AT23"/>
  <c r="AT24"/>
  <c r="AT25"/>
  <c r="AU26"/>
  <c r="AT40"/>
  <c r="AT43"/>
  <c r="AT44"/>
  <c r="AT45"/>
  <c r="AU59"/>
  <c r="AU61"/>
  <c r="AT58"/>
  <c r="AT59"/>
  <c r="AT60"/>
  <c r="AT61"/>
  <c r="AT62"/>
  <c r="AQ61"/>
  <c r="AQ59"/>
  <c r="AQ57"/>
  <c r="AQ55"/>
  <c r="AQ53"/>
  <c r="AQ49"/>
  <c r="AS52"/>
  <c r="AS48"/>
  <c r="AS25"/>
  <c r="AS23"/>
  <c r="AS21"/>
  <c r="AS19"/>
  <c r="AS17"/>
  <c r="AS15"/>
  <c r="AS13"/>
  <c r="AS43"/>
  <c r="AS39"/>
  <c r="AS35"/>
  <c r="AS31"/>
  <c r="AS61"/>
  <c r="AS59"/>
  <c r="AS57"/>
  <c r="AS55"/>
  <c r="AQ51"/>
  <c r="AS54"/>
  <c r="AS50"/>
  <c r="AS26"/>
  <c r="AS24"/>
  <c r="AS22"/>
  <c r="AS20"/>
  <c r="AS18"/>
  <c r="AS16"/>
  <c r="AS14"/>
  <c r="AS12"/>
  <c r="AS40"/>
  <c r="AS36"/>
  <c r="AS32"/>
  <c r="AQ43"/>
  <c r="AQ41"/>
  <c r="AQ39"/>
  <c r="AQ37"/>
  <c r="AQ35"/>
  <c r="AQ33"/>
  <c r="AR9"/>
  <c r="AR9" i="16"/>
  <c r="AS9"/>
  <c r="AQ9"/>
  <c r="AS9" i="15"/>
  <c r="AQ9"/>
  <c r="AR9" i="14"/>
  <c r="AS9"/>
  <c r="AQ9"/>
  <c r="AQ9" i="13"/>
  <c r="AS9"/>
  <c r="AR9"/>
  <c r="AQ9" i="11"/>
  <c r="AS9"/>
  <c r="AR9"/>
  <c r="AA7" i="17"/>
  <c r="AA22"/>
  <c r="AA20"/>
  <c r="AA18"/>
  <c r="AA16"/>
  <c r="AA14"/>
  <c r="AA12"/>
  <c r="AA10"/>
  <c r="AA8"/>
  <c r="AA41"/>
  <c r="AA39"/>
  <c r="AA37"/>
  <c r="AA35"/>
  <c r="AA33"/>
  <c r="AA31"/>
  <c r="AA29"/>
  <c r="AA27"/>
  <c r="AA25"/>
  <c r="AA59"/>
  <c r="AA57"/>
  <c r="AA55"/>
  <c r="AA53"/>
  <c r="AA51"/>
  <c r="AA49"/>
  <c r="AA47"/>
  <c r="AA45"/>
  <c r="AA43"/>
  <c r="AA23"/>
  <c r="AA21"/>
  <c r="AA19"/>
  <c r="AA17"/>
  <c r="AA15"/>
  <c r="AA13"/>
  <c r="AA11"/>
  <c r="AA9"/>
  <c r="AA24"/>
  <c r="AA40"/>
  <c r="AA38"/>
  <c r="AA36"/>
  <c r="AA34"/>
  <c r="AA32"/>
  <c r="AA30"/>
  <c r="AA28"/>
  <c r="AA26"/>
  <c r="AA42"/>
  <c r="AA58"/>
  <c r="AA56"/>
  <c r="AA54"/>
  <c r="AA52"/>
  <c r="AA50"/>
  <c r="AA48"/>
  <c r="AA46"/>
  <c r="AA44"/>
  <c r="AA6"/>
  <c r="W23" i="13"/>
  <c r="AJ65" s="1"/>
  <c r="AM65" s="1"/>
  <c r="V26"/>
  <c r="AJ76" s="1"/>
  <c r="AH57"/>
  <c r="AC16"/>
  <c r="AR28" s="1"/>
  <c r="AF57"/>
  <c r="V14"/>
  <c r="AG68"/>
  <c r="U23"/>
  <c r="AJ63" s="1"/>
  <c r="V18"/>
  <c r="AJ44" s="1"/>
  <c r="AM44" s="1"/>
  <c r="V19"/>
  <c r="AJ48" s="1"/>
  <c r="AL48" s="1"/>
  <c r="V21"/>
  <c r="AJ56" s="1"/>
  <c r="AA44"/>
  <c r="AS35" s="1"/>
  <c r="AB16"/>
  <c r="AQ28" s="1"/>
  <c r="V23"/>
  <c r="AJ64" s="1"/>
  <c r="AL64" s="1"/>
  <c r="U27"/>
  <c r="AJ79" s="1"/>
  <c r="V22"/>
  <c r="AJ60" s="1"/>
  <c r="AB21"/>
  <c r="AQ47" s="1"/>
  <c r="V27"/>
  <c r="AJ80" s="1"/>
  <c r="AG77"/>
  <c r="AF77"/>
  <c r="AH77"/>
  <c r="AM77"/>
  <c r="AL77"/>
  <c r="AK77"/>
  <c r="W13"/>
  <c r="AJ25" s="1"/>
  <c r="AL25" s="1"/>
  <c r="AC72"/>
  <c r="AR42" s="1"/>
  <c r="W10"/>
  <c r="AJ13" s="1"/>
  <c r="AK13" s="1"/>
  <c r="W14"/>
  <c r="AJ29" s="1"/>
  <c r="AK29" s="1"/>
  <c r="AB44"/>
  <c r="AQ35" s="1"/>
  <c r="AF68"/>
  <c r="U25"/>
  <c r="AJ71" s="1"/>
  <c r="W12"/>
  <c r="AJ21" s="1"/>
  <c r="AK21" s="1"/>
  <c r="AB72"/>
  <c r="AQ42" s="1"/>
  <c r="AB76"/>
  <c r="AQ43" s="1"/>
  <c r="AA76"/>
  <c r="AS43" s="1"/>
  <c r="AC76"/>
  <c r="AR43" s="1"/>
  <c r="V25"/>
  <c r="AJ72" s="1"/>
  <c r="AK72" s="1"/>
  <c r="AE76"/>
  <c r="AE80"/>
  <c r="AK69"/>
  <c r="AK73"/>
  <c r="AM73"/>
  <c r="AL73"/>
  <c r="V20"/>
  <c r="AJ52" s="1"/>
  <c r="AM52" s="1"/>
  <c r="AE16"/>
  <c r="AF16" s="1"/>
  <c r="W15"/>
  <c r="AJ33" s="1"/>
  <c r="AM33" s="1"/>
  <c r="AE55"/>
  <c r="V16"/>
  <c r="AJ36" s="1"/>
  <c r="V17"/>
  <c r="AJ40" s="1"/>
  <c r="V13"/>
  <c r="AJ24" s="1"/>
  <c r="AK24" s="1"/>
  <c r="AB28"/>
  <c r="AQ31" s="1"/>
  <c r="AE48"/>
  <c r="AG48" s="1"/>
  <c r="AJ47"/>
  <c r="U13"/>
  <c r="AJ23" s="1"/>
  <c r="V11"/>
  <c r="AJ16" s="1"/>
  <c r="AK16" s="1"/>
  <c r="U11"/>
  <c r="AJ15" s="1"/>
  <c r="V10"/>
  <c r="AJ12" s="1"/>
  <c r="AL12" s="1"/>
  <c r="V15"/>
  <c r="AJ32" s="1"/>
  <c r="AM32" s="1"/>
  <c r="V12"/>
  <c r="AJ20" s="1"/>
  <c r="AL20" s="1"/>
  <c r="AJ28"/>
  <c r="AK28" s="1"/>
  <c r="U12"/>
  <c r="AJ19" s="1"/>
  <c r="AC28"/>
  <c r="AR31" s="1"/>
  <c r="AE52"/>
  <c r="AF52" s="1"/>
  <c r="AE45"/>
  <c r="AH45" s="1"/>
  <c r="AE24"/>
  <c r="AH24" s="1"/>
  <c r="U10"/>
  <c r="AJ11" s="1"/>
  <c r="AE15"/>
  <c r="W17"/>
  <c r="AJ41" s="1"/>
  <c r="AM41" s="1"/>
  <c r="AC64"/>
  <c r="AR40" s="1"/>
  <c r="AA64"/>
  <c r="AS40" s="1"/>
  <c r="AL53"/>
  <c r="AM53"/>
  <c r="AK53"/>
  <c r="AL57"/>
  <c r="AM57"/>
  <c r="AL61"/>
  <c r="AK61"/>
  <c r="AM37"/>
  <c r="AL44" i="16"/>
  <c r="AW39" s="1"/>
  <c r="AM44"/>
  <c r="AX39" s="1"/>
  <c r="AK44"/>
  <c r="AY39" s="1"/>
  <c r="AM36"/>
  <c r="AX37" s="1"/>
  <c r="AK36"/>
  <c r="AY37" s="1"/>
  <c r="AL36"/>
  <c r="AW37" s="1"/>
  <c r="AL56"/>
  <c r="AW42" s="1"/>
  <c r="AM56"/>
  <c r="AX42" s="1"/>
  <c r="AK56"/>
  <c r="AY42" s="1"/>
  <c r="AM40"/>
  <c r="AX38" s="1"/>
  <c r="AK40"/>
  <c r="AY38" s="1"/>
  <c r="AL40"/>
  <c r="AW38" s="1"/>
  <c r="AL29"/>
  <c r="AW55" s="1"/>
  <c r="AM29"/>
  <c r="AX55" s="1"/>
  <c r="AK29"/>
  <c r="AY55" s="1"/>
  <c r="AM25"/>
  <c r="AX54" s="1"/>
  <c r="AK25"/>
  <c r="AY54" s="1"/>
  <c r="AL25"/>
  <c r="AW54" s="1"/>
  <c r="AM20"/>
  <c r="AX33" s="1"/>
  <c r="AK20"/>
  <c r="AY33" s="1"/>
  <c r="AL20"/>
  <c r="AW33" s="1"/>
  <c r="AL16"/>
  <c r="AW32" s="1"/>
  <c r="AM16"/>
  <c r="AX32" s="1"/>
  <c r="AK16"/>
  <c r="AY32" s="1"/>
  <c r="AH17"/>
  <c r="AF17"/>
  <c r="AG17"/>
  <c r="AL45"/>
  <c r="AW59" s="1"/>
  <c r="AM45"/>
  <c r="AK45"/>
  <c r="AM33"/>
  <c r="AX56" s="1"/>
  <c r="AK33"/>
  <c r="AY56" s="1"/>
  <c r="AL33"/>
  <c r="AW56" s="1"/>
  <c r="AL24"/>
  <c r="AW34" s="1"/>
  <c r="AM24"/>
  <c r="AX34" s="1"/>
  <c r="AK24"/>
  <c r="AY34" s="1"/>
  <c r="AG21"/>
  <c r="AH21"/>
  <c r="AF21"/>
  <c r="AL28"/>
  <c r="AW35" s="1"/>
  <c r="AM28"/>
  <c r="AX35" s="1"/>
  <c r="AK28"/>
  <c r="AY35" s="1"/>
  <c r="AM17"/>
  <c r="AX52" s="1"/>
  <c r="AK17"/>
  <c r="AY52" s="1"/>
  <c r="AL17"/>
  <c r="AW52" s="1"/>
  <c r="AH33"/>
  <c r="AU9" s="1"/>
  <c r="AF33"/>
  <c r="AV9" s="1"/>
  <c r="AG33"/>
  <c r="AT9" s="1"/>
  <c r="AL13"/>
  <c r="AW51" s="1"/>
  <c r="AM13"/>
  <c r="AX51" s="1"/>
  <c r="AK13"/>
  <c r="AY51" s="1"/>
  <c r="AH20"/>
  <c r="AU31" s="1"/>
  <c r="AF20"/>
  <c r="AV31" s="1"/>
  <c r="AG20"/>
  <c r="AT31" s="1"/>
  <c r="AM32"/>
  <c r="AX36" s="1"/>
  <c r="AK32"/>
  <c r="AY36" s="1"/>
  <c r="AL32"/>
  <c r="AW36" s="1"/>
  <c r="AG13"/>
  <c r="AH13"/>
  <c r="AF13"/>
  <c r="AM37"/>
  <c r="AX57" s="1"/>
  <c r="AK37"/>
  <c r="AY57" s="1"/>
  <c r="AL37"/>
  <c r="AW57" s="1"/>
  <c r="AG60"/>
  <c r="AT41" s="1"/>
  <c r="AH60"/>
  <c r="AU41" s="1"/>
  <c r="AF60"/>
  <c r="AV41" s="1"/>
  <c r="AH52"/>
  <c r="AU39" s="1"/>
  <c r="AF52"/>
  <c r="AV39" s="1"/>
  <c r="AG52"/>
  <c r="AT39" s="1"/>
  <c r="AG44"/>
  <c r="AT37" s="1"/>
  <c r="AH44"/>
  <c r="AU37" s="1"/>
  <c r="AF44"/>
  <c r="AV37" s="1"/>
  <c r="AH12"/>
  <c r="AF12"/>
  <c r="AG12"/>
  <c r="AH48"/>
  <c r="AU38" s="1"/>
  <c r="AF48"/>
  <c r="AV38" s="1"/>
  <c r="AG48"/>
  <c r="AT38" s="1"/>
  <c r="AH41"/>
  <c r="AU55" s="1"/>
  <c r="AF41"/>
  <c r="AV55" s="1"/>
  <c r="AG41"/>
  <c r="AT55" s="1"/>
  <c r="AH37"/>
  <c r="AU54" s="1"/>
  <c r="AF37"/>
  <c r="AV54" s="1"/>
  <c r="AG37"/>
  <c r="AT54" s="1"/>
  <c r="AG28"/>
  <c r="AH28"/>
  <c r="AF28"/>
  <c r="AV33" s="1"/>
  <c r="AG24"/>
  <c r="AT32" s="1"/>
  <c r="AH24"/>
  <c r="AF24"/>
  <c r="AV32" s="1"/>
  <c r="AL64"/>
  <c r="AW44" s="1"/>
  <c r="AM64"/>
  <c r="AK64"/>
  <c r="AG16"/>
  <c r="AH16"/>
  <c r="AU30" s="1"/>
  <c r="AF16"/>
  <c r="AG64"/>
  <c r="AT42" s="1"/>
  <c r="AH64"/>
  <c r="AU42" s="1"/>
  <c r="AF64"/>
  <c r="AV42" s="1"/>
  <c r="AG45"/>
  <c r="AT56" s="1"/>
  <c r="AH45"/>
  <c r="AU56" s="1"/>
  <c r="AF45"/>
  <c r="AV56" s="1"/>
  <c r="AH32"/>
  <c r="AU34" s="1"/>
  <c r="AF32"/>
  <c r="AV34" s="1"/>
  <c r="AG32"/>
  <c r="AL60"/>
  <c r="AM60"/>
  <c r="AK60"/>
  <c r="AH36"/>
  <c r="AU35" s="1"/>
  <c r="AF36"/>
  <c r="AV35" s="1"/>
  <c r="AG36"/>
  <c r="AT35" s="1"/>
  <c r="AG29"/>
  <c r="AH29"/>
  <c r="AF29"/>
  <c r="AV52" s="1"/>
  <c r="AL21"/>
  <c r="AW9" s="1"/>
  <c r="AM21"/>
  <c r="AX9" s="1"/>
  <c r="AK21"/>
  <c r="AY9" s="1"/>
  <c r="AH25"/>
  <c r="AU51" s="1"/>
  <c r="AF25"/>
  <c r="AV51" s="1"/>
  <c r="AG25"/>
  <c r="AM12"/>
  <c r="AK12"/>
  <c r="AY31" s="1"/>
  <c r="AL12"/>
  <c r="AM52"/>
  <c r="AX41" s="1"/>
  <c r="AK52"/>
  <c r="AY41" s="1"/>
  <c r="AL52"/>
  <c r="AW41" s="1"/>
  <c r="AH40"/>
  <c r="AU36" s="1"/>
  <c r="AF40"/>
  <c r="AV36" s="1"/>
  <c r="AG40"/>
  <c r="AT36" s="1"/>
  <c r="AM49"/>
  <c r="AX47" s="1"/>
  <c r="AK49"/>
  <c r="AY60" s="1"/>
  <c r="AL49"/>
  <c r="AW47" s="1"/>
  <c r="AH49"/>
  <c r="AU57" s="1"/>
  <c r="AF49"/>
  <c r="AV57" s="1"/>
  <c r="AG49"/>
  <c r="AT57" s="1"/>
  <c r="AM41"/>
  <c r="AK41"/>
  <c r="AL41"/>
  <c r="AW45" s="1"/>
  <c r="AH48" i="15"/>
  <c r="AU38" s="1"/>
  <c r="AF48"/>
  <c r="AV38" s="1"/>
  <c r="AG48"/>
  <c r="AT38" s="1"/>
  <c r="AH41"/>
  <c r="AU55" s="1"/>
  <c r="AF41"/>
  <c r="AV55" s="1"/>
  <c r="AG41"/>
  <c r="AT55" s="1"/>
  <c r="AG37"/>
  <c r="AT54" s="1"/>
  <c r="AH37"/>
  <c r="AU54" s="1"/>
  <c r="AF37"/>
  <c r="AV54" s="1"/>
  <c r="AH36"/>
  <c r="AU35" s="1"/>
  <c r="AF36"/>
  <c r="AV35" s="1"/>
  <c r="AG36"/>
  <c r="AT35" s="1"/>
  <c r="AG29"/>
  <c r="AT52" s="1"/>
  <c r="AH29"/>
  <c r="AU52" s="1"/>
  <c r="AF29"/>
  <c r="AV52" s="1"/>
  <c r="AG28"/>
  <c r="AT33" s="1"/>
  <c r="AH28"/>
  <c r="AU33" s="1"/>
  <c r="AF28"/>
  <c r="AV33" s="1"/>
  <c r="AG24"/>
  <c r="AT32" s="1"/>
  <c r="AH24"/>
  <c r="AU32" s="1"/>
  <c r="AF24"/>
  <c r="AV32" s="1"/>
  <c r="AL64"/>
  <c r="AW44" s="1"/>
  <c r="AM64"/>
  <c r="AX44" s="1"/>
  <c r="AK64"/>
  <c r="AY44" s="1"/>
  <c r="AG16"/>
  <c r="AT30" s="1"/>
  <c r="AH16"/>
  <c r="AU30" s="1"/>
  <c r="AF16"/>
  <c r="AV30" s="1"/>
  <c r="AG64"/>
  <c r="AT42" s="1"/>
  <c r="AH64"/>
  <c r="AU42" s="1"/>
  <c r="AF64"/>
  <c r="AV42" s="1"/>
  <c r="AM32"/>
  <c r="AX36" s="1"/>
  <c r="AK32"/>
  <c r="AY36" s="1"/>
  <c r="AL32"/>
  <c r="AW36" s="1"/>
  <c r="AG13"/>
  <c r="AT48" s="1"/>
  <c r="AH13"/>
  <c r="AU48" s="1"/>
  <c r="AF13"/>
  <c r="AV48" s="1"/>
  <c r="AL37"/>
  <c r="AW57" s="1"/>
  <c r="AM37"/>
  <c r="AX57" s="1"/>
  <c r="AK37"/>
  <c r="AY57" s="1"/>
  <c r="AG60"/>
  <c r="AH60"/>
  <c r="AF60"/>
  <c r="AV41" s="1"/>
  <c r="AH33"/>
  <c r="AU9" s="1"/>
  <c r="AF33"/>
  <c r="AV9" s="1"/>
  <c r="AG33"/>
  <c r="AT9" s="1"/>
  <c r="AL13"/>
  <c r="AW51" s="1"/>
  <c r="AM13"/>
  <c r="AX51" s="1"/>
  <c r="AK13"/>
  <c r="AY51" s="1"/>
  <c r="AH20"/>
  <c r="AU31" s="1"/>
  <c r="AF20"/>
  <c r="AV31" s="1"/>
  <c r="AG20"/>
  <c r="AT31" s="1"/>
  <c r="AM33"/>
  <c r="AX56" s="1"/>
  <c r="AK33"/>
  <c r="AY56" s="1"/>
  <c r="AL33"/>
  <c r="AW56" s="1"/>
  <c r="AL24"/>
  <c r="AW34" s="1"/>
  <c r="AM24"/>
  <c r="AX34" s="1"/>
  <c r="AK24"/>
  <c r="AY34" s="1"/>
  <c r="AG21"/>
  <c r="AT50" s="1"/>
  <c r="AH21"/>
  <c r="AU50" s="1"/>
  <c r="AF21"/>
  <c r="AV50" s="1"/>
  <c r="AH52"/>
  <c r="AU39" s="1"/>
  <c r="AF52"/>
  <c r="AV39" s="1"/>
  <c r="AG52"/>
  <c r="AT39" s="1"/>
  <c r="AG44"/>
  <c r="AT37" s="1"/>
  <c r="AH44"/>
  <c r="AU37" s="1"/>
  <c r="AF44"/>
  <c r="AV37" s="1"/>
  <c r="AH12"/>
  <c r="AF12"/>
  <c r="AV29" s="1"/>
  <c r="AG12"/>
  <c r="AG45"/>
  <c r="AT56" s="1"/>
  <c r="AH45"/>
  <c r="AU56" s="1"/>
  <c r="AF45"/>
  <c r="AV56" s="1"/>
  <c r="AH32"/>
  <c r="AU34" s="1"/>
  <c r="AF32"/>
  <c r="AV34" s="1"/>
  <c r="AG32"/>
  <c r="AT34" s="1"/>
  <c r="AL60"/>
  <c r="AM60"/>
  <c r="AK60"/>
  <c r="AY43" s="1"/>
  <c r="AL44"/>
  <c r="AW39" s="1"/>
  <c r="AM44"/>
  <c r="AX39" s="1"/>
  <c r="AK44"/>
  <c r="AY39" s="1"/>
  <c r="AM36"/>
  <c r="AX37" s="1"/>
  <c r="AK36"/>
  <c r="AY37" s="1"/>
  <c r="AL36"/>
  <c r="AW37" s="1"/>
  <c r="AL56"/>
  <c r="AW42" s="1"/>
  <c r="AM56"/>
  <c r="AX42" s="1"/>
  <c r="AK56"/>
  <c r="AY42" s="1"/>
  <c r="AM40"/>
  <c r="AX38" s="1"/>
  <c r="AK40"/>
  <c r="AY38" s="1"/>
  <c r="AL40"/>
  <c r="AW38" s="1"/>
  <c r="AL29"/>
  <c r="AW55" s="1"/>
  <c r="AM29"/>
  <c r="AX55" s="1"/>
  <c r="AK29"/>
  <c r="AY55" s="1"/>
  <c r="AM25"/>
  <c r="AX54" s="1"/>
  <c r="AK25"/>
  <c r="AY54" s="1"/>
  <c r="AL25"/>
  <c r="AW54" s="1"/>
  <c r="AL28"/>
  <c r="AW35" s="1"/>
  <c r="AM28"/>
  <c r="AX35" s="1"/>
  <c r="AK28"/>
  <c r="AY35" s="1"/>
  <c r="AM17"/>
  <c r="AX52" s="1"/>
  <c r="AK17"/>
  <c r="AY52" s="1"/>
  <c r="AL17"/>
  <c r="AW52" s="1"/>
  <c r="AM20"/>
  <c r="AX33" s="1"/>
  <c r="AK20"/>
  <c r="AY33" s="1"/>
  <c r="AL20"/>
  <c r="AW33" s="1"/>
  <c r="AL16"/>
  <c r="AW32" s="1"/>
  <c r="AM16"/>
  <c r="AX32" s="1"/>
  <c r="AK16"/>
  <c r="AY32" s="1"/>
  <c r="AH17"/>
  <c r="AU49" s="1"/>
  <c r="AF17"/>
  <c r="AV49" s="1"/>
  <c r="AG17"/>
  <c r="AT49" s="1"/>
  <c r="AL45"/>
  <c r="AW59" s="1"/>
  <c r="AM45"/>
  <c r="AX59" s="1"/>
  <c r="AK45"/>
  <c r="AY59" s="1"/>
  <c r="AH40"/>
  <c r="AU36" s="1"/>
  <c r="AF40"/>
  <c r="AV36" s="1"/>
  <c r="BB36" s="1"/>
  <c r="AG40"/>
  <c r="AT36" s="1"/>
  <c r="AM49"/>
  <c r="AX60" s="1"/>
  <c r="AK49"/>
  <c r="AY60" s="1"/>
  <c r="AL49"/>
  <c r="AW60" s="1"/>
  <c r="AH49"/>
  <c r="AU57" s="1"/>
  <c r="AF49"/>
  <c r="AV57" s="1"/>
  <c r="AG49"/>
  <c r="AT57" s="1"/>
  <c r="AM41"/>
  <c r="AX58" s="1"/>
  <c r="AK41"/>
  <c r="AY58" s="1"/>
  <c r="AL41"/>
  <c r="AW58" s="1"/>
  <c r="AL21"/>
  <c r="AW9" s="1"/>
  <c r="AM21"/>
  <c r="AX9" s="1"/>
  <c r="AK21"/>
  <c r="AY9" s="1"/>
  <c r="AH25"/>
  <c r="AU51" s="1"/>
  <c r="AF25"/>
  <c r="AV51" s="1"/>
  <c r="AG25"/>
  <c r="AT51" s="1"/>
  <c r="AM12"/>
  <c r="AK12"/>
  <c r="AY31" s="1"/>
  <c r="AL12"/>
  <c r="AM52"/>
  <c r="AX41" s="1"/>
  <c r="AK52"/>
  <c r="AY41" s="1"/>
  <c r="AL52"/>
  <c r="AW41" s="1"/>
  <c r="AH41" i="14"/>
  <c r="AF41"/>
  <c r="AG41"/>
  <c r="AH28"/>
  <c r="AF28"/>
  <c r="AG28"/>
  <c r="AL17"/>
  <c r="AM17"/>
  <c r="AK17"/>
  <c r="AH24"/>
  <c r="AF24"/>
  <c r="AG24"/>
  <c r="AG32"/>
  <c r="AT34" s="1"/>
  <c r="AH32"/>
  <c r="AU34" s="1"/>
  <c r="AF32"/>
  <c r="AV34" s="1"/>
  <c r="AG25"/>
  <c r="AH25"/>
  <c r="AF25"/>
  <c r="AL60"/>
  <c r="AW43" s="1"/>
  <c r="AM60"/>
  <c r="AX43" s="1"/>
  <c r="AK60"/>
  <c r="AY43" s="1"/>
  <c r="AG20"/>
  <c r="AH20"/>
  <c r="AF20"/>
  <c r="AM49"/>
  <c r="AX60" s="1"/>
  <c r="AK49"/>
  <c r="AY60" s="1"/>
  <c r="AL49"/>
  <c r="AW60" s="1"/>
  <c r="AG12"/>
  <c r="AH12"/>
  <c r="AF12"/>
  <c r="AM28"/>
  <c r="AX35" s="1"/>
  <c r="AK28"/>
  <c r="AY35" s="1"/>
  <c r="AL28"/>
  <c r="AW35" s="1"/>
  <c r="AG17"/>
  <c r="AH17"/>
  <c r="AF17"/>
  <c r="AG64"/>
  <c r="AT42" s="1"/>
  <c r="AH64"/>
  <c r="AU42" s="1"/>
  <c r="AF64"/>
  <c r="AV42" s="1"/>
  <c r="AG60"/>
  <c r="AT41" s="1"/>
  <c r="AH60"/>
  <c r="AU41" s="1"/>
  <c r="AF60"/>
  <c r="AV41" s="1"/>
  <c r="AL44"/>
  <c r="AW39" s="1"/>
  <c r="AM44"/>
  <c r="AX39" s="1"/>
  <c r="AK44"/>
  <c r="AY39" s="1"/>
  <c r="AL33"/>
  <c r="AW56" s="1"/>
  <c r="AM33"/>
  <c r="AX56" s="1"/>
  <c r="AK33"/>
  <c r="AY56" s="1"/>
  <c r="AL36"/>
  <c r="AM36"/>
  <c r="AK36"/>
  <c r="AL32"/>
  <c r="AW36" s="1"/>
  <c r="AM32"/>
  <c r="AX36" s="1"/>
  <c r="AK32"/>
  <c r="AY36" s="1"/>
  <c r="AM21"/>
  <c r="AX9" s="1"/>
  <c r="AK21"/>
  <c r="AY9" s="1"/>
  <c r="AL21"/>
  <c r="AW9" s="1"/>
  <c r="AM52"/>
  <c r="AX41" s="1"/>
  <c r="AK52"/>
  <c r="AY41" s="1"/>
  <c r="AL52"/>
  <c r="AW41" s="1"/>
  <c r="AM40"/>
  <c r="AX38" s="1"/>
  <c r="AK40"/>
  <c r="AY38" s="1"/>
  <c r="AL40"/>
  <c r="AW38" s="1"/>
  <c r="AL25"/>
  <c r="AW54" s="1"/>
  <c r="AM25"/>
  <c r="AX54" s="1"/>
  <c r="AK25"/>
  <c r="AY54" s="1"/>
  <c r="AH16"/>
  <c r="AU30" s="1"/>
  <c r="AF16"/>
  <c r="AV30" s="1"/>
  <c r="AG16"/>
  <c r="AT30" s="1"/>
  <c r="AM48"/>
  <c r="AX40" s="1"/>
  <c r="AK48"/>
  <c r="AY40" s="1"/>
  <c r="AL48"/>
  <c r="AW40" s="1"/>
  <c r="AM29"/>
  <c r="AX55" s="1"/>
  <c r="AK29"/>
  <c r="AY55" s="1"/>
  <c r="AL29"/>
  <c r="AW55" s="1"/>
  <c r="AL20"/>
  <c r="AM20"/>
  <c r="AK20"/>
  <c r="AH29"/>
  <c r="AU52" s="1"/>
  <c r="AF29"/>
  <c r="AV52" s="1"/>
  <c r="AG29"/>
  <c r="AT52" s="1"/>
  <c r="AM16"/>
  <c r="AK16"/>
  <c r="AY32" s="1"/>
  <c r="AL16"/>
  <c r="AW32" s="1"/>
  <c r="AM24"/>
  <c r="AX34" s="1"/>
  <c r="AK24"/>
  <c r="AL24"/>
  <c r="AW34" s="1"/>
  <c r="AM13"/>
  <c r="AX51" s="1"/>
  <c r="AK13"/>
  <c r="AY51" s="1"/>
  <c r="AL13"/>
  <c r="AW51" s="1"/>
  <c r="AH21"/>
  <c r="AF21"/>
  <c r="AG21"/>
  <c r="AL12"/>
  <c r="AM12"/>
  <c r="AK12"/>
  <c r="AH13"/>
  <c r="AU48" s="1"/>
  <c r="AF13"/>
  <c r="AV48" s="1"/>
  <c r="AG13"/>
  <c r="AT48" s="1"/>
  <c r="AL56"/>
  <c r="AW42" s="1"/>
  <c r="AM56"/>
  <c r="AX42" s="1"/>
  <c r="AK56"/>
  <c r="AY42" s="1"/>
  <c r="AG36"/>
  <c r="AT35" s="1"/>
  <c r="AH36"/>
  <c r="AU35" s="1"/>
  <c r="AF36"/>
  <c r="AV35" s="1"/>
  <c r="AL64"/>
  <c r="AW44" s="1"/>
  <c r="AM64"/>
  <c r="AX44" s="1"/>
  <c r="AK64"/>
  <c r="AY44" s="1"/>
  <c r="AL45"/>
  <c r="AW59" s="1"/>
  <c r="AM45"/>
  <c r="AX59" s="1"/>
  <c r="AK45"/>
  <c r="AY59" s="1"/>
  <c r="AM41"/>
  <c r="AX45" s="1"/>
  <c r="AK41"/>
  <c r="AY45" s="1"/>
  <c r="AL41"/>
  <c r="AH52"/>
  <c r="AU39" s="1"/>
  <c r="AF52"/>
  <c r="AV39" s="1"/>
  <c r="AG52"/>
  <c r="AT39" s="1"/>
  <c r="AZ39" s="1"/>
  <c r="AG45"/>
  <c r="AT56" s="1"/>
  <c r="AH45"/>
  <c r="AU56" s="1"/>
  <c r="AF45"/>
  <c r="AV56" s="1"/>
  <c r="AG44"/>
  <c r="AT37" s="1"/>
  <c r="AH44"/>
  <c r="AF44"/>
  <c r="AV37" s="1"/>
  <c r="AH40"/>
  <c r="AF40"/>
  <c r="AG40"/>
  <c r="AG33"/>
  <c r="AT9" s="1"/>
  <c r="AH33"/>
  <c r="AU9" s="1"/>
  <c r="AF33"/>
  <c r="AV9" s="1"/>
  <c r="AH48"/>
  <c r="AU38" s="1"/>
  <c r="AF48"/>
  <c r="AV38" s="1"/>
  <c r="AG48"/>
  <c r="AT38" s="1"/>
  <c r="AG37"/>
  <c r="AT54" s="1"/>
  <c r="AH37"/>
  <c r="AF37"/>
  <c r="AV54" s="1"/>
  <c r="AG56"/>
  <c r="AT40" s="1"/>
  <c r="AH56"/>
  <c r="AU40" s="1"/>
  <c r="AF56"/>
  <c r="AV40" s="1"/>
  <c r="AH44" i="13"/>
  <c r="AF44"/>
  <c r="AG44"/>
  <c r="AG33"/>
  <c r="AH33"/>
  <c r="AF33"/>
  <c r="AG25"/>
  <c r="AH25"/>
  <c r="AF25"/>
  <c r="AG60"/>
  <c r="AH60"/>
  <c r="AF60"/>
  <c r="AH29"/>
  <c r="AF29"/>
  <c r="AG29"/>
  <c r="AG40"/>
  <c r="AH40"/>
  <c r="AF40"/>
  <c r="AG32"/>
  <c r="AH32"/>
  <c r="AF32"/>
  <c r="AG12"/>
  <c r="AH12"/>
  <c r="AF12"/>
  <c r="AG17"/>
  <c r="AH17"/>
  <c r="AF17"/>
  <c r="AG64"/>
  <c r="AH64"/>
  <c r="AF64"/>
  <c r="AH28"/>
  <c r="AF28"/>
  <c r="AG28"/>
  <c r="AH21"/>
  <c r="AF21"/>
  <c r="AG21"/>
  <c r="AH13"/>
  <c r="AF13"/>
  <c r="AG13"/>
  <c r="AL17"/>
  <c r="AH36"/>
  <c r="AF36"/>
  <c r="AG36"/>
  <c r="AM45"/>
  <c r="AK45"/>
  <c r="AL45"/>
  <c r="AG41"/>
  <c r="AH41"/>
  <c r="AF41"/>
  <c r="AH37"/>
  <c r="AF37"/>
  <c r="AG37"/>
  <c r="AG56"/>
  <c r="AH56"/>
  <c r="AF56"/>
  <c r="AG20"/>
  <c r="AH20"/>
  <c r="AF20"/>
  <c r="AL49"/>
  <c r="AM49"/>
  <c r="AK49"/>
  <c r="AM29" i="11"/>
  <c r="AK29"/>
  <c r="AL29"/>
  <c r="AL20"/>
  <c r="AM20"/>
  <c r="AK20"/>
  <c r="AG32"/>
  <c r="AH32"/>
  <c r="AF32"/>
  <c r="AG25"/>
  <c r="AH25"/>
  <c r="AF25"/>
  <c r="AH48"/>
  <c r="AF48"/>
  <c r="AG48"/>
  <c r="AG37"/>
  <c r="AH37"/>
  <c r="AF37"/>
  <c r="AG56"/>
  <c r="AT40" s="1"/>
  <c r="AH56"/>
  <c r="AU40" s="1"/>
  <c r="AF56"/>
  <c r="AV40" s="1"/>
  <c r="AG36"/>
  <c r="AH36"/>
  <c r="AF36"/>
  <c r="AL64"/>
  <c r="AM64"/>
  <c r="AK64"/>
  <c r="AL45"/>
  <c r="AW59" s="1"/>
  <c r="AM45"/>
  <c r="AX59" s="1"/>
  <c r="AK45"/>
  <c r="AY59" s="1"/>
  <c r="AM41"/>
  <c r="AX58" s="1"/>
  <c r="AK41"/>
  <c r="AY58" s="1"/>
  <c r="AL41"/>
  <c r="AW58" s="1"/>
  <c r="AH29"/>
  <c r="AF29"/>
  <c r="AG29"/>
  <c r="AM16"/>
  <c r="AK16"/>
  <c r="AL16"/>
  <c r="AH52"/>
  <c r="AU39" s="1"/>
  <c r="AF52"/>
  <c r="AV39" s="1"/>
  <c r="AG52"/>
  <c r="AT39" s="1"/>
  <c r="AG45"/>
  <c r="AH45"/>
  <c r="AF45"/>
  <c r="AG44"/>
  <c r="AT37" s="1"/>
  <c r="AH44"/>
  <c r="AU37" s="1"/>
  <c r="AF44"/>
  <c r="AH40"/>
  <c r="AF40"/>
  <c r="AV36" s="1"/>
  <c r="AG40"/>
  <c r="AT36" s="1"/>
  <c r="AG33"/>
  <c r="AT9" s="1"/>
  <c r="AH33"/>
  <c r="AU9" s="1"/>
  <c r="AF33"/>
  <c r="AV9" s="1"/>
  <c r="AL60"/>
  <c r="AW43" s="1"/>
  <c r="AM60"/>
  <c r="AX43" s="1"/>
  <c r="AK60"/>
  <c r="AY43" s="1"/>
  <c r="AG20"/>
  <c r="AH20"/>
  <c r="AF20"/>
  <c r="AM49"/>
  <c r="AX60" s="1"/>
  <c r="AK49"/>
  <c r="AY60" s="1"/>
  <c r="AL49"/>
  <c r="AW60" s="1"/>
  <c r="AG12"/>
  <c r="AH12"/>
  <c r="AF12"/>
  <c r="AH41"/>
  <c r="AU55" s="1"/>
  <c r="AF41"/>
  <c r="AV55" s="1"/>
  <c r="AG41"/>
  <c r="AH28"/>
  <c r="AF28"/>
  <c r="AG28"/>
  <c r="AM24"/>
  <c r="AK24"/>
  <c r="AL24"/>
  <c r="AM13"/>
  <c r="AK13"/>
  <c r="AL13"/>
  <c r="AM52"/>
  <c r="AX41" s="1"/>
  <c r="AK52"/>
  <c r="AY41" s="1"/>
  <c r="AL52"/>
  <c r="AW41" s="1"/>
  <c r="AM40"/>
  <c r="AK40"/>
  <c r="AY38" s="1"/>
  <c r="AL40"/>
  <c r="AL25"/>
  <c r="AM25"/>
  <c r="AK25"/>
  <c r="AH16"/>
  <c r="AF16"/>
  <c r="AG16"/>
  <c r="AM48"/>
  <c r="AX40" s="1"/>
  <c r="AK48"/>
  <c r="AY40" s="1"/>
  <c r="AL48"/>
  <c r="AW40" s="1"/>
  <c r="AM28"/>
  <c r="AK28"/>
  <c r="AL28"/>
  <c r="AG17"/>
  <c r="AH17"/>
  <c r="AF17"/>
  <c r="AG64"/>
  <c r="AT42" s="1"/>
  <c r="AH64"/>
  <c r="AU42" s="1"/>
  <c r="AF64"/>
  <c r="AV42" s="1"/>
  <c r="AG60"/>
  <c r="AT41" s="1"/>
  <c r="AH60"/>
  <c r="AU41" s="1"/>
  <c r="AF60"/>
  <c r="AV41" s="1"/>
  <c r="AL17"/>
  <c r="AM17"/>
  <c r="AK17"/>
  <c r="AH24"/>
  <c r="AF24"/>
  <c r="AG24"/>
  <c r="AT32" s="1"/>
  <c r="AL44"/>
  <c r="AW39" s="1"/>
  <c r="AM44"/>
  <c r="AX39" s="1"/>
  <c r="AY39"/>
  <c r="AL33"/>
  <c r="AW56" s="1"/>
  <c r="AM33"/>
  <c r="AX56" s="1"/>
  <c r="AK33"/>
  <c r="AY56" s="1"/>
  <c r="AL36"/>
  <c r="AW37" s="1"/>
  <c r="AM36"/>
  <c r="AX37" s="1"/>
  <c r="AK36"/>
  <c r="AY37" s="1"/>
  <c r="AL32"/>
  <c r="AW36" s="1"/>
  <c r="AM32"/>
  <c r="AK32"/>
  <c r="AY36" s="1"/>
  <c r="AM21"/>
  <c r="AX9" s="1"/>
  <c r="AK21"/>
  <c r="AY9" s="1"/>
  <c r="AL21"/>
  <c r="AW9" s="1"/>
  <c r="AH21"/>
  <c r="AF21"/>
  <c r="AG21"/>
  <c r="AT50" s="1"/>
  <c r="AL12"/>
  <c r="AM12"/>
  <c r="AK12"/>
  <c r="AH13"/>
  <c r="AF13"/>
  <c r="AG13"/>
  <c r="AL56"/>
  <c r="AW42" s="1"/>
  <c r="AM56"/>
  <c r="AX42" s="1"/>
  <c r="AK56"/>
  <c r="AY42" s="1"/>
  <c r="AT48" l="1"/>
  <c r="AU48"/>
  <c r="AV30"/>
  <c r="AL37" i="13"/>
  <c r="AM68"/>
  <c r="AS52"/>
  <c r="AQ52"/>
  <c r="AT50" i="14"/>
  <c r="AU50"/>
  <c r="AU49"/>
  <c r="AU51"/>
  <c r="AY52"/>
  <c r="AW52"/>
  <c r="AT55"/>
  <c r="AZ55" s="1"/>
  <c r="AU55"/>
  <c r="AW48"/>
  <c r="AX48"/>
  <c r="AX49"/>
  <c r="AY48"/>
  <c r="AU54"/>
  <c r="AV50"/>
  <c r="AV49"/>
  <c r="AT49"/>
  <c r="AV51"/>
  <c r="AT51"/>
  <c r="AX52"/>
  <c r="AV55"/>
  <c r="AY49"/>
  <c r="AW49"/>
  <c r="AV45"/>
  <c r="AT45"/>
  <c r="AU45"/>
  <c r="BA45" s="1"/>
  <c r="BC45" s="1"/>
  <c r="AW37"/>
  <c r="AV33"/>
  <c r="AT36"/>
  <c r="AU36"/>
  <c r="AU37"/>
  <c r="AY31"/>
  <c r="AY34"/>
  <c r="AX32"/>
  <c r="AY33"/>
  <c r="AW33"/>
  <c r="AX37"/>
  <c r="AV29"/>
  <c r="AV31"/>
  <c r="AT31"/>
  <c r="AT32"/>
  <c r="AU32"/>
  <c r="AT33"/>
  <c r="AU33"/>
  <c r="BA20"/>
  <c r="BA18"/>
  <c r="BC18" s="1"/>
  <c r="BA57"/>
  <c r="BB13"/>
  <c r="BB22"/>
  <c r="AV36"/>
  <c r="AX33"/>
  <c r="AY37"/>
  <c r="AU31"/>
  <c r="AV32"/>
  <c r="BB32" s="1"/>
  <c r="BB61"/>
  <c r="AS51" i="13"/>
  <c r="AQ51"/>
  <c r="AK17"/>
  <c r="AU10"/>
  <c r="AT10"/>
  <c r="AV10"/>
  <c r="BA25" i="14"/>
  <c r="BC25" s="1"/>
  <c r="BA17"/>
  <c r="BD17" s="1"/>
  <c r="BA21" i="15"/>
  <c r="AZ36"/>
  <c r="AR63" a="1"/>
  <c r="AR63" s="1"/>
  <c r="AR64" s="1"/>
  <c r="BB14"/>
  <c r="BB18"/>
  <c r="BB23"/>
  <c r="BA11"/>
  <c r="AZ10"/>
  <c r="AX44" i="11"/>
  <c r="AV62"/>
  <c r="AU44"/>
  <c r="AV44"/>
  <c r="AY44"/>
  <c r="AW44"/>
  <c r="AW62"/>
  <c r="AX62"/>
  <c r="AY62"/>
  <c r="AT62"/>
  <c r="AU62"/>
  <c r="AT44"/>
  <c r="AU30"/>
  <c r="BB14"/>
  <c r="BA26" i="14"/>
  <c r="BC26" s="1"/>
  <c r="AL83" i="16" a="1"/>
  <c r="AL83" s="1"/>
  <c r="AM83" a="1"/>
  <c r="AM83" s="1"/>
  <c r="AM84" s="1"/>
  <c r="AG83" a="1"/>
  <c r="AG83" s="1"/>
  <c r="AH83" a="1"/>
  <c r="AH83" s="1"/>
  <c r="AH84" s="1"/>
  <c r="AR63" a="1"/>
  <c r="AR63" s="1"/>
  <c r="AR64" s="1"/>
  <c r="BA10" i="15"/>
  <c r="BA25"/>
  <c r="AW31"/>
  <c r="AL83" a="1"/>
  <c r="AL83" s="1"/>
  <c r="AX31"/>
  <c r="AM83" a="1"/>
  <c r="AM83" s="1"/>
  <c r="AM84" s="1"/>
  <c r="AT29"/>
  <c r="AG83" a="1"/>
  <c r="AG83" s="1"/>
  <c r="AU29"/>
  <c r="AH83" a="1"/>
  <c r="AH83" s="1"/>
  <c r="AH84" s="1"/>
  <c r="AW31" i="14"/>
  <c r="AL83" a="1"/>
  <c r="AL83" s="1"/>
  <c r="AX31"/>
  <c r="BA31" s="1"/>
  <c r="AM83" a="1"/>
  <c r="AM83" s="1"/>
  <c r="AM84" s="1"/>
  <c r="AU29"/>
  <c r="AH83" a="1"/>
  <c r="AH83" s="1"/>
  <c r="AH84" s="1"/>
  <c r="AR63" a="1"/>
  <c r="AR63" s="1"/>
  <c r="AR64" s="1"/>
  <c r="AT29"/>
  <c r="AG83" a="1"/>
  <c r="AG83" s="1"/>
  <c r="AL68" i="13"/>
  <c r="AC83" a="1"/>
  <c r="AC83" s="1"/>
  <c r="AC84" s="1"/>
  <c r="AB83" a="1"/>
  <c r="AB83" s="1"/>
  <c r="AM83" i="11" a="1"/>
  <c r="AH83" a="1"/>
  <c r="AL83" a="1"/>
  <c r="AG83" a="1"/>
  <c r="AQ63"/>
  <c r="AQ63" i="14"/>
  <c r="AQ72" s="1"/>
  <c r="AQ63" i="15"/>
  <c r="AQ63" i="16"/>
  <c r="AM83" i="11"/>
  <c r="AL83"/>
  <c r="AG83"/>
  <c r="AH83"/>
  <c r="AH84" s="1"/>
  <c r="AY45" i="16"/>
  <c r="BB45" s="1"/>
  <c r="AZ22"/>
  <c r="AX30"/>
  <c r="BA30" s="1"/>
  <c r="AY29"/>
  <c r="AX46"/>
  <c r="AW50"/>
  <c r="AX29"/>
  <c r="BB40"/>
  <c r="AY50"/>
  <c r="AX50"/>
  <c r="AU46"/>
  <c r="BA46" s="1"/>
  <c r="AT46"/>
  <c r="AX45"/>
  <c r="BA45" s="1"/>
  <c r="BC45" s="1"/>
  <c r="AY46"/>
  <c r="BB17"/>
  <c r="BA25"/>
  <c r="BA62"/>
  <c r="BC62" s="1"/>
  <c r="BA26"/>
  <c r="AZ62"/>
  <c r="BB14"/>
  <c r="AZ24"/>
  <c r="BB11"/>
  <c r="AV46"/>
  <c r="AT27"/>
  <c r="AZ11"/>
  <c r="BA15"/>
  <c r="BB21"/>
  <c r="BA14"/>
  <c r="BC14" s="1"/>
  <c r="AZ18"/>
  <c r="BB24"/>
  <c r="AW29"/>
  <c r="AU27"/>
  <c r="AZ21"/>
  <c r="BB15"/>
  <c r="BA23"/>
  <c r="BD23" s="1"/>
  <c r="AZ40"/>
  <c r="BA61"/>
  <c r="BC61" s="1"/>
  <c r="BA12"/>
  <c r="BC12" s="1"/>
  <c r="AZ16"/>
  <c r="BB22"/>
  <c r="BA13"/>
  <c r="BD13" s="1"/>
  <c r="AZ25"/>
  <c r="AV27"/>
  <c r="AY27"/>
  <c r="BA11"/>
  <c r="BD11" s="1"/>
  <c r="AW28"/>
  <c r="AY47"/>
  <c r="BB47" s="1"/>
  <c r="AW46"/>
  <c r="AY28"/>
  <c r="BB10"/>
  <c r="AV28"/>
  <c r="BB28" s="1"/>
  <c r="BA40"/>
  <c r="BC40" s="1"/>
  <c r="AT28"/>
  <c r="BA47"/>
  <c r="BC47" s="1"/>
  <c r="AY30"/>
  <c r="AW30"/>
  <c r="AX27"/>
  <c r="AZ12"/>
  <c r="BB18"/>
  <c r="BA24"/>
  <c r="BD24" s="1"/>
  <c r="AZ17"/>
  <c r="AZ45"/>
  <c r="AZ13"/>
  <c r="AZ47"/>
  <c r="BB62"/>
  <c r="AX28"/>
  <c r="AU28"/>
  <c r="BB61"/>
  <c r="BA16"/>
  <c r="BC16" s="1"/>
  <c r="BB26"/>
  <c r="AZ19"/>
  <c r="BB13"/>
  <c r="AZ61"/>
  <c r="AZ14"/>
  <c r="BB20"/>
  <c r="AZ46"/>
  <c r="AZ15"/>
  <c r="BA17"/>
  <c r="BC17" s="1"/>
  <c r="BB16"/>
  <c r="BA22"/>
  <c r="BD22" s="1"/>
  <c r="AZ26"/>
  <c r="AW27"/>
  <c r="AZ27" s="1"/>
  <c r="AW31"/>
  <c r="AZ31" s="1"/>
  <c r="AX31"/>
  <c r="BA31" s="1"/>
  <c r="BD31" s="1"/>
  <c r="AT29"/>
  <c r="AU29"/>
  <c r="AU41" i="15"/>
  <c r="AT41"/>
  <c r="AX43"/>
  <c r="AW43"/>
  <c r="AZ34"/>
  <c r="AV45"/>
  <c r="AY49"/>
  <c r="AX49"/>
  <c r="BA49" s="1"/>
  <c r="AU45"/>
  <c r="AW49"/>
  <c r="AZ49" s="1"/>
  <c r="AT47"/>
  <c r="AV47"/>
  <c r="AU47"/>
  <c r="AX50"/>
  <c r="BA50" s="1"/>
  <c r="AY50"/>
  <c r="BB50" s="1"/>
  <c r="AW50"/>
  <c r="AU46"/>
  <c r="AT46"/>
  <c r="AV46"/>
  <c r="BB13"/>
  <c r="BA15"/>
  <c r="BD15" s="1"/>
  <c r="BA19"/>
  <c r="BD19" s="1"/>
  <c r="AU27"/>
  <c r="AV27"/>
  <c r="AX29"/>
  <c r="BA29" s="1"/>
  <c r="AY29"/>
  <c r="BB29" s="1"/>
  <c r="AT27"/>
  <c r="AW29"/>
  <c r="AZ29" s="1"/>
  <c r="BA58" i="14"/>
  <c r="BC58" s="1"/>
  <c r="AT47"/>
  <c r="AV47"/>
  <c r="AU47"/>
  <c r="AX50"/>
  <c r="AW45"/>
  <c r="AY50"/>
  <c r="AW50"/>
  <c r="AZ50" s="1"/>
  <c r="AV46"/>
  <c r="AU46"/>
  <c r="AT46"/>
  <c r="AX29"/>
  <c r="BA29" s="1"/>
  <c r="AV27"/>
  <c r="AU27"/>
  <c r="AY29"/>
  <c r="AW29"/>
  <c r="AT27"/>
  <c r="AX28"/>
  <c r="AX46"/>
  <c r="AW47"/>
  <c r="AY46"/>
  <c r="BB46" s="1"/>
  <c r="AY47"/>
  <c r="AW46"/>
  <c r="AZ46" s="1"/>
  <c r="AZ45"/>
  <c r="AX47"/>
  <c r="AY28"/>
  <c r="AW28"/>
  <c r="AU28"/>
  <c r="AT28"/>
  <c r="AZ28" s="1"/>
  <c r="AV28"/>
  <c r="BB28" s="1"/>
  <c r="BB10"/>
  <c r="AX30"/>
  <c r="AY30"/>
  <c r="BB30" s="1"/>
  <c r="AW30"/>
  <c r="AZ30" s="1"/>
  <c r="AX27"/>
  <c r="AY27"/>
  <c r="AW27"/>
  <c r="BB50"/>
  <c r="BA59"/>
  <c r="BD59" s="1"/>
  <c r="AR54" i="13"/>
  <c r="AS54"/>
  <c r="AS56"/>
  <c r="AL65"/>
  <c r="AQ56"/>
  <c r="AS57"/>
  <c r="AR57"/>
  <c r="AR56"/>
  <c r="AM72"/>
  <c r="AQ59"/>
  <c r="AS59"/>
  <c r="AR59"/>
  <c r="AQ60"/>
  <c r="AS60"/>
  <c r="AR60"/>
  <c r="AT33" i="11"/>
  <c r="AV33"/>
  <c r="AW52"/>
  <c r="AW31"/>
  <c r="AU33"/>
  <c r="AX36"/>
  <c r="AW35"/>
  <c r="AX35"/>
  <c r="AX32"/>
  <c r="AY35"/>
  <c r="AY32"/>
  <c r="AV48"/>
  <c r="AY31"/>
  <c r="AV50"/>
  <c r="AV32"/>
  <c r="AY52"/>
  <c r="AT30"/>
  <c r="AU36"/>
  <c r="BA36" s="1"/>
  <c r="AW32"/>
  <c r="AX54"/>
  <c r="AU35"/>
  <c r="AU54"/>
  <c r="AW55"/>
  <c r="AX55"/>
  <c r="BA55" s="1"/>
  <c r="AY54"/>
  <c r="AY55"/>
  <c r="AX31"/>
  <c r="AU50"/>
  <c r="AU32"/>
  <c r="BA32" s="1"/>
  <c r="AX52"/>
  <c r="AW54"/>
  <c r="AT55"/>
  <c r="AV37"/>
  <c r="BB37" s="1"/>
  <c r="AU45"/>
  <c r="AV35"/>
  <c r="AT35"/>
  <c r="AV54"/>
  <c r="AT54"/>
  <c r="AU49"/>
  <c r="AW38"/>
  <c r="AX38"/>
  <c r="AW51"/>
  <c r="AX51"/>
  <c r="AY34"/>
  <c r="AU29"/>
  <c r="AU31"/>
  <c r="AV52"/>
  <c r="AT38"/>
  <c r="AU38"/>
  <c r="BA38" s="1"/>
  <c r="AU51"/>
  <c r="AV34"/>
  <c r="AT34"/>
  <c r="AX33"/>
  <c r="AV49"/>
  <c r="AT49"/>
  <c r="AY51"/>
  <c r="AW34"/>
  <c r="AX34"/>
  <c r="AV29"/>
  <c r="AT29"/>
  <c r="AV31"/>
  <c r="BB31" s="1"/>
  <c r="AT31"/>
  <c r="AT52"/>
  <c r="AZ52" s="1"/>
  <c r="AU52"/>
  <c r="BA52" s="1"/>
  <c r="AV38"/>
  <c r="BB38" s="1"/>
  <c r="AV51"/>
  <c r="AT51"/>
  <c r="AU34"/>
  <c r="BA34" s="1"/>
  <c r="AY33"/>
  <c r="AW33"/>
  <c r="AY48"/>
  <c r="AW48"/>
  <c r="AZ48" s="1"/>
  <c r="AX48"/>
  <c r="AV56"/>
  <c r="BB56" s="1"/>
  <c r="AT56"/>
  <c r="AZ56" s="1"/>
  <c r="AV57"/>
  <c r="BB57" s="1"/>
  <c r="AV45"/>
  <c r="AU56"/>
  <c r="BA56" s="1"/>
  <c r="AX49"/>
  <c r="AW49"/>
  <c r="AY49"/>
  <c r="AU57"/>
  <c r="BA57" s="1"/>
  <c r="AT57"/>
  <c r="AZ57" s="1"/>
  <c r="AT45"/>
  <c r="AZ23"/>
  <c r="AV47"/>
  <c r="BB10"/>
  <c r="AU47"/>
  <c r="AT47"/>
  <c r="BA21"/>
  <c r="BC21" s="1"/>
  <c r="BB21"/>
  <c r="BA12"/>
  <c r="BD12" s="1"/>
  <c r="BB26"/>
  <c r="AZ11"/>
  <c r="AY50"/>
  <c r="AX50"/>
  <c r="AW50"/>
  <c r="AZ50" s="1"/>
  <c r="AV46"/>
  <c r="AU46"/>
  <c r="BA20"/>
  <c r="BD20" s="1"/>
  <c r="BA10"/>
  <c r="BD10" s="1"/>
  <c r="AT46"/>
  <c r="AW29"/>
  <c r="AY29"/>
  <c r="AV27"/>
  <c r="AX29"/>
  <c r="AT27"/>
  <c r="AU27"/>
  <c r="AZ20"/>
  <c r="BB24"/>
  <c r="BA14"/>
  <c r="BD14" s="1"/>
  <c r="BB19"/>
  <c r="BB12"/>
  <c r="BA11"/>
  <c r="BC11" s="1"/>
  <c r="AZ17"/>
  <c r="BB16"/>
  <c r="BB61"/>
  <c r="BB62"/>
  <c r="BB56" i="14"/>
  <c r="AZ54"/>
  <c r="AZ60"/>
  <c r="BA50"/>
  <c r="BC50" s="1"/>
  <c r="BB52"/>
  <c r="BA52"/>
  <c r="BC52" s="1"/>
  <c r="AZ51"/>
  <c r="BA54"/>
  <c r="BC54" s="1"/>
  <c r="BB59"/>
  <c r="AZ48"/>
  <c r="BB26"/>
  <c r="BA48"/>
  <c r="BD48" s="1"/>
  <c r="BA51"/>
  <c r="BC51" s="1"/>
  <c r="AZ57"/>
  <c r="BA21"/>
  <c r="BC21" s="1"/>
  <c r="BA13"/>
  <c r="BD13" s="1"/>
  <c r="BA56"/>
  <c r="BC56" s="1"/>
  <c r="BB49"/>
  <c r="BB51"/>
  <c r="AZ61"/>
  <c r="BA23"/>
  <c r="BD23" s="1"/>
  <c r="BA15"/>
  <c r="BD15" s="1"/>
  <c r="BA62"/>
  <c r="BD62" s="1"/>
  <c r="AY53"/>
  <c r="AX53"/>
  <c r="AU53"/>
  <c r="AZ59"/>
  <c r="BA60"/>
  <c r="BD60" s="1"/>
  <c r="AZ52"/>
  <c r="BB48"/>
  <c r="AW53"/>
  <c r="AT53"/>
  <c r="AV53"/>
  <c r="AK65" i="13"/>
  <c r="BA38" i="14"/>
  <c r="BC38" s="1"/>
  <c r="AZ35"/>
  <c r="BB43"/>
  <c r="BA44"/>
  <c r="BD44" s="1"/>
  <c r="BB37"/>
  <c r="BA42"/>
  <c r="BD42" s="1"/>
  <c r="BA34"/>
  <c r="BC34" s="1"/>
  <c r="BB33"/>
  <c r="BB40"/>
  <c r="BA43"/>
  <c r="BD43" s="1"/>
  <c r="BA35"/>
  <c r="BC35" s="1"/>
  <c r="BB35"/>
  <c r="BA40"/>
  <c r="BC40" s="1"/>
  <c r="BA32"/>
  <c r="BD32" s="1"/>
  <c r="BA41"/>
  <c r="BC41" s="1"/>
  <c r="BA33"/>
  <c r="BC33" s="1"/>
  <c r="BB31"/>
  <c r="AZ11"/>
  <c r="AT18" i="13"/>
  <c r="AT17"/>
  <c r="AU13"/>
  <c r="AU16"/>
  <c r="AV13"/>
  <c r="AV16"/>
  <c r="AU14"/>
  <c r="AU15"/>
  <c r="AT13"/>
  <c r="AT16"/>
  <c r="AU19"/>
  <c r="AV17"/>
  <c r="AV14"/>
  <c r="BA10" i="16"/>
  <c r="BD10" s="1"/>
  <c r="BD20" i="14"/>
  <c r="BC20"/>
  <c r="BD12"/>
  <c r="BC12"/>
  <c r="BC17"/>
  <c r="BC57"/>
  <c r="BD57"/>
  <c r="BA24"/>
  <c r="BA16"/>
  <c r="BA55"/>
  <c r="AZ56"/>
  <c r="BB41"/>
  <c r="AZ49"/>
  <c r="BB24"/>
  <c r="BB57"/>
  <c r="BA39"/>
  <c r="BB60"/>
  <c r="BA22"/>
  <c r="BA14"/>
  <c r="BA61"/>
  <c r="AZ62"/>
  <c r="BA36"/>
  <c r="BB54"/>
  <c r="BB21"/>
  <c r="BB44"/>
  <c r="BB58"/>
  <c r="BB38"/>
  <c r="BB55"/>
  <c r="BA37"/>
  <c r="BB45"/>
  <c r="BB39"/>
  <c r="BB23"/>
  <c r="AZ44"/>
  <c r="AZ42"/>
  <c r="AZ40"/>
  <c r="AZ38"/>
  <c r="AZ36"/>
  <c r="AZ34"/>
  <c r="AZ32"/>
  <c r="AZ26"/>
  <c r="BB42"/>
  <c r="BB36"/>
  <c r="BB34"/>
  <c r="AZ24"/>
  <c r="AZ22"/>
  <c r="AZ20"/>
  <c r="AZ18"/>
  <c r="AZ16"/>
  <c r="AZ14"/>
  <c r="AZ12"/>
  <c r="AZ10"/>
  <c r="BD26"/>
  <c r="BD18"/>
  <c r="BD10"/>
  <c r="BC10"/>
  <c r="BD19"/>
  <c r="BC19"/>
  <c r="BD11"/>
  <c r="BC11"/>
  <c r="BD58"/>
  <c r="BD41"/>
  <c r="BB25"/>
  <c r="BB19"/>
  <c r="BB17"/>
  <c r="BB15"/>
  <c r="BB11"/>
  <c r="AZ43"/>
  <c r="AZ41"/>
  <c r="AZ37"/>
  <c r="AZ33"/>
  <c r="AZ25"/>
  <c r="AZ23"/>
  <c r="AZ21"/>
  <c r="AZ19"/>
  <c r="AZ17"/>
  <c r="AZ15"/>
  <c r="AZ13"/>
  <c r="AX39" i="13"/>
  <c r="AX24"/>
  <c r="AX16"/>
  <c r="AY62"/>
  <c r="AW21"/>
  <c r="AY19"/>
  <c r="AW17"/>
  <c r="AY15"/>
  <c r="AW10"/>
  <c r="AY12"/>
  <c r="AW14"/>
  <c r="AY16"/>
  <c r="AW18"/>
  <c r="AY20"/>
  <c r="AW22"/>
  <c r="AY24"/>
  <c r="AW26"/>
  <c r="AY52"/>
  <c r="AW54"/>
  <c r="AW58"/>
  <c r="AW40"/>
  <c r="AW25"/>
  <c r="AW57"/>
  <c r="AX56"/>
  <c r="AY55"/>
  <c r="AX41"/>
  <c r="AX26"/>
  <c r="AY25"/>
  <c r="AW19"/>
  <c r="AX18"/>
  <c r="AY17"/>
  <c r="AW11"/>
  <c r="AX10"/>
  <c r="BA10" s="1"/>
  <c r="AX58"/>
  <c r="AX20"/>
  <c r="AX12"/>
  <c r="AX11"/>
  <c r="AX13"/>
  <c r="AX15"/>
  <c r="BA15" s="1"/>
  <c r="AX17"/>
  <c r="AX19"/>
  <c r="AX21"/>
  <c r="AX23"/>
  <c r="AX25"/>
  <c r="AX57"/>
  <c r="AX61"/>
  <c r="AW62"/>
  <c r="AX62"/>
  <c r="AY61"/>
  <c r="AW47"/>
  <c r="AY23"/>
  <c r="AY10"/>
  <c r="BB10" s="1"/>
  <c r="AW12"/>
  <c r="AY14"/>
  <c r="AW16"/>
  <c r="AZ16" s="1"/>
  <c r="AY18"/>
  <c r="AW20"/>
  <c r="AY22"/>
  <c r="AW24"/>
  <c r="AY26"/>
  <c r="AY58"/>
  <c r="AY57"/>
  <c r="AW44"/>
  <c r="AW13"/>
  <c r="AY11"/>
  <c r="AW61"/>
  <c r="AW23"/>
  <c r="AX22"/>
  <c r="AY21"/>
  <c r="AW15"/>
  <c r="AX14"/>
  <c r="AY13"/>
  <c r="AU25"/>
  <c r="AV31"/>
  <c r="AT33"/>
  <c r="AU40"/>
  <c r="AU55"/>
  <c r="AV62"/>
  <c r="AU45"/>
  <c r="AU54"/>
  <c r="AU37"/>
  <c r="AU29"/>
  <c r="AU22"/>
  <c r="AU53"/>
  <c r="AT57"/>
  <c r="AT53"/>
  <c r="AT49"/>
  <c r="AT42"/>
  <c r="AT38"/>
  <c r="AT34"/>
  <c r="AT25"/>
  <c r="AT21"/>
  <c r="AV26"/>
  <c r="AV41"/>
  <c r="AV52"/>
  <c r="AV20"/>
  <c r="AT22"/>
  <c r="AT37"/>
  <c r="AU44"/>
  <c r="AU51"/>
  <c r="AV58"/>
  <c r="AU57"/>
  <c r="AU56"/>
  <c r="AU48"/>
  <c r="AU24"/>
  <c r="AU23"/>
  <c r="BA23" s="1"/>
  <c r="AV57"/>
  <c r="AV53"/>
  <c r="AV49"/>
  <c r="AV42"/>
  <c r="AV34"/>
  <c r="AV30"/>
  <c r="AV25"/>
  <c r="AV21"/>
  <c r="AT24"/>
  <c r="AT50"/>
  <c r="AT58"/>
  <c r="AZ58" s="1"/>
  <c r="AU17"/>
  <c r="AV24"/>
  <c r="BB24" s="1"/>
  <c r="AT26"/>
  <c r="AU32"/>
  <c r="AV39"/>
  <c r="AT41"/>
  <c r="AU47"/>
  <c r="AV54"/>
  <c r="AU58"/>
  <c r="AU50"/>
  <c r="AU41"/>
  <c r="AU33"/>
  <c r="AU26"/>
  <c r="AU18"/>
  <c r="BA18" s="1"/>
  <c r="AU49"/>
  <c r="AT55"/>
  <c r="AT51"/>
  <c r="AT44"/>
  <c r="AT40"/>
  <c r="AT36"/>
  <c r="AT23"/>
  <c r="AT19"/>
  <c r="AT15"/>
  <c r="AT11"/>
  <c r="AZ11" s="1"/>
  <c r="AV18"/>
  <c r="AV33"/>
  <c r="AT35"/>
  <c r="AV12"/>
  <c r="BB12" s="1"/>
  <c r="AT14"/>
  <c r="AU21"/>
  <c r="AU36"/>
  <c r="AV43"/>
  <c r="AV50"/>
  <c r="AT52"/>
  <c r="AU11"/>
  <c r="AU42"/>
  <c r="AU52"/>
  <c r="AU43"/>
  <c r="AU20"/>
  <c r="AU12"/>
  <c r="AU34"/>
  <c r="AT62"/>
  <c r="AU62"/>
  <c r="AV55"/>
  <c r="AV51"/>
  <c r="AV47"/>
  <c r="AV44"/>
  <c r="AV40"/>
  <c r="AV36"/>
  <c r="AV23"/>
  <c r="AV19"/>
  <c r="AV15"/>
  <c r="BB15" s="1"/>
  <c r="AV11"/>
  <c r="AV22"/>
  <c r="BB22" s="1"/>
  <c r="AV37"/>
  <c r="AT20"/>
  <c r="AT43"/>
  <c r="AT54"/>
  <c r="AT12"/>
  <c r="BA26"/>
  <c r="BB20" i="11"/>
  <c r="AZ13"/>
  <c r="AZ22"/>
  <c r="AZ10"/>
  <c r="BA17"/>
  <c r="BD17" s="1"/>
  <c r="BB11"/>
  <c r="AZ19"/>
  <c r="BB15"/>
  <c r="BA19"/>
  <c r="BC19" s="1"/>
  <c r="AZ18"/>
  <c r="BB22"/>
  <c r="BB13"/>
  <c r="BA25"/>
  <c r="BC25" s="1"/>
  <c r="BB18"/>
  <c r="BB25"/>
  <c r="BB23"/>
  <c r="BA16"/>
  <c r="BD16" s="1"/>
  <c r="BA61"/>
  <c r="BC61" s="1"/>
  <c r="AZ16"/>
  <c r="AQ71" i="16"/>
  <c r="BB44" i="15"/>
  <c r="BB26"/>
  <c r="BB25" i="16"/>
  <c r="AZ23"/>
  <c r="BB23"/>
  <c r="BB22" i="15"/>
  <c r="BA21" i="16"/>
  <c r="BD21" s="1"/>
  <c r="AZ21" i="11"/>
  <c r="AZ20" i="16"/>
  <c r="BA19"/>
  <c r="BD19" s="1"/>
  <c r="BB19"/>
  <c r="BA18"/>
  <c r="BD18" s="1"/>
  <c r="BB12"/>
  <c r="AZ12" i="11"/>
  <c r="AZ61"/>
  <c r="AZ26"/>
  <c r="BA24"/>
  <c r="BD24" s="1"/>
  <c r="AZ14"/>
  <c r="BA15"/>
  <c r="BC15" s="1"/>
  <c r="BA18"/>
  <c r="BC18" s="1"/>
  <c r="AZ25"/>
  <c r="BB17"/>
  <c r="AZ24"/>
  <c r="BA22"/>
  <c r="BD22" s="1"/>
  <c r="BA23"/>
  <c r="BD23" s="1"/>
  <c r="AX45"/>
  <c r="AX47"/>
  <c r="AW45"/>
  <c r="AY28"/>
  <c r="AY45"/>
  <c r="AX46"/>
  <c r="AU28"/>
  <c r="AV28"/>
  <c r="BB28" s="1"/>
  <c r="AW46"/>
  <c r="AW47"/>
  <c r="AY46"/>
  <c r="AY47"/>
  <c r="AX28"/>
  <c r="AW28"/>
  <c r="AT28"/>
  <c r="AY30"/>
  <c r="BB30" s="1"/>
  <c r="AX30"/>
  <c r="BA30" s="1"/>
  <c r="AW30"/>
  <c r="BA26"/>
  <c r="BC26" s="1"/>
  <c r="AW27"/>
  <c r="AY27"/>
  <c r="AX27"/>
  <c r="AZ58"/>
  <c r="BC13"/>
  <c r="BD13"/>
  <c r="AZ44"/>
  <c r="BA39"/>
  <c r="BA48"/>
  <c r="BA59"/>
  <c r="AZ60"/>
  <c r="BB36"/>
  <c r="BA58"/>
  <c r="BB54"/>
  <c r="BB40"/>
  <c r="BB48"/>
  <c r="BA37"/>
  <c r="BB41"/>
  <c r="AZ42"/>
  <c r="AZ37"/>
  <c r="BB58"/>
  <c r="BA60"/>
  <c r="AZ41"/>
  <c r="AX53"/>
  <c r="AU53"/>
  <c r="AV53"/>
  <c r="BB43"/>
  <c r="BA54"/>
  <c r="BB60"/>
  <c r="AZ43"/>
  <c r="BA44"/>
  <c r="AZ36"/>
  <c r="BB51"/>
  <c r="AZ40"/>
  <c r="AZ31"/>
  <c r="BB42"/>
  <c r="AR63" a="1"/>
  <c r="AR63" s="1"/>
  <c r="AR64" s="1"/>
  <c r="AZ32"/>
  <c r="BB32"/>
  <c r="BB59"/>
  <c r="BB39"/>
  <c r="BA41"/>
  <c r="AZ54"/>
  <c r="AZ39"/>
  <c r="BA40"/>
  <c r="BB44"/>
  <c r="BB55"/>
  <c r="AZ15"/>
  <c r="AZ59"/>
  <c r="BB50"/>
  <c r="BB33"/>
  <c r="BA43"/>
  <c r="BA49"/>
  <c r="BA42"/>
  <c r="AW53"/>
  <c r="AY53"/>
  <c r="AT53"/>
  <c r="BD47" i="16"/>
  <c r="BC10"/>
  <c r="BC26"/>
  <c r="BD26"/>
  <c r="BD12"/>
  <c r="BD15"/>
  <c r="BC15"/>
  <c r="AW60"/>
  <c r="AZ60" s="1"/>
  <c r="AY58"/>
  <c r="BB58" s="1"/>
  <c r="AW43"/>
  <c r="AX53"/>
  <c r="AX58"/>
  <c r="BA58" s="1"/>
  <c r="AY43"/>
  <c r="BB43" s="1"/>
  <c r="AX59"/>
  <c r="BA59" s="1"/>
  <c r="AX44"/>
  <c r="BA44" s="1"/>
  <c r="AT52"/>
  <c r="AZ52" s="1"/>
  <c r="AV50"/>
  <c r="AU53"/>
  <c r="AU48"/>
  <c r="BA48" s="1"/>
  <c r="AT49"/>
  <c r="AZ49" s="1"/>
  <c r="AQ68"/>
  <c r="AQ72"/>
  <c r="BC25"/>
  <c r="BD25"/>
  <c r="BC24"/>
  <c r="BC20"/>
  <c r="BD20"/>
  <c r="BC13"/>
  <c r="BD14"/>
  <c r="BB60"/>
  <c r="BB41"/>
  <c r="BB51"/>
  <c r="BA34"/>
  <c r="BC34" s="1"/>
  <c r="AZ44"/>
  <c r="BB33"/>
  <c r="AZ59"/>
  <c r="AX60"/>
  <c r="BA60" s="1"/>
  <c r="AX43"/>
  <c r="AY53"/>
  <c r="AW58"/>
  <c r="AZ58" s="1"/>
  <c r="AW53"/>
  <c r="AY59"/>
  <c r="BB59" s="1"/>
  <c r="AY44"/>
  <c r="BB44" s="1"/>
  <c r="AU50"/>
  <c r="BA50" s="1"/>
  <c r="AT48"/>
  <c r="AZ48" s="1"/>
  <c r="AU33"/>
  <c r="BA33" s="1"/>
  <c r="AV29"/>
  <c r="BB29" s="1"/>
  <c r="AT53"/>
  <c r="AV49"/>
  <c r="BB49" s="1"/>
  <c r="AU32"/>
  <c r="BA32" s="1"/>
  <c r="AT30"/>
  <c r="AU52"/>
  <c r="BA52" s="1"/>
  <c r="AT50"/>
  <c r="AZ50" s="1"/>
  <c r="AV48"/>
  <c r="BB48" s="1"/>
  <c r="AT33"/>
  <c r="AZ33" s="1"/>
  <c r="AV53"/>
  <c r="AU49"/>
  <c r="BA49" s="1"/>
  <c r="AT51"/>
  <c r="AZ51" s="1"/>
  <c r="AT34"/>
  <c r="AZ34" s="1"/>
  <c r="AV30"/>
  <c r="BB34" i="15"/>
  <c r="BB16"/>
  <c r="BA14"/>
  <c r="BD14" s="1"/>
  <c r="BA62"/>
  <c r="BD62" s="1"/>
  <c r="AZ61"/>
  <c r="AZ11"/>
  <c r="BB11"/>
  <c r="BB12"/>
  <c r="BB17"/>
  <c r="BB21"/>
  <c r="BB25"/>
  <c r="AT28"/>
  <c r="AV28"/>
  <c r="AY45"/>
  <c r="BB45" s="1"/>
  <c r="AY46"/>
  <c r="AY28"/>
  <c r="AX47"/>
  <c r="BA47" s="1"/>
  <c r="AW45"/>
  <c r="AZ45" s="1"/>
  <c r="BB46"/>
  <c r="AU28"/>
  <c r="AX28"/>
  <c r="AW47"/>
  <c r="AX46"/>
  <c r="BA46" s="1"/>
  <c r="AX45"/>
  <c r="AY47"/>
  <c r="AW46"/>
  <c r="AZ46" s="1"/>
  <c r="AW28"/>
  <c r="BB42"/>
  <c r="AZ42"/>
  <c r="AZ33"/>
  <c r="AZ35"/>
  <c r="AX30"/>
  <c r="BA30" s="1"/>
  <c r="AY30"/>
  <c r="BB30" s="1"/>
  <c r="AW30"/>
  <c r="AZ30" s="1"/>
  <c r="AZ14"/>
  <c r="AZ22"/>
  <c r="BB62"/>
  <c r="AY27"/>
  <c r="BB27" s="1"/>
  <c r="AT53"/>
  <c r="AZ15"/>
  <c r="AZ19"/>
  <c r="BA22"/>
  <c r="BC22" s="1"/>
  <c r="BA26"/>
  <c r="BC26" s="1"/>
  <c r="BA40"/>
  <c r="BC40" s="1"/>
  <c r="AZ62"/>
  <c r="AX27"/>
  <c r="AW27"/>
  <c r="AZ27" s="1"/>
  <c r="AZ37"/>
  <c r="AZ41"/>
  <c r="BB32"/>
  <c r="AZ32"/>
  <c r="AZ38"/>
  <c r="BD11"/>
  <c r="BC11"/>
  <c r="BB38"/>
  <c r="BD25"/>
  <c r="BC25"/>
  <c r="BC19"/>
  <c r="AQ72"/>
  <c r="BA33"/>
  <c r="BA37"/>
  <c r="BB59"/>
  <c r="BB31"/>
  <c r="AZ39"/>
  <c r="AZ31"/>
  <c r="AZ23"/>
  <c r="BA12"/>
  <c r="AZ52"/>
  <c r="BA32"/>
  <c r="BA36"/>
  <c r="BA44"/>
  <c r="AZ58"/>
  <c r="BA57"/>
  <c r="BA61"/>
  <c r="BB33"/>
  <c r="BB41"/>
  <c r="AZ18"/>
  <c r="AZ26"/>
  <c r="BA16"/>
  <c r="AZ50"/>
  <c r="BB51"/>
  <c r="BA54"/>
  <c r="BB58"/>
  <c r="AY53"/>
  <c r="BD21"/>
  <c r="BC21"/>
  <c r="BC15"/>
  <c r="BC14"/>
  <c r="BC10"/>
  <c r="BD10"/>
  <c r="BC17"/>
  <c r="BD17"/>
  <c r="BB54"/>
  <c r="BA41"/>
  <c r="BB55"/>
  <c r="BA58"/>
  <c r="BB39"/>
  <c r="BB52"/>
  <c r="BA52"/>
  <c r="AZ57"/>
  <c r="AZ43"/>
  <c r="BA51"/>
  <c r="BB20"/>
  <c r="BB24"/>
  <c r="BA23"/>
  <c r="AZ51"/>
  <c r="BA31"/>
  <c r="BA35"/>
  <c r="BA39"/>
  <c r="BA43"/>
  <c r="BB57"/>
  <c r="BB61"/>
  <c r="BA56"/>
  <c r="BA60"/>
  <c r="BB35"/>
  <c r="BB43"/>
  <c r="BB15"/>
  <c r="BB19"/>
  <c r="BB48"/>
  <c r="BA48"/>
  <c r="AZ55"/>
  <c r="AZ59"/>
  <c r="AZ44"/>
  <c r="AZ40"/>
  <c r="AU53"/>
  <c r="BB40"/>
  <c r="AV53"/>
  <c r="AZ13"/>
  <c r="AZ17"/>
  <c r="AZ21"/>
  <c r="AZ25"/>
  <c r="BA20"/>
  <c r="BA24"/>
  <c r="AZ48"/>
  <c r="BB49"/>
  <c r="BA34"/>
  <c r="BA38"/>
  <c r="BA42"/>
  <c r="AZ56"/>
  <c r="AZ60"/>
  <c r="BA55"/>
  <c r="BA59"/>
  <c r="BB37"/>
  <c r="AZ12"/>
  <c r="AZ16"/>
  <c r="AZ20"/>
  <c r="AZ24"/>
  <c r="BA13"/>
  <c r="BA18"/>
  <c r="AZ54"/>
  <c r="BB56"/>
  <c r="BB60"/>
  <c r="AX53"/>
  <c r="AW53"/>
  <c r="BB9" i="16"/>
  <c r="BB9" i="14"/>
  <c r="AL33" i="13"/>
  <c r="AW56" s="1"/>
  <c r="AZ9" i="16"/>
  <c r="BA9"/>
  <c r="AQ67"/>
  <c r="AQ70"/>
  <c r="AQ70" i="15"/>
  <c r="AQ67"/>
  <c r="AQ71"/>
  <c r="AQ68"/>
  <c r="AZ9"/>
  <c r="BB9"/>
  <c r="AT70"/>
  <c r="BA9"/>
  <c r="AQ70" i="14"/>
  <c r="AQ67"/>
  <c r="AQ68"/>
  <c r="AQ71"/>
  <c r="AZ9"/>
  <c r="BA9"/>
  <c r="AY9" i="13"/>
  <c r="AQ70"/>
  <c r="AQ67"/>
  <c r="AQ71"/>
  <c r="AQ68"/>
  <c r="AV9"/>
  <c r="AU9"/>
  <c r="AT9"/>
  <c r="AZ9" i="11"/>
  <c r="AQ68"/>
  <c r="AQ67"/>
  <c r="AQ71"/>
  <c r="AQ72"/>
  <c r="AQ70"/>
  <c r="BA9"/>
  <c r="BB9"/>
  <c r="BB42" i="16"/>
  <c r="BA42"/>
  <c r="BD42" s="1"/>
  <c r="AZ42"/>
  <c r="BA39"/>
  <c r="BC39" s="1"/>
  <c r="BB39"/>
  <c r="AZ39"/>
  <c r="BB57"/>
  <c r="BB38"/>
  <c r="BB56"/>
  <c r="AZ38"/>
  <c r="BA38"/>
  <c r="BD38" s="1"/>
  <c r="AZ37"/>
  <c r="BA37"/>
  <c r="BC37" s="1"/>
  <c r="AZ57"/>
  <c r="BA57"/>
  <c r="BC57" s="1"/>
  <c r="AZ56"/>
  <c r="BA56"/>
  <c r="BD56" s="1"/>
  <c r="BB37"/>
  <c r="BC38"/>
  <c r="BA51"/>
  <c r="BC51" s="1"/>
  <c r="BB52"/>
  <c r="BB34"/>
  <c r="BB32"/>
  <c r="AZ32"/>
  <c r="BB36"/>
  <c r="BB55"/>
  <c r="BB35"/>
  <c r="AZ35"/>
  <c r="AZ54"/>
  <c r="BA54"/>
  <c r="BD54" s="1"/>
  <c r="BA55"/>
  <c r="BD55" s="1"/>
  <c r="AZ36"/>
  <c r="BA36"/>
  <c r="BC36" s="1"/>
  <c r="BA35"/>
  <c r="BD35" s="1"/>
  <c r="BB54"/>
  <c r="AZ55"/>
  <c r="BC55"/>
  <c r="BB31"/>
  <c r="AZ41"/>
  <c r="BA41"/>
  <c r="AM64" i="13"/>
  <c r="AX44" s="1"/>
  <c r="AM13"/>
  <c r="AK44"/>
  <c r="AY39" s="1"/>
  <c r="AG16"/>
  <c r="AT30" s="1"/>
  <c r="AL21"/>
  <c r="AW9" s="1"/>
  <c r="AM29"/>
  <c r="AX55" s="1"/>
  <c r="AK64"/>
  <c r="AY44" s="1"/>
  <c r="AL13"/>
  <c r="AW51" s="1"/>
  <c r="AL44"/>
  <c r="AW39" s="1"/>
  <c r="AM25"/>
  <c r="AX54" s="1"/>
  <c r="AM21"/>
  <c r="AX9" s="1"/>
  <c r="AL29"/>
  <c r="AW55" s="1"/>
  <c r="AL72"/>
  <c r="AK25"/>
  <c r="AY54" s="1"/>
  <c r="AL60"/>
  <c r="AW43" s="1"/>
  <c r="AK60"/>
  <c r="AY43" s="1"/>
  <c r="AM60"/>
  <c r="AX43" s="1"/>
  <c r="AM80"/>
  <c r="AX59" s="1"/>
  <c r="AL80"/>
  <c r="AW50" s="1"/>
  <c r="AK80"/>
  <c r="AY59" s="1"/>
  <c r="AL76"/>
  <c r="AK76"/>
  <c r="AM76"/>
  <c r="AH80"/>
  <c r="AG80"/>
  <c r="AT47" s="1"/>
  <c r="AF80"/>
  <c r="AV60" s="1"/>
  <c r="AG76"/>
  <c r="AF76"/>
  <c r="AH76"/>
  <c r="AK33"/>
  <c r="AY56" s="1"/>
  <c r="AH16"/>
  <c r="AU30" s="1"/>
  <c r="AH52"/>
  <c r="AU39" s="1"/>
  <c r="BA39" s="1"/>
  <c r="AK52"/>
  <c r="AY41" s="1"/>
  <c r="AM48"/>
  <c r="AX40" s="1"/>
  <c r="AM16"/>
  <c r="AF24"/>
  <c r="AV32" s="1"/>
  <c r="AL52"/>
  <c r="AW41" s="1"/>
  <c r="AL40"/>
  <c r="AW38" s="1"/>
  <c r="AM40"/>
  <c r="AX38" s="1"/>
  <c r="AK48"/>
  <c r="AY40" s="1"/>
  <c r="AL24"/>
  <c r="AL32"/>
  <c r="AW36" s="1"/>
  <c r="AL28"/>
  <c r="AM24"/>
  <c r="AX34" s="1"/>
  <c r="AK32"/>
  <c r="AH48"/>
  <c r="AU38" s="1"/>
  <c r="AM28"/>
  <c r="AF45"/>
  <c r="AV56" s="1"/>
  <c r="BB56" s="1"/>
  <c r="AL16"/>
  <c r="AW33" s="1"/>
  <c r="AK40"/>
  <c r="AY38" s="1"/>
  <c r="AL41"/>
  <c r="AF48"/>
  <c r="AV38" s="1"/>
  <c r="BB38" s="1"/>
  <c r="AM20"/>
  <c r="AX33" s="1"/>
  <c r="AM12"/>
  <c r="AG52"/>
  <c r="AT39" s="1"/>
  <c r="AK20"/>
  <c r="AY33" s="1"/>
  <c r="AK12"/>
  <c r="AK41"/>
  <c r="AY45" s="1"/>
  <c r="AG24"/>
  <c r="AT32" s="1"/>
  <c r="AG45"/>
  <c r="AT56" s="1"/>
  <c r="AZ56" s="1"/>
  <c r="AK56"/>
  <c r="AY42" s="1"/>
  <c r="AL56"/>
  <c r="AW42" s="1"/>
  <c r="AM56"/>
  <c r="AX42" s="1"/>
  <c r="AK36"/>
  <c r="AY37" s="1"/>
  <c r="AL36"/>
  <c r="AW37" s="1"/>
  <c r="AM36"/>
  <c r="AX37" s="1"/>
  <c r="AM84" i="11"/>
  <c r="AY36" i="13" l="1"/>
  <c r="BB19"/>
  <c r="AX36"/>
  <c r="BA19"/>
  <c r="AZ18"/>
  <c r="BA22"/>
  <c r="AV48"/>
  <c r="AT48"/>
  <c r="AW45"/>
  <c r="AZ14"/>
  <c r="AZ19"/>
  <c r="BB52"/>
  <c r="AW31"/>
  <c r="AX46"/>
  <c r="AY35"/>
  <c r="AY53"/>
  <c r="BB53" s="1"/>
  <c r="AX35"/>
  <c r="AW35"/>
  <c r="BA40"/>
  <c r="BD40" s="1"/>
  <c r="AZ21"/>
  <c r="BB62"/>
  <c r="AW34"/>
  <c r="AX32"/>
  <c r="AU35"/>
  <c r="AV35"/>
  <c r="BB35" s="1"/>
  <c r="AY34"/>
  <c r="BB34" s="1"/>
  <c r="AW70" i="16"/>
  <c r="BA29"/>
  <c r="BD16"/>
  <c r="BC18"/>
  <c r="BD61"/>
  <c r="BC23"/>
  <c r="BC11"/>
  <c r="BA53"/>
  <c r="BC53" s="1"/>
  <c r="BD46"/>
  <c r="BC46"/>
  <c r="AW67"/>
  <c r="BD34"/>
  <c r="BB30"/>
  <c r="BD17"/>
  <c r="BC21"/>
  <c r="BD62"/>
  <c r="AZ31" i="14"/>
  <c r="BA49"/>
  <c r="BC49" s="1"/>
  <c r="BA27"/>
  <c r="BD25"/>
  <c r="BD54"/>
  <c r="BC59"/>
  <c r="BB29"/>
  <c r="BB53"/>
  <c r="AZ27"/>
  <c r="BA46"/>
  <c r="BC46" s="1"/>
  <c r="BA47"/>
  <c r="BC47" s="1"/>
  <c r="BC60"/>
  <c r="AX51" i="13"/>
  <c r="BA51" s="1"/>
  <c r="BC51" s="1"/>
  <c r="AX52"/>
  <c r="AX47"/>
  <c r="BA47" s="1"/>
  <c r="AY51"/>
  <c r="AW52"/>
  <c r="AZ52" s="1"/>
  <c r="AY47"/>
  <c r="BB47" s="1"/>
  <c r="AX45"/>
  <c r="BA45" s="1"/>
  <c r="AY32"/>
  <c r="BB32" s="1"/>
  <c r="AZ37"/>
  <c r="AY31"/>
  <c r="BB31" s="1"/>
  <c r="AW32"/>
  <c r="AZ32" s="1"/>
  <c r="AZ41"/>
  <c r="BA32"/>
  <c r="BD32" s="1"/>
  <c r="BA21"/>
  <c r="BD21" s="1"/>
  <c r="BB18"/>
  <c r="AZ15"/>
  <c r="BA17"/>
  <c r="BD17" s="1"/>
  <c r="AU31"/>
  <c r="BA56"/>
  <c r="BD56" s="1"/>
  <c r="BB20"/>
  <c r="AT31"/>
  <c r="AT29"/>
  <c r="AV29"/>
  <c r="AV27"/>
  <c r="AZ54"/>
  <c r="AZ20"/>
  <c r="BB23"/>
  <c r="BB55"/>
  <c r="BA52"/>
  <c r="BC52" s="1"/>
  <c r="BA11"/>
  <c r="BC11" s="1"/>
  <c r="BA36"/>
  <c r="BD36" s="1"/>
  <c r="AZ23"/>
  <c r="AZ40"/>
  <c r="BA41"/>
  <c r="BD41" s="1"/>
  <c r="AZ26"/>
  <c r="AZ36"/>
  <c r="BB36"/>
  <c r="AZ35"/>
  <c r="BA43"/>
  <c r="BC43" s="1"/>
  <c r="AZ43"/>
  <c r="AZ30" i="11"/>
  <c r="AZ47"/>
  <c r="AZ62"/>
  <c r="BB49"/>
  <c r="BA62"/>
  <c r="BC62" s="1"/>
  <c r="AZ55"/>
  <c r="BB16" i="13"/>
  <c r="AZ17"/>
  <c r="AZ10"/>
  <c r="AZ42"/>
  <c r="BB57"/>
  <c r="BA16"/>
  <c r="BD16" s="1"/>
  <c r="BA51" i="11"/>
  <c r="BD51" s="1"/>
  <c r="BD45" i="14"/>
  <c r="BD45" i="16"/>
  <c r="AZ33" i="13"/>
  <c r="AZ31"/>
  <c r="BC32" i="14"/>
  <c r="BD38"/>
  <c r="BA31" i="11"/>
  <c r="BD31" s="1"/>
  <c r="AZ35"/>
  <c r="AZ29" i="16"/>
  <c r="BD40"/>
  <c r="BC62" i="14"/>
  <c r="BD21"/>
  <c r="BB47"/>
  <c r="AZ47"/>
  <c r="AZ29"/>
  <c r="BA62" i="13"/>
  <c r="BD62" s="1"/>
  <c r="BA24"/>
  <c r="BC24" s="1"/>
  <c r="BA57"/>
  <c r="BC57" s="1"/>
  <c r="AZ22"/>
  <c r="AZ57"/>
  <c r="BB13"/>
  <c r="AZ13"/>
  <c r="BB14"/>
  <c r="BC19" i="16"/>
  <c r="AW71"/>
  <c r="BC30"/>
  <c r="BD30"/>
  <c r="AU63" a="1"/>
  <c r="AU63" s="1"/>
  <c r="AU64" s="1"/>
  <c r="AW68"/>
  <c r="BB50"/>
  <c r="BA27"/>
  <c r="AZ28"/>
  <c r="AT63"/>
  <c r="AT72" s="1"/>
  <c r="AX63" a="1"/>
  <c r="AX63" s="1"/>
  <c r="AX64" s="1"/>
  <c r="AW63" a="1"/>
  <c r="AW63" s="1"/>
  <c r="AW72" s="1"/>
  <c r="AX63" i="15" a="1"/>
  <c r="AX63" s="1"/>
  <c r="AX64" s="1"/>
  <c r="AT63"/>
  <c r="AU63" a="1"/>
  <c r="AU63" s="1"/>
  <c r="AU64" s="1"/>
  <c r="AW63" a="1"/>
  <c r="AW63" s="1"/>
  <c r="AW72" s="1"/>
  <c r="BD56" i="14"/>
  <c r="BD51"/>
  <c r="AZ53"/>
  <c r="AT63"/>
  <c r="AT72" s="1"/>
  <c r="AW63" a="1"/>
  <c r="AW63" s="1"/>
  <c r="AW72" s="1"/>
  <c r="AU63" a="1"/>
  <c r="AU63" s="1"/>
  <c r="AU64" s="1"/>
  <c r="AZ63" a="1"/>
  <c r="AX63" a="1"/>
  <c r="AX63" s="1"/>
  <c r="AX64" s="1"/>
  <c r="AQ63" i="13"/>
  <c r="AQ72" s="1"/>
  <c r="AQ73" s="1"/>
  <c r="AR63" a="1"/>
  <c r="AR63" s="1"/>
  <c r="AR64" s="1"/>
  <c r="AG83" a="1"/>
  <c r="AG83" s="1"/>
  <c r="AH83" a="1"/>
  <c r="AH83" s="1"/>
  <c r="AH84" s="1"/>
  <c r="AX31"/>
  <c r="AM83" a="1"/>
  <c r="AM83" s="1"/>
  <c r="AM84" s="1"/>
  <c r="AL83" a="1"/>
  <c r="AL83" s="1"/>
  <c r="AT63" i="11"/>
  <c r="AT72" s="1"/>
  <c r="BC43" i="14"/>
  <c r="BB53" i="16"/>
  <c r="BD40" i="14"/>
  <c r="BB46" i="11"/>
  <c r="BB29"/>
  <c r="BA33"/>
  <c r="BD33" s="1"/>
  <c r="BA28" i="14"/>
  <c r="BC28" s="1"/>
  <c r="AT68" i="16"/>
  <c r="AZ53"/>
  <c r="BC22"/>
  <c r="BC42"/>
  <c r="AT71"/>
  <c r="BB46"/>
  <c r="BB27"/>
  <c r="BA28"/>
  <c r="BD28" s="1"/>
  <c r="BD19" i="11"/>
  <c r="AZ27"/>
  <c r="BB45"/>
  <c r="BA29"/>
  <c r="BD29" s="1"/>
  <c r="AZ49"/>
  <c r="AZ33"/>
  <c r="BB34"/>
  <c r="AZ51"/>
  <c r="AZ38"/>
  <c r="BB52"/>
  <c r="AZ53"/>
  <c r="BD11"/>
  <c r="BC17"/>
  <c r="BC24"/>
  <c r="BA45" i="15"/>
  <c r="BC45" s="1"/>
  <c r="AZ47"/>
  <c r="BD22"/>
  <c r="BB47"/>
  <c r="BA27"/>
  <c r="BC27" s="1"/>
  <c r="BC29"/>
  <c r="BD29"/>
  <c r="BD40"/>
  <c r="AW67"/>
  <c r="BB53"/>
  <c r="AT68"/>
  <c r="AT71"/>
  <c r="AW68"/>
  <c r="BC62"/>
  <c r="AT72"/>
  <c r="AT70" i="14"/>
  <c r="BC23"/>
  <c r="BD34"/>
  <c r="AW70"/>
  <c r="AT71"/>
  <c r="BD49"/>
  <c r="BC13"/>
  <c r="BC48"/>
  <c r="BD52"/>
  <c r="BD50"/>
  <c r="AT68"/>
  <c r="AW71"/>
  <c r="AT67"/>
  <c r="BD35"/>
  <c r="BC15"/>
  <c r="BC44"/>
  <c r="BD33"/>
  <c r="BB27"/>
  <c r="BC42"/>
  <c r="BA53"/>
  <c r="BC53" s="1"/>
  <c r="AW68"/>
  <c r="AW67"/>
  <c r="BA30"/>
  <c r="BC27"/>
  <c r="BD27"/>
  <c r="AT27" i="13"/>
  <c r="AW48"/>
  <c r="AZ48" s="1"/>
  <c r="AX48"/>
  <c r="AY48"/>
  <c r="BB48" s="1"/>
  <c r="AU28"/>
  <c r="AW46"/>
  <c r="AY46"/>
  <c r="AU27"/>
  <c r="AV45"/>
  <c r="BB45" s="1"/>
  <c r="AT45"/>
  <c r="AZ45" s="1"/>
  <c r="AW29"/>
  <c r="AZ29" s="1"/>
  <c r="AZ24"/>
  <c r="AZ12"/>
  <c r="AZ38"/>
  <c r="AZ47"/>
  <c r="AZ50"/>
  <c r="BB11"/>
  <c r="AZ44"/>
  <c r="BB21"/>
  <c r="BB58"/>
  <c r="BB26"/>
  <c r="AY29"/>
  <c r="AZ51"/>
  <c r="BA55"/>
  <c r="BD55" s="1"/>
  <c r="BA20"/>
  <c r="BD20" s="1"/>
  <c r="BA48"/>
  <c r="BC48" s="1"/>
  <c r="BA14"/>
  <c r="BD14" s="1"/>
  <c r="BA13"/>
  <c r="BC13" s="1"/>
  <c r="AX29"/>
  <c r="BA29" s="1"/>
  <c r="BC29" s="1"/>
  <c r="AW28"/>
  <c r="AU59"/>
  <c r="BA59" s="1"/>
  <c r="BD59" s="1"/>
  <c r="AT59"/>
  <c r="AX60"/>
  <c r="AW60"/>
  <c r="AW27"/>
  <c r="AX28"/>
  <c r="AV59"/>
  <c r="BB59" s="1"/>
  <c r="AY28"/>
  <c r="AZ62"/>
  <c r="BA58"/>
  <c r="BD58" s="1"/>
  <c r="BB25"/>
  <c r="AY60"/>
  <c r="BB60" s="1"/>
  <c r="AW59"/>
  <c r="BB17"/>
  <c r="BB42"/>
  <c r="AZ39"/>
  <c r="BA33"/>
  <c r="BD33" s="1"/>
  <c r="AZ34"/>
  <c r="BB41"/>
  <c r="BA54"/>
  <c r="BD54" s="1"/>
  <c r="BA44"/>
  <c r="BC44" s="1"/>
  <c r="BB51"/>
  <c r="BA12"/>
  <c r="BC12" s="1"/>
  <c r="AT46"/>
  <c r="AZ25"/>
  <c r="AU46"/>
  <c r="BA46" s="1"/>
  <c r="BC46" s="1"/>
  <c r="AV46"/>
  <c r="BB46" s="1"/>
  <c r="BA25"/>
  <c r="BC25" s="1"/>
  <c r="AT61"/>
  <c r="AZ61" s="1"/>
  <c r="AX30"/>
  <c r="BA30" s="1"/>
  <c r="AX49"/>
  <c r="BA49" s="1"/>
  <c r="BC49" s="1"/>
  <c r="AY49"/>
  <c r="BB49" s="1"/>
  <c r="AU60"/>
  <c r="BA60" s="1"/>
  <c r="BC60" s="1"/>
  <c r="AT60"/>
  <c r="AW49"/>
  <c r="AZ49" s="1"/>
  <c r="AY30"/>
  <c r="BB30" s="1"/>
  <c r="AY50"/>
  <c r="BB50" s="1"/>
  <c r="AX27"/>
  <c r="AV28"/>
  <c r="BB28" s="1"/>
  <c r="BA38"/>
  <c r="BC38" s="1"/>
  <c r="AT28"/>
  <c r="AZ28" s="1"/>
  <c r="AW30"/>
  <c r="AZ30" s="1"/>
  <c r="BB44"/>
  <c r="AV61"/>
  <c r="BB61" s="1"/>
  <c r="AU61"/>
  <c r="BA61" s="1"/>
  <c r="BD61" s="1"/>
  <c r="AX50"/>
  <c r="BA50" s="1"/>
  <c r="AY27"/>
  <c r="BB9"/>
  <c r="BB35" i="11"/>
  <c r="BA35"/>
  <c r="BC35" s="1"/>
  <c r="BC29"/>
  <c r="BC57"/>
  <c r="BD57"/>
  <c r="BC12"/>
  <c r="BC14"/>
  <c r="BD62"/>
  <c r="BD21"/>
  <c r="BB47"/>
  <c r="BA46"/>
  <c r="BC46" s="1"/>
  <c r="BA47"/>
  <c r="BC47" s="1"/>
  <c r="AZ29"/>
  <c r="AZ34"/>
  <c r="BD61"/>
  <c r="BA27"/>
  <c r="BD27" s="1"/>
  <c r="AZ46"/>
  <c r="AZ45"/>
  <c r="BA45"/>
  <c r="BA50"/>
  <c r="BC50" s="1"/>
  <c r="BC22"/>
  <c r="BC10"/>
  <c r="BC20"/>
  <c r="BC16"/>
  <c r="BB27"/>
  <c r="BD53" i="14"/>
  <c r="AW53" i="13"/>
  <c r="AZ53" s="1"/>
  <c r="AX53"/>
  <c r="BA53" s="1"/>
  <c r="AZ55"/>
  <c r="BB54"/>
  <c r="BB37"/>
  <c r="BB43"/>
  <c r="BB39"/>
  <c r="BA37"/>
  <c r="BD37" s="1"/>
  <c r="BB40"/>
  <c r="BA34"/>
  <c r="BC34" s="1"/>
  <c r="BA35"/>
  <c r="BD35" s="1"/>
  <c r="BA42"/>
  <c r="BD42" s="1"/>
  <c r="BB33"/>
  <c r="BD26" i="15"/>
  <c r="BD29" i="14"/>
  <c r="BC29"/>
  <c r="BD36"/>
  <c r="BC36"/>
  <c r="BC61"/>
  <c r="BD61"/>
  <c r="BC22"/>
  <c r="BD22"/>
  <c r="BD31"/>
  <c r="BC31"/>
  <c r="BC55"/>
  <c r="BD55"/>
  <c r="BD16"/>
  <c r="BC16"/>
  <c r="BD37"/>
  <c r="BC37"/>
  <c r="BD28"/>
  <c r="BD14"/>
  <c r="BC14"/>
  <c r="BD39"/>
  <c r="BC39"/>
  <c r="BC24"/>
  <c r="BD24"/>
  <c r="BD52" i="13"/>
  <c r="BC18"/>
  <c r="BD18"/>
  <c r="BD38"/>
  <c r="BD60"/>
  <c r="BC17"/>
  <c r="BC56"/>
  <c r="BD22"/>
  <c r="BC22"/>
  <c r="BC26"/>
  <c r="BD26"/>
  <c r="BD19"/>
  <c r="BC19"/>
  <c r="BD44"/>
  <c r="BD24"/>
  <c r="BD43"/>
  <c r="BC16"/>
  <c r="BC41"/>
  <c r="BD10"/>
  <c r="BC10"/>
  <c r="BC15"/>
  <c r="BD15"/>
  <c r="BC23"/>
  <c r="BD23"/>
  <c r="BC40"/>
  <c r="BC55"/>
  <c r="BC39"/>
  <c r="BD39"/>
  <c r="BD25" i="11"/>
  <c r="BD15"/>
  <c r="BD18"/>
  <c r="AU63" a="1"/>
  <c r="AU63" s="1"/>
  <c r="AU64" s="1"/>
  <c r="BC23"/>
  <c r="AW63" a="1"/>
  <c r="AW63" s="1"/>
  <c r="AW72" s="1"/>
  <c r="BA28"/>
  <c r="BD28" s="1"/>
  <c r="AZ28"/>
  <c r="AW68"/>
  <c r="BD26"/>
  <c r="BC28"/>
  <c r="BA53"/>
  <c r="BC53" s="1"/>
  <c r="AT70" i="16"/>
  <c r="AT67"/>
  <c r="AW71" i="15"/>
  <c r="AW70"/>
  <c r="AT68" i="11"/>
  <c r="AT67"/>
  <c r="AW71"/>
  <c r="AX63" a="1"/>
  <c r="AX63" s="1"/>
  <c r="AX64" s="1"/>
  <c r="AT71"/>
  <c r="AT70"/>
  <c r="AW70"/>
  <c r="AW67"/>
  <c r="BB53"/>
  <c r="BD42"/>
  <c r="BC42"/>
  <c r="BC43"/>
  <c r="BD43"/>
  <c r="BC36"/>
  <c r="BD36"/>
  <c r="BC40"/>
  <c r="BD40"/>
  <c r="BD38"/>
  <c r="BC38"/>
  <c r="BC51"/>
  <c r="BD44"/>
  <c r="BC44"/>
  <c r="BC54"/>
  <c r="BD54"/>
  <c r="BC37"/>
  <c r="BD37"/>
  <c r="BD56"/>
  <c r="BC56"/>
  <c r="BD48"/>
  <c r="BC48"/>
  <c r="BD49"/>
  <c r="BC49"/>
  <c r="BD55"/>
  <c r="BC55"/>
  <c r="BD52"/>
  <c r="BC52"/>
  <c r="BC41"/>
  <c r="BD41"/>
  <c r="BD30"/>
  <c r="BC30"/>
  <c r="BD34"/>
  <c r="BC34"/>
  <c r="BC60"/>
  <c r="BD60"/>
  <c r="BC32"/>
  <c r="BD32"/>
  <c r="BD58"/>
  <c r="BC58"/>
  <c r="BD59"/>
  <c r="BC59"/>
  <c r="BC39"/>
  <c r="BD39"/>
  <c r="BD49" i="16"/>
  <c r="BC49"/>
  <c r="BC60"/>
  <c r="BD60"/>
  <c r="BD48"/>
  <c r="BC48"/>
  <c r="BC44"/>
  <c r="BD44"/>
  <c r="BD52"/>
  <c r="BC52"/>
  <c r="BD32"/>
  <c r="BC32"/>
  <c r="BD33"/>
  <c r="BC33"/>
  <c r="BC50"/>
  <c r="BD50"/>
  <c r="BD59"/>
  <c r="BC59"/>
  <c r="BD58"/>
  <c r="BC58"/>
  <c r="AQ73"/>
  <c r="BA43"/>
  <c r="AZ30"/>
  <c r="AZ43"/>
  <c r="AT67" i="15"/>
  <c r="AZ53"/>
  <c r="BC46"/>
  <c r="BD46"/>
  <c r="BD47"/>
  <c r="BC47"/>
  <c r="BD45"/>
  <c r="BA28"/>
  <c r="BB28"/>
  <c r="AZ28"/>
  <c r="AZ63" s="1" a="1"/>
  <c r="BD13"/>
  <c r="BC13"/>
  <c r="BD59"/>
  <c r="BC59"/>
  <c r="BD42"/>
  <c r="BC42"/>
  <c r="BD34"/>
  <c r="BC34"/>
  <c r="BD24"/>
  <c r="BC24"/>
  <c r="BD48"/>
  <c r="BC48"/>
  <c r="BC56"/>
  <c r="BD56"/>
  <c r="BD39"/>
  <c r="BC39"/>
  <c r="BD31"/>
  <c r="BC31"/>
  <c r="BD51"/>
  <c r="BC51"/>
  <c r="BC52"/>
  <c r="BD52"/>
  <c r="BC16"/>
  <c r="BD16"/>
  <c r="BD57"/>
  <c r="BC57"/>
  <c r="BC44"/>
  <c r="BD44"/>
  <c r="BD32"/>
  <c r="BC32"/>
  <c r="BD33"/>
  <c r="BC33"/>
  <c r="BC50"/>
  <c r="BD50"/>
  <c r="BC18"/>
  <c r="BD18"/>
  <c r="BC49"/>
  <c r="BD49"/>
  <c r="BD55"/>
  <c r="BC55"/>
  <c r="BD38"/>
  <c r="BC38"/>
  <c r="BD30"/>
  <c r="BC30"/>
  <c r="BD20"/>
  <c r="BC20"/>
  <c r="BC60"/>
  <c r="BD60"/>
  <c r="BD43"/>
  <c r="BC43"/>
  <c r="BD35"/>
  <c r="BC35"/>
  <c r="BD23"/>
  <c r="BC23"/>
  <c r="BC58"/>
  <c r="BD58"/>
  <c r="BD41"/>
  <c r="BC41"/>
  <c r="BC54"/>
  <c r="BD54"/>
  <c r="BC61"/>
  <c r="BD61"/>
  <c r="BD36"/>
  <c r="BC36"/>
  <c r="BC12"/>
  <c r="BD12"/>
  <c r="BD37"/>
  <c r="BC37"/>
  <c r="BA53"/>
  <c r="BC9" i="16"/>
  <c r="BD9"/>
  <c r="AQ73" i="15"/>
  <c r="BC9"/>
  <c r="BD9"/>
  <c r="AQ73" i="14"/>
  <c r="BC9"/>
  <c r="BD9"/>
  <c r="BA9" i="13"/>
  <c r="AZ9"/>
  <c r="BD9" i="11"/>
  <c r="BC9"/>
  <c r="AQ73"/>
  <c r="BC56" i="16"/>
  <c r="BD51"/>
  <c r="BD37"/>
  <c r="BC54"/>
  <c r="BD57"/>
  <c r="BD39"/>
  <c r="BD53"/>
  <c r="BD36"/>
  <c r="BC31"/>
  <c r="BC35"/>
  <c r="BD29"/>
  <c r="BC29"/>
  <c r="BD41"/>
  <c r="BC41"/>
  <c r="BC33" i="11" l="1"/>
  <c r="BC32" i="13"/>
  <c r="BD57"/>
  <c r="BC14"/>
  <c r="BC62"/>
  <c r="AZ46"/>
  <c r="BB29"/>
  <c r="BC47"/>
  <c r="BD47"/>
  <c r="AZ67" i="16"/>
  <c r="AW73"/>
  <c r="AZ68"/>
  <c r="AZ67" i="14"/>
  <c r="BD46"/>
  <c r="BD47"/>
  <c r="AW70" i="13"/>
  <c r="BC33"/>
  <c r="BD11"/>
  <c r="BC21"/>
  <c r="BB27"/>
  <c r="BC36"/>
  <c r="BC59"/>
  <c r="BD12"/>
  <c r="BA31"/>
  <c r="BD31" s="1"/>
  <c r="BD13"/>
  <c r="BA28"/>
  <c r="BC28" s="1"/>
  <c r="BD45"/>
  <c r="BC45"/>
  <c r="BC20"/>
  <c r="BC31" i="11"/>
  <c r="AT71" i="13"/>
  <c r="BC54"/>
  <c r="BD49"/>
  <c r="BA27"/>
  <c r="BC27" s="1"/>
  <c r="AZ60"/>
  <c r="AZ70" i="14"/>
  <c r="AZ63"/>
  <c r="AZ69" s="1"/>
  <c r="AZ63" i="15"/>
  <c r="AZ68" i="14"/>
  <c r="AZ72"/>
  <c r="BC35" i="13"/>
  <c r="AZ72" i="16"/>
  <c r="AZ63" a="1"/>
  <c r="AZ63" s="1"/>
  <c r="AZ71" s="1"/>
  <c r="BD27"/>
  <c r="BC27"/>
  <c r="BA63" a="1"/>
  <c r="BA63" s="1"/>
  <c r="BA64" s="1"/>
  <c r="BA63" i="15" a="1"/>
  <c r="BA63" s="1"/>
  <c r="BA64" s="1"/>
  <c r="BA63" i="14" a="1"/>
  <c r="BA63" s="1"/>
  <c r="BA64" s="1"/>
  <c r="AW63" i="13" a="1"/>
  <c r="AW63" s="1"/>
  <c r="AW72" s="1"/>
  <c r="AU63" a="1"/>
  <c r="AU63" s="1"/>
  <c r="AU64" s="1"/>
  <c r="AX63" a="1"/>
  <c r="AX63" s="1"/>
  <c r="AX64" s="1"/>
  <c r="AT63"/>
  <c r="BA63" a="1"/>
  <c r="AZ63" i="11" a="1"/>
  <c r="BA63" a="1"/>
  <c r="BA63" s="1"/>
  <c r="BA64" s="1"/>
  <c r="AT73" i="14"/>
  <c r="AZ70" i="16"/>
  <c r="BC28"/>
  <c r="AT70" i="13"/>
  <c r="BD51"/>
  <c r="BD48"/>
  <c r="BC58"/>
  <c r="BD25"/>
  <c r="AW71"/>
  <c r="BD27"/>
  <c r="BD46"/>
  <c r="BC37"/>
  <c r="BC61"/>
  <c r="AT67"/>
  <c r="AT68"/>
  <c r="AT72"/>
  <c r="AZ27"/>
  <c r="BD35" i="11"/>
  <c r="BD46"/>
  <c r="BD50"/>
  <c r="BC27"/>
  <c r="BD47"/>
  <c r="AZ63"/>
  <c r="AZ71" s="1"/>
  <c r="BD27" i="15"/>
  <c r="AZ67"/>
  <c r="AZ68"/>
  <c r="AW73"/>
  <c r="AW73" i="14"/>
  <c r="BC30"/>
  <c r="BC68" s="1"/>
  <c r="BD30"/>
  <c r="AZ59" i="13"/>
  <c r="BD28"/>
  <c r="AW68"/>
  <c r="AW67"/>
  <c r="BD29"/>
  <c r="BC30"/>
  <c r="BD30"/>
  <c r="BC42"/>
  <c r="BD34"/>
  <c r="BC50"/>
  <c r="BD50"/>
  <c r="BD53"/>
  <c r="BC53"/>
  <c r="BC45" i="11"/>
  <c r="BD45"/>
  <c r="AZ70"/>
  <c r="BD53"/>
  <c r="AT73" i="16"/>
  <c r="AZ68" i="11"/>
  <c r="AZ72"/>
  <c r="AZ67"/>
  <c r="AW73"/>
  <c r="AT73"/>
  <c r="BC43" i="16"/>
  <c r="BD43"/>
  <c r="AT73" i="15"/>
  <c r="AZ70"/>
  <c r="AZ72"/>
  <c r="AZ69"/>
  <c r="BD28"/>
  <c r="BC28"/>
  <c r="BD53"/>
  <c r="BC53"/>
  <c r="BD9" i="13"/>
  <c r="BC9"/>
  <c r="BC71" i="16" l="1"/>
  <c r="BF13" i="14"/>
  <c r="BF47"/>
  <c r="BF37"/>
  <c r="BF9"/>
  <c r="BL9" s="1"/>
  <c r="BC71"/>
  <c r="BF49"/>
  <c r="BF29"/>
  <c r="BF42"/>
  <c r="BF14"/>
  <c r="BF26"/>
  <c r="BF21"/>
  <c r="BF17"/>
  <c r="BF22"/>
  <c r="BF58"/>
  <c r="BF34"/>
  <c r="BF44"/>
  <c r="BF11"/>
  <c r="BC31" i="13"/>
  <c r="BC71" s="1"/>
  <c r="BA63"/>
  <c r="BA64" s="1"/>
  <c r="AZ69" i="11"/>
  <c r="AZ73" s="1"/>
  <c r="AZ71" i="14"/>
  <c r="AZ73" s="1"/>
  <c r="BF57"/>
  <c r="BI57" s="1"/>
  <c r="BF41"/>
  <c r="BF33"/>
  <c r="BI33" s="1"/>
  <c r="BF52"/>
  <c r="BF54"/>
  <c r="BF18"/>
  <c r="BF10"/>
  <c r="BF53"/>
  <c r="BF38"/>
  <c r="BF30"/>
  <c r="BF62"/>
  <c r="BF25"/>
  <c r="BF15"/>
  <c r="BF59"/>
  <c r="BF55"/>
  <c r="BF43"/>
  <c r="BF39"/>
  <c r="BF35"/>
  <c r="BF31"/>
  <c r="BF27"/>
  <c r="BF61"/>
  <c r="BH61" s="1"/>
  <c r="BF50"/>
  <c r="BF24"/>
  <c r="BH24" s="1"/>
  <c r="BF20"/>
  <c r="BF16"/>
  <c r="BH16" s="1"/>
  <c r="BF12"/>
  <c r="BF60"/>
  <c r="BI60" s="1"/>
  <c r="BF56"/>
  <c r="BF45"/>
  <c r="BJ45" s="1"/>
  <c r="BF40"/>
  <c r="BF36"/>
  <c r="BI36" s="1"/>
  <c r="BF32"/>
  <c r="BF28"/>
  <c r="BI28" s="1"/>
  <c r="BF48"/>
  <c r="BI48" s="1"/>
  <c r="BF51"/>
  <c r="BK51" s="1"/>
  <c r="BF46"/>
  <c r="BI46" s="1"/>
  <c r="BF23"/>
  <c r="BI23" s="1"/>
  <c r="BF19"/>
  <c r="BI19" s="1"/>
  <c r="BC67"/>
  <c r="BC70"/>
  <c r="BC69" i="16"/>
  <c r="AZ63" i="13" a="1"/>
  <c r="AZ63" s="1"/>
  <c r="AZ71" s="1"/>
  <c r="AT73"/>
  <c r="BC70" i="16"/>
  <c r="BF43"/>
  <c r="BJ43" s="1"/>
  <c r="BC67"/>
  <c r="BF57"/>
  <c r="BF51"/>
  <c r="BF58"/>
  <c r="BK58" s="1"/>
  <c r="BF20"/>
  <c r="BF46"/>
  <c r="BC68"/>
  <c r="BF24"/>
  <c r="BK24" s="1"/>
  <c r="AZ72" i="13"/>
  <c r="AZ68"/>
  <c r="AZ67"/>
  <c r="AZ70"/>
  <c r="AW73"/>
  <c r="BC71" i="11"/>
  <c r="BC70"/>
  <c r="BC67"/>
  <c r="BC68"/>
  <c r="BC69"/>
  <c r="BC69" i="15"/>
  <c r="BC68"/>
  <c r="BC70"/>
  <c r="BC67"/>
  <c r="BC71"/>
  <c r="BC69" i="14"/>
  <c r="BF23" i="11"/>
  <c r="BJ23" s="1"/>
  <c r="BF47"/>
  <c r="BJ47" s="1"/>
  <c r="BF16"/>
  <c r="BF44"/>
  <c r="BH44" s="1"/>
  <c r="BF54"/>
  <c r="BH54" s="1"/>
  <c r="BF15"/>
  <c r="BF45"/>
  <c r="BH45" s="1"/>
  <c r="BF28"/>
  <c r="BF24"/>
  <c r="BH24" s="1"/>
  <c r="BF62"/>
  <c r="BJ62" s="1"/>
  <c r="BF42"/>
  <c r="BH42" s="1"/>
  <c r="BF53"/>
  <c r="BK53" s="1"/>
  <c r="BF19"/>
  <c r="BF52"/>
  <c r="BH52" s="1"/>
  <c r="BF37"/>
  <c r="BJ37" s="1"/>
  <c r="BF36"/>
  <c r="BH36" s="1"/>
  <c r="BF57"/>
  <c r="BJ57" s="1"/>
  <c r="BF35"/>
  <c r="BH35" s="1"/>
  <c r="BF20"/>
  <c r="BF12"/>
  <c r="BF48"/>
  <c r="BJ48" s="1"/>
  <c r="BF33"/>
  <c r="BH33" s="1"/>
  <c r="BF34"/>
  <c r="BJ34" s="1"/>
  <c r="BF56"/>
  <c r="BH56" s="1"/>
  <c r="BF31"/>
  <c r="BI31" s="1"/>
  <c r="BF11"/>
  <c r="BF9"/>
  <c r="BF60"/>
  <c r="BJ60" s="1"/>
  <c r="BF46"/>
  <c r="BH46" s="1"/>
  <c r="BF43"/>
  <c r="BK43" s="1"/>
  <c r="BF29"/>
  <c r="BH29" s="1"/>
  <c r="BF40"/>
  <c r="BJ40" s="1"/>
  <c r="BF32"/>
  <c r="BH32" s="1"/>
  <c r="BF61"/>
  <c r="BJ61" s="1"/>
  <c r="BF55"/>
  <c r="BH55" s="1"/>
  <c r="BF49"/>
  <c r="BK49" s="1"/>
  <c r="BF26"/>
  <c r="BF22"/>
  <c r="BF18"/>
  <c r="BF14"/>
  <c r="BF10"/>
  <c r="BF59"/>
  <c r="BJ59" s="1"/>
  <c r="BF51"/>
  <c r="BH51" s="1"/>
  <c r="BF41"/>
  <c r="BJ41" s="1"/>
  <c r="BF27"/>
  <c r="BF38"/>
  <c r="BJ38" s="1"/>
  <c r="BF30"/>
  <c r="BJ30" s="1"/>
  <c r="BF58"/>
  <c r="BJ58" s="1"/>
  <c r="BF50"/>
  <c r="BH50" s="1"/>
  <c r="BF39"/>
  <c r="BI39" s="1"/>
  <c r="BF25"/>
  <c r="BF21"/>
  <c r="BF17"/>
  <c r="BF13"/>
  <c r="BF42" i="16"/>
  <c r="BF54"/>
  <c r="BJ54" s="1"/>
  <c r="BF26"/>
  <c r="BF41"/>
  <c r="BF19"/>
  <c r="BF60"/>
  <c r="BH60" s="1"/>
  <c r="BF11"/>
  <c r="BF9"/>
  <c r="BF28"/>
  <c r="BF59"/>
  <c r="BF25"/>
  <c r="BF38"/>
  <c r="BF47"/>
  <c r="BF32"/>
  <c r="BH32" s="1"/>
  <c r="BF23"/>
  <c r="BF21"/>
  <c r="BI21" s="1"/>
  <c r="BF36"/>
  <c r="BF10"/>
  <c r="BF27"/>
  <c r="BF37"/>
  <c r="BJ37" s="1"/>
  <c r="BF13"/>
  <c r="BF15"/>
  <c r="BF18"/>
  <c r="BF55"/>
  <c r="BF14"/>
  <c r="BF35"/>
  <c r="BK35" s="1"/>
  <c r="BF12"/>
  <c r="BF44"/>
  <c r="BK44" s="1"/>
  <c r="BF45"/>
  <c r="BF50"/>
  <c r="BF62"/>
  <c r="BH62" s="1"/>
  <c r="BF16"/>
  <c r="BJ16" s="1"/>
  <c r="BF34"/>
  <c r="BF40"/>
  <c r="BJ40" s="1"/>
  <c r="BF30"/>
  <c r="BH30" s="1"/>
  <c r="BF39"/>
  <c r="BF17"/>
  <c r="BF56"/>
  <c r="BI56" s="1"/>
  <c r="BF22"/>
  <c r="BF53"/>
  <c r="BJ53" s="1"/>
  <c r="BF52"/>
  <c r="BF29"/>
  <c r="BF31"/>
  <c r="BF33"/>
  <c r="BF61"/>
  <c r="BH61" s="1"/>
  <c r="BF49"/>
  <c r="BK49" s="1"/>
  <c r="BF48"/>
  <c r="BH11"/>
  <c r="AZ69"/>
  <c r="AZ73" s="1"/>
  <c r="AZ71" i="15"/>
  <c r="AZ73" s="1"/>
  <c r="BF20"/>
  <c r="BJ23" i="16"/>
  <c r="BF24" i="15"/>
  <c r="BF36"/>
  <c r="BH36" s="1"/>
  <c r="BF10"/>
  <c r="BF21"/>
  <c r="BH21" s="1"/>
  <c r="BF44"/>
  <c r="BF45"/>
  <c r="BF28"/>
  <c r="BF62"/>
  <c r="BI62" s="1"/>
  <c r="BF55"/>
  <c r="BH55" s="1"/>
  <c r="BF9"/>
  <c r="BF56"/>
  <c r="BH56" s="1"/>
  <c r="BF18"/>
  <c r="BF59"/>
  <c r="BH59" s="1"/>
  <c r="BF40"/>
  <c r="BH40" s="1"/>
  <c r="BF32"/>
  <c r="BJ32" s="1"/>
  <c r="BF25"/>
  <c r="BF11"/>
  <c r="BI28" i="16"/>
  <c r="BF14" i="15"/>
  <c r="BF54"/>
  <c r="BI54" s="1"/>
  <c r="BF35"/>
  <c r="BJ17" i="16"/>
  <c r="BF17" i="15"/>
  <c r="BF43"/>
  <c r="BF27"/>
  <c r="BF57"/>
  <c r="BH57" s="1"/>
  <c r="BF39"/>
  <c r="BF31"/>
  <c r="BF22"/>
  <c r="BF61"/>
  <c r="BH61" s="1"/>
  <c r="BF51"/>
  <c r="BJ51" s="1"/>
  <c r="BF50"/>
  <c r="BF16"/>
  <c r="BF53"/>
  <c r="BH53" s="1"/>
  <c r="BF42"/>
  <c r="BH42" s="1"/>
  <c r="BF38"/>
  <c r="BF34"/>
  <c r="BF30"/>
  <c r="BK30" s="1"/>
  <c r="BF52"/>
  <c r="BF23"/>
  <c r="BF19"/>
  <c r="BH19" s="1"/>
  <c r="BF12"/>
  <c r="BF58"/>
  <c r="BJ58" s="1"/>
  <c r="BF47"/>
  <c r="BF46"/>
  <c r="BF15"/>
  <c r="BI15" s="1"/>
  <c r="BF60"/>
  <c r="BI60" s="1"/>
  <c r="BF49"/>
  <c r="BF41"/>
  <c r="BF37"/>
  <c r="BF33"/>
  <c r="BF29"/>
  <c r="BF48"/>
  <c r="BF26"/>
  <c r="BF13"/>
  <c r="BH18"/>
  <c r="BK57" i="14"/>
  <c r="BJ57"/>
  <c r="BI49"/>
  <c r="BJ49"/>
  <c r="BK49"/>
  <c r="BH49"/>
  <c r="BJ41"/>
  <c r="BI41"/>
  <c r="BK41"/>
  <c r="BH41"/>
  <c r="BJ37"/>
  <c r="BI37"/>
  <c r="BK37"/>
  <c r="BH37"/>
  <c r="BJ33"/>
  <c r="BK33"/>
  <c r="BJ29"/>
  <c r="BI29"/>
  <c r="BK29"/>
  <c r="BH29"/>
  <c r="BJ52"/>
  <c r="BI52"/>
  <c r="BK52"/>
  <c r="BH52"/>
  <c r="BJ61"/>
  <c r="BK61"/>
  <c r="BK50"/>
  <c r="BH50"/>
  <c r="BJ50"/>
  <c r="BI50"/>
  <c r="BK24"/>
  <c r="BJ24"/>
  <c r="BK20"/>
  <c r="BH20"/>
  <c r="BJ20"/>
  <c r="BI20"/>
  <c r="BK16"/>
  <c r="BJ16"/>
  <c r="BK12"/>
  <c r="BH12"/>
  <c r="BJ12"/>
  <c r="BI12"/>
  <c r="BK60"/>
  <c r="BJ60"/>
  <c r="BK56"/>
  <c r="BI56"/>
  <c r="BJ56"/>
  <c r="BH56"/>
  <c r="BI45"/>
  <c r="BK45"/>
  <c r="BJ40"/>
  <c r="BI40"/>
  <c r="BK40"/>
  <c r="BH40"/>
  <c r="BJ36"/>
  <c r="BK36"/>
  <c r="BJ32"/>
  <c r="BI32"/>
  <c r="BK32"/>
  <c r="BH32"/>
  <c r="BJ28"/>
  <c r="BK28"/>
  <c r="BI51"/>
  <c r="BJ51"/>
  <c r="BJ46"/>
  <c r="BJ23"/>
  <c r="BK23"/>
  <c r="BJ19"/>
  <c r="BJ15"/>
  <c r="BI15"/>
  <c r="BK15"/>
  <c r="BH15"/>
  <c r="BJ11"/>
  <c r="BI11"/>
  <c r="BK11"/>
  <c r="BH11"/>
  <c r="BJ59"/>
  <c r="BK59"/>
  <c r="BI59"/>
  <c r="BH59"/>
  <c r="BJ55"/>
  <c r="BK55"/>
  <c r="BI55"/>
  <c r="BH55"/>
  <c r="BJ43"/>
  <c r="BI43"/>
  <c r="BK43"/>
  <c r="BH43"/>
  <c r="BJ39"/>
  <c r="BI39"/>
  <c r="BK39"/>
  <c r="BH39"/>
  <c r="BJ35"/>
  <c r="BI35"/>
  <c r="BK35"/>
  <c r="BH35"/>
  <c r="BJ31"/>
  <c r="BI31"/>
  <c r="BK31"/>
  <c r="BH31"/>
  <c r="BJ27"/>
  <c r="BI27"/>
  <c r="BK27"/>
  <c r="BH27"/>
  <c r="BJ47"/>
  <c r="BH47"/>
  <c r="BI47"/>
  <c r="BK47"/>
  <c r="BI54"/>
  <c r="BH54"/>
  <c r="BK54"/>
  <c r="BJ54"/>
  <c r="BK22"/>
  <c r="BH22"/>
  <c r="BJ22"/>
  <c r="BI22"/>
  <c r="BK18"/>
  <c r="BH18"/>
  <c r="BJ18"/>
  <c r="BI18"/>
  <c r="BK14"/>
  <c r="BH14"/>
  <c r="BJ14"/>
  <c r="BI14"/>
  <c r="BK10"/>
  <c r="BH10"/>
  <c r="BJ10"/>
  <c r="BI10"/>
  <c r="BJ58"/>
  <c r="BK58"/>
  <c r="BI58"/>
  <c r="BH58"/>
  <c r="BK53"/>
  <c r="BJ53"/>
  <c r="BI53"/>
  <c r="BH53"/>
  <c r="BJ42"/>
  <c r="BI42"/>
  <c r="BK42"/>
  <c r="BH42"/>
  <c r="BJ38"/>
  <c r="BI38"/>
  <c r="BK38"/>
  <c r="BH38"/>
  <c r="BJ34"/>
  <c r="BI34"/>
  <c r="BK34"/>
  <c r="BH34"/>
  <c r="BJ30"/>
  <c r="BI30"/>
  <c r="BK30"/>
  <c r="BH30"/>
  <c r="BJ26"/>
  <c r="BI26"/>
  <c r="BK26"/>
  <c r="BH26"/>
  <c r="BJ62"/>
  <c r="BK62"/>
  <c r="BI62"/>
  <c r="BH62"/>
  <c r="BI44"/>
  <c r="BK44"/>
  <c r="BJ44"/>
  <c r="BH44"/>
  <c r="BI25"/>
  <c r="BJ25"/>
  <c r="BK25"/>
  <c r="BH25"/>
  <c r="BJ21"/>
  <c r="BI21"/>
  <c r="BK21"/>
  <c r="BH21"/>
  <c r="BJ17"/>
  <c r="BI17"/>
  <c r="BK17"/>
  <c r="BH17"/>
  <c r="BJ13"/>
  <c r="BI13"/>
  <c r="BK13"/>
  <c r="BH13"/>
  <c r="BK45" i="11"/>
  <c r="BI35"/>
  <c r="BK23"/>
  <c r="BK9" i="14"/>
  <c r="BJ9"/>
  <c r="BI9"/>
  <c r="BH9"/>
  <c r="BC69" i="13"/>
  <c r="BC70"/>
  <c r="BI9" i="16"/>
  <c r="BJ12"/>
  <c r="BH23"/>
  <c r="BI19"/>
  <c r="BI43"/>
  <c r="BH58"/>
  <c r="BI41"/>
  <c r="BJ11"/>
  <c r="BK57"/>
  <c r="BJ36"/>
  <c r="BJ60"/>
  <c r="BI42"/>
  <c r="BJ28"/>
  <c r="BK47"/>
  <c r="BI62"/>
  <c r="BJ61"/>
  <c r="BK14"/>
  <c r="BJ13"/>
  <c r="BI18"/>
  <c r="BI44" l="1"/>
  <c r="BK54"/>
  <c r="BI24"/>
  <c r="BI54"/>
  <c r="BC68" i="13"/>
  <c r="BC67"/>
  <c r="BK19" i="14"/>
  <c r="BK46"/>
  <c r="BF69"/>
  <c r="BK48"/>
  <c r="BJ48"/>
  <c r="BF68"/>
  <c r="BF70"/>
  <c r="BH19"/>
  <c r="BH46"/>
  <c r="BH48"/>
  <c r="AZ69" i="13"/>
  <c r="BJ29" i="11"/>
  <c r="BF71" i="14"/>
  <c r="BF67"/>
  <c r="BH23"/>
  <c r="BH51"/>
  <c r="BH28"/>
  <c r="BH36"/>
  <c r="BH45"/>
  <c r="BH60"/>
  <c r="BI16"/>
  <c r="BI24"/>
  <c r="BI61"/>
  <c r="BH33"/>
  <c r="BH57"/>
  <c r="BC72"/>
  <c r="BJ33" i="11"/>
  <c r="BL10" i="14"/>
  <c r="BL11" s="1"/>
  <c r="BL12" s="1"/>
  <c r="BL13" s="1"/>
  <c r="BL14" s="1"/>
  <c r="BL15" s="1"/>
  <c r="BJ13" i="15"/>
  <c r="BJ48"/>
  <c r="BK33"/>
  <c r="BK41"/>
  <c r="BK46"/>
  <c r="BJ19"/>
  <c r="BK52"/>
  <c r="BK34"/>
  <c r="BK42"/>
  <c r="BH16"/>
  <c r="BH51"/>
  <c r="BK22"/>
  <c r="BK39"/>
  <c r="BH27"/>
  <c r="BH17"/>
  <c r="BK54"/>
  <c r="BK14"/>
  <c r="BI11"/>
  <c r="BH32"/>
  <c r="BH28"/>
  <c r="BH44"/>
  <c r="BH10"/>
  <c r="BH24"/>
  <c r="BJ48" i="16"/>
  <c r="BH31"/>
  <c r="BH52"/>
  <c r="BJ22"/>
  <c r="BH17"/>
  <c r="BH34"/>
  <c r="BH45"/>
  <c r="BH12"/>
  <c r="BH14"/>
  <c r="BJ18"/>
  <c r="BH13"/>
  <c r="BJ27"/>
  <c r="BI36"/>
  <c r="BK23"/>
  <c r="BJ47"/>
  <c r="BI25"/>
  <c r="BH28"/>
  <c r="BK11"/>
  <c r="BK19"/>
  <c r="BJ26"/>
  <c r="BJ42"/>
  <c r="BH17" i="11"/>
  <c r="BH25"/>
  <c r="BH30"/>
  <c r="BH27"/>
  <c r="BH10"/>
  <c r="BH18"/>
  <c r="BH26"/>
  <c r="BJ9"/>
  <c r="BL9"/>
  <c r="BK20"/>
  <c r="BH19"/>
  <c r="BK46" i="16"/>
  <c r="BI58"/>
  <c r="BJ57"/>
  <c r="BH43"/>
  <c r="BH26" i="15"/>
  <c r="BH29"/>
  <c r="BH37"/>
  <c r="BH49"/>
  <c r="BH15"/>
  <c r="BH47"/>
  <c r="BI12"/>
  <c r="BI23"/>
  <c r="BH30"/>
  <c r="BH38"/>
  <c r="BH50"/>
  <c r="BH31"/>
  <c r="BK43"/>
  <c r="BH35"/>
  <c r="BJ25"/>
  <c r="BK40"/>
  <c r="BJ18"/>
  <c r="BI9"/>
  <c r="BL9"/>
  <c r="BJ45"/>
  <c r="BJ21"/>
  <c r="BK36"/>
  <c r="BH20"/>
  <c r="BH49" i="16"/>
  <c r="BH33"/>
  <c r="BH29"/>
  <c r="BH53"/>
  <c r="BJ56"/>
  <c r="BH39"/>
  <c r="BH40"/>
  <c r="BI16"/>
  <c r="BH50"/>
  <c r="BH44"/>
  <c r="BH35"/>
  <c r="BK55"/>
  <c r="BH15"/>
  <c r="BI37"/>
  <c r="BK10"/>
  <c r="BH21"/>
  <c r="BJ32"/>
  <c r="BJ38"/>
  <c r="BH59"/>
  <c r="BJ9"/>
  <c r="BL9"/>
  <c r="BI60"/>
  <c r="BJ41"/>
  <c r="BH54"/>
  <c r="BK13" i="11"/>
  <c r="BK21"/>
  <c r="BK14"/>
  <c r="BK22"/>
  <c r="BH11"/>
  <c r="BH12"/>
  <c r="BJ28"/>
  <c r="BK15"/>
  <c r="BH16"/>
  <c r="BH23"/>
  <c r="BK20" i="16"/>
  <c r="BH51"/>
  <c r="BK27"/>
  <c r="BI13"/>
  <c r="BK50"/>
  <c r="BK13"/>
  <c r="BI35"/>
  <c r="BJ29"/>
  <c r="BJ58"/>
  <c r="BK43"/>
  <c r="BI27"/>
  <c r="BI46"/>
  <c r="BH26"/>
  <c r="BK28"/>
  <c r="BH42"/>
  <c r="BH57"/>
  <c r="BK56"/>
  <c r="BI53"/>
  <c r="BI39"/>
  <c r="BI33"/>
  <c r="BH24"/>
  <c r="BI57"/>
  <c r="BH19"/>
  <c r="BK18" i="11"/>
  <c r="BK19"/>
  <c r="BI44"/>
  <c r="BI47"/>
  <c r="BJ63" i="14" a="1"/>
  <c r="BH39" i="15"/>
  <c r="BC72" i="16"/>
  <c r="BI12"/>
  <c r="BK15"/>
  <c r="BF68"/>
  <c r="BK62"/>
  <c r="BI45"/>
  <c r="BI14"/>
  <c r="BH55"/>
  <c r="BH37"/>
  <c r="BI15"/>
  <c r="BK12"/>
  <c r="BJ62"/>
  <c r="BK37"/>
  <c r="BK17"/>
  <c r="BJ52"/>
  <c r="BK34"/>
  <c r="BJ14"/>
  <c r="BI51"/>
  <c r="BK9"/>
  <c r="BJ20"/>
  <c r="BI38"/>
  <c r="BK51"/>
  <c r="BH9"/>
  <c r="BI20"/>
  <c r="BH41"/>
  <c r="BH10"/>
  <c r="BJ51"/>
  <c r="BK60"/>
  <c r="BH20"/>
  <c r="BK41"/>
  <c r="BK45"/>
  <c r="BI55"/>
  <c r="BK30"/>
  <c r="BJ31"/>
  <c r="BI22"/>
  <c r="BJ45"/>
  <c r="BJ55"/>
  <c r="BJ15"/>
  <c r="BI26"/>
  <c r="BH25"/>
  <c r="BJ19"/>
  <c r="BI23"/>
  <c r="BH47"/>
  <c r="BJ25"/>
  <c r="BH36"/>
  <c r="BJ30"/>
  <c r="BI61"/>
  <c r="BJ34"/>
  <c r="BI31"/>
  <c r="BK22"/>
  <c r="BK25"/>
  <c r="BK36"/>
  <c r="BH27"/>
  <c r="BH46"/>
  <c r="BI11"/>
  <c r="BI47"/>
  <c r="BK42"/>
  <c r="BK26"/>
  <c r="BJ24"/>
  <c r="BJ46"/>
  <c r="BF71"/>
  <c r="BK59"/>
  <c r="BJ59"/>
  <c r="BF70"/>
  <c r="BF69"/>
  <c r="BF67"/>
  <c r="BK16"/>
  <c r="BI50"/>
  <c r="BJ44"/>
  <c r="BK18"/>
  <c r="BH56"/>
  <c r="BK39"/>
  <c r="BK40"/>
  <c r="BK53"/>
  <c r="BK33"/>
  <c r="BJ35"/>
  <c r="BH16"/>
  <c r="BH18"/>
  <c r="BK32"/>
  <c r="BK38"/>
  <c r="BI59"/>
  <c r="BJ10"/>
  <c r="BK21"/>
  <c r="BJ21"/>
  <c r="BI29"/>
  <c r="BJ39"/>
  <c r="BI40"/>
  <c r="BJ33"/>
  <c r="BK29"/>
  <c r="BJ50"/>
  <c r="BI32"/>
  <c r="BH38"/>
  <c r="BI10"/>
  <c r="BI49"/>
  <c r="BJ49"/>
  <c r="AZ73" i="13"/>
  <c r="BF11"/>
  <c r="BJ11" s="1"/>
  <c r="BF13"/>
  <c r="BF57"/>
  <c r="BH57" s="1"/>
  <c r="BF49"/>
  <c r="BK49" s="1"/>
  <c r="BF41"/>
  <c r="BF37"/>
  <c r="BI37" s="1"/>
  <c r="BF33"/>
  <c r="BK33" s="1"/>
  <c r="BF29"/>
  <c r="BH29" s="1"/>
  <c r="BF52"/>
  <c r="BH52" s="1"/>
  <c r="BF60"/>
  <c r="BJ60" s="1"/>
  <c r="BF47"/>
  <c r="BK47" s="1"/>
  <c r="BF54"/>
  <c r="BI54" s="1"/>
  <c r="BF22"/>
  <c r="BF18"/>
  <c r="BH18" s="1"/>
  <c r="BF14"/>
  <c r="BF10"/>
  <c r="BH10" s="1"/>
  <c r="BF56"/>
  <c r="BH56" s="1"/>
  <c r="BF45"/>
  <c r="BK45" s="1"/>
  <c r="BF40"/>
  <c r="BF36"/>
  <c r="BH36" s="1"/>
  <c r="BF32"/>
  <c r="BF28"/>
  <c r="BH28" s="1"/>
  <c r="BF48"/>
  <c r="BH48" s="1"/>
  <c r="BF59"/>
  <c r="BI59" s="1"/>
  <c r="BF44"/>
  <c r="BF25"/>
  <c r="BJ25" s="1"/>
  <c r="BF21"/>
  <c r="BF17"/>
  <c r="BI17" s="1"/>
  <c r="BF9"/>
  <c r="BF55"/>
  <c r="BH55" s="1"/>
  <c r="BF43"/>
  <c r="BF39"/>
  <c r="BK39" s="1"/>
  <c r="BF35"/>
  <c r="BF31"/>
  <c r="BK31" s="1"/>
  <c r="BF27"/>
  <c r="BF58"/>
  <c r="BJ58" s="1"/>
  <c r="BF50"/>
  <c r="BI50" s="1"/>
  <c r="BF24"/>
  <c r="BF20"/>
  <c r="BF16"/>
  <c r="BF12"/>
  <c r="BK12" s="1"/>
  <c r="BF61"/>
  <c r="BJ61" s="1"/>
  <c r="BF53"/>
  <c r="BH53" s="1"/>
  <c r="BF42"/>
  <c r="BF38"/>
  <c r="BK38" s="1"/>
  <c r="BF34"/>
  <c r="BF30"/>
  <c r="BF26"/>
  <c r="BF62"/>
  <c r="BH62" s="1"/>
  <c r="BF51"/>
  <c r="BJ51" s="1"/>
  <c r="BF46"/>
  <c r="BH46" s="1"/>
  <c r="BF23"/>
  <c r="BF19"/>
  <c r="BK19" s="1"/>
  <c r="BF15"/>
  <c r="BC72" i="11"/>
  <c r="BK25"/>
  <c r="BI51"/>
  <c r="BJ55"/>
  <c r="BK11"/>
  <c r="BI23"/>
  <c r="BJ42"/>
  <c r="BJ44"/>
  <c r="BJ24"/>
  <c r="BI54"/>
  <c r="BH47"/>
  <c r="BJ52"/>
  <c r="BH62"/>
  <c r="BH43" i="15"/>
  <c r="BK62"/>
  <c r="BH25"/>
  <c r="BH45"/>
  <c r="BI22"/>
  <c r="BJ61"/>
  <c r="BJ56"/>
  <c r="BH9"/>
  <c r="BK9"/>
  <c r="BI39"/>
  <c r="BI43"/>
  <c r="BJ14"/>
  <c r="BH54"/>
  <c r="BH62"/>
  <c r="BI21"/>
  <c r="BI25"/>
  <c r="BI36"/>
  <c r="BI40"/>
  <c r="BK45"/>
  <c r="BI18"/>
  <c r="BH22"/>
  <c r="BJ24"/>
  <c r="BK11"/>
  <c r="BJ10"/>
  <c r="BJ20"/>
  <c r="BJ35"/>
  <c r="BJ55"/>
  <c r="BJ28"/>
  <c r="BJ59"/>
  <c r="BI44"/>
  <c r="BI46"/>
  <c r="BH60"/>
  <c r="BK50"/>
  <c r="BK20"/>
  <c r="BK24"/>
  <c r="BJ27"/>
  <c r="BI55"/>
  <c r="BJ11"/>
  <c r="BK28"/>
  <c r="BK32"/>
  <c r="BI59"/>
  <c r="BI10"/>
  <c r="BJ44"/>
  <c r="BI56"/>
  <c r="BI58"/>
  <c r="BI52"/>
  <c r="BH34"/>
  <c r="BC72"/>
  <c r="BH41"/>
  <c r="BJ9"/>
  <c r="BJ50"/>
  <c r="BK61"/>
  <c r="BJ39"/>
  <c r="BJ43"/>
  <c r="BH14"/>
  <c r="BJ54"/>
  <c r="BJ62"/>
  <c r="BK21"/>
  <c r="BK25"/>
  <c r="BJ36"/>
  <c r="BJ40"/>
  <c r="BI45"/>
  <c r="BK18"/>
  <c r="BJ22"/>
  <c r="BK60"/>
  <c r="BH46"/>
  <c r="BH58"/>
  <c r="BI19"/>
  <c r="BH52"/>
  <c r="BI34"/>
  <c r="BI42"/>
  <c r="BF71" i="11"/>
  <c r="BH21"/>
  <c r="BK39"/>
  <c r="BH41"/>
  <c r="BI59"/>
  <c r="BH49"/>
  <c r="BI61"/>
  <c r="BH60"/>
  <c r="BI15"/>
  <c r="BH31"/>
  <c r="BH34"/>
  <c r="BK16"/>
  <c r="BK28"/>
  <c r="BH13"/>
  <c r="BI58"/>
  <c r="BH38"/>
  <c r="BI14"/>
  <c r="BH22"/>
  <c r="BK40"/>
  <c r="BH43"/>
  <c r="BH53"/>
  <c r="BH48"/>
  <c r="BJ16"/>
  <c r="BH20"/>
  <c r="BI57"/>
  <c r="BK37"/>
  <c r="BI13"/>
  <c r="BI21"/>
  <c r="BH39"/>
  <c r="BH58"/>
  <c r="BK38"/>
  <c r="BK41"/>
  <c r="BH59"/>
  <c r="BH14"/>
  <c r="BI22"/>
  <c r="BI49"/>
  <c r="BH61"/>
  <c r="BH40"/>
  <c r="BI43"/>
  <c r="BI60"/>
  <c r="BH15"/>
  <c r="BK31"/>
  <c r="BI53"/>
  <c r="BK34"/>
  <c r="BK48"/>
  <c r="BI62"/>
  <c r="BI16"/>
  <c r="BI20"/>
  <c r="BH57"/>
  <c r="BH28"/>
  <c r="BH37"/>
  <c r="BK17"/>
  <c r="BJ50"/>
  <c r="BI27"/>
  <c r="BK10"/>
  <c r="BK26"/>
  <c r="BJ32"/>
  <c r="BJ46"/>
  <c r="BJ19"/>
  <c r="BJ56"/>
  <c r="BK42"/>
  <c r="BK44"/>
  <c r="BK12"/>
  <c r="BK24"/>
  <c r="BK54"/>
  <c r="BJ36"/>
  <c r="BK47"/>
  <c r="BJ45"/>
  <c r="BH9"/>
  <c r="BI9"/>
  <c r="BJ17"/>
  <c r="BJ25"/>
  <c r="BI50"/>
  <c r="BI30"/>
  <c r="BK27"/>
  <c r="BK51"/>
  <c r="BJ10"/>
  <c r="BJ63" s="1" a="1"/>
  <c r="BJ18"/>
  <c r="BJ26"/>
  <c r="BK55"/>
  <c r="BI32"/>
  <c r="BI29"/>
  <c r="BI46"/>
  <c r="BJ11"/>
  <c r="BI19"/>
  <c r="BK56"/>
  <c r="BI42"/>
  <c r="BI33"/>
  <c r="BJ12"/>
  <c r="BI24"/>
  <c r="BJ35"/>
  <c r="BJ54"/>
  <c r="BI36"/>
  <c r="BI45"/>
  <c r="BI52"/>
  <c r="BI48" i="16"/>
  <c r="BH48"/>
  <c r="BK9" i="11"/>
  <c r="BF67"/>
  <c r="BI17"/>
  <c r="BI25"/>
  <c r="BK50"/>
  <c r="BK30"/>
  <c r="BJ27"/>
  <c r="BJ51"/>
  <c r="BI10"/>
  <c r="BI18"/>
  <c r="BI26"/>
  <c r="BI55"/>
  <c r="BK32"/>
  <c r="BK29"/>
  <c r="BK46"/>
  <c r="BI11"/>
  <c r="BI56"/>
  <c r="BK33"/>
  <c r="BI12"/>
  <c r="BK35"/>
  <c r="BK36"/>
  <c r="BK52"/>
  <c r="BF70"/>
  <c r="BF69"/>
  <c r="BF68"/>
  <c r="BJ13"/>
  <c r="BJ21"/>
  <c r="BJ39"/>
  <c r="BK58"/>
  <c r="BI38"/>
  <c r="BI41"/>
  <c r="BK59"/>
  <c r="BJ14"/>
  <c r="BJ22"/>
  <c r="BJ49"/>
  <c r="BK61"/>
  <c r="BI40"/>
  <c r="BJ43"/>
  <c r="BK60"/>
  <c r="BJ15"/>
  <c r="BJ31"/>
  <c r="BJ53"/>
  <c r="BI34"/>
  <c r="BI48"/>
  <c r="BK62"/>
  <c r="BJ20"/>
  <c r="BK57"/>
  <c r="BI28"/>
  <c r="BI37"/>
  <c r="BF70" i="15"/>
  <c r="BF68"/>
  <c r="BK17"/>
  <c r="BF69"/>
  <c r="BJ31"/>
  <c r="BK57"/>
  <c r="BK12"/>
  <c r="BI53"/>
  <c r="BH48"/>
  <c r="BJ26"/>
  <c r="BK27"/>
  <c r="BK31"/>
  <c r="BK35"/>
  <c r="BJ57"/>
  <c r="BI14"/>
  <c r="BJ17"/>
  <c r="BJ47"/>
  <c r="BK23"/>
  <c r="BK38"/>
  <c r="BI16"/>
  <c r="BH33"/>
  <c r="BI13"/>
  <c r="BI33"/>
  <c r="BI41"/>
  <c r="BK26"/>
  <c r="BI20"/>
  <c r="BI24"/>
  <c r="BI27"/>
  <c r="BI31"/>
  <c r="BI35"/>
  <c r="BI57"/>
  <c r="BI17"/>
  <c r="BK55"/>
  <c r="BH11"/>
  <c r="BI28"/>
  <c r="BI32"/>
  <c r="BK59"/>
  <c r="BK10"/>
  <c r="BK44"/>
  <c r="BK56"/>
  <c r="BK37"/>
  <c r="BI47"/>
  <c r="BJ12"/>
  <c r="BJ23"/>
  <c r="BJ30"/>
  <c r="BJ38"/>
  <c r="BJ53"/>
  <c r="BJ16"/>
  <c r="BI51"/>
  <c r="BI52" i="16"/>
  <c r="BK61"/>
  <c r="BK31"/>
  <c r="BI34"/>
  <c r="BH22"/>
  <c r="BK52"/>
  <c r="BI30"/>
  <c r="BK48"/>
  <c r="BI17"/>
  <c r="BH13" i="15"/>
  <c r="BI48"/>
  <c r="BJ49"/>
  <c r="BI26"/>
  <c r="BK29"/>
  <c r="BI49"/>
  <c r="BJ15"/>
  <c r="BK47"/>
  <c r="BH12"/>
  <c r="BH23"/>
  <c r="BI30"/>
  <c r="BI38"/>
  <c r="BK53"/>
  <c r="BK16"/>
  <c r="BK51"/>
  <c r="BJ29"/>
  <c r="BJ37"/>
  <c r="BI29"/>
  <c r="BI37"/>
  <c r="BK49"/>
  <c r="BK15"/>
  <c r="BF67"/>
  <c r="BF71"/>
  <c r="BI50"/>
  <c r="BI61"/>
  <c r="BK13"/>
  <c r="BK48"/>
  <c r="BJ33"/>
  <c r="BJ41"/>
  <c r="BJ60"/>
  <c r="BJ46"/>
  <c r="BK58"/>
  <c r="BK19"/>
  <c r="BJ52"/>
  <c r="BJ34"/>
  <c r="BJ42"/>
  <c r="BJ50" i="13"/>
  <c r="BI62"/>
  <c r="BI29"/>
  <c r="BI10"/>
  <c r="BK48"/>
  <c r="BJ13"/>
  <c r="BF72" i="14"/>
  <c r="O16" i="17"/>
  <c r="O12"/>
  <c r="O10"/>
  <c r="Q10"/>
  <c r="O8"/>
  <c r="O33"/>
  <c r="O31"/>
  <c r="Q29"/>
  <c r="O23"/>
  <c r="Q15"/>
  <c r="P11"/>
  <c r="O11"/>
  <c r="O9"/>
  <c r="P34"/>
  <c r="Q30"/>
  <c r="P28"/>
  <c r="O26"/>
  <c r="P6"/>
  <c r="P16"/>
  <c r="P12"/>
  <c r="P10"/>
  <c r="Q8"/>
  <c r="P8"/>
  <c r="Q35"/>
  <c r="P31"/>
  <c r="P25"/>
  <c r="Q43"/>
  <c r="Q11"/>
  <c r="P24"/>
  <c r="Q34"/>
  <c r="O28"/>
  <c r="Q28"/>
  <c r="Q26"/>
  <c r="P42"/>
  <c r="Q54"/>
  <c r="O44"/>
  <c r="BC72" i="13"/>
  <c r="X30" i="17"/>
  <c r="X34"/>
  <c r="O18" l="1"/>
  <c r="Q48"/>
  <c r="Q32"/>
  <c r="O36"/>
  <c r="Q9"/>
  <c r="P15"/>
  <c r="P51"/>
  <c r="Q12"/>
  <c r="P20"/>
  <c r="O50"/>
  <c r="O32"/>
  <c r="P9"/>
  <c r="O15"/>
  <c r="P17"/>
  <c r="O53"/>
  <c r="Q14"/>
  <c r="O13"/>
  <c r="G34"/>
  <c r="BH25" i="13"/>
  <c r="BI36"/>
  <c r="BJ54"/>
  <c r="BH49"/>
  <c r="BH17"/>
  <c r="BH59"/>
  <c r="BI28"/>
  <c r="BJ45"/>
  <c r="BI18"/>
  <c r="BI60"/>
  <c r="BH37"/>
  <c r="Y48" i="17"/>
  <c r="X14"/>
  <c r="W7"/>
  <c r="Y56"/>
  <c r="X36"/>
  <c r="W14"/>
  <c r="W37"/>
  <c r="X35"/>
  <c r="W38"/>
  <c r="U16"/>
  <c r="Q36"/>
  <c r="Q16"/>
  <c r="P7"/>
  <c r="Q46"/>
  <c r="O52"/>
  <c r="Q56"/>
  <c r="Q19"/>
  <c r="Q47"/>
  <c r="O55"/>
  <c r="P41"/>
  <c r="P14"/>
  <c r="O7"/>
  <c r="P46"/>
  <c r="P56"/>
  <c r="P40"/>
  <c r="O19"/>
  <c r="P47"/>
  <c r="P59"/>
  <c r="O39"/>
  <c r="O22"/>
  <c r="Q6"/>
  <c r="Q44"/>
  <c r="O48"/>
  <c r="Q50"/>
  <c r="Q52"/>
  <c r="O56"/>
  <c r="O58"/>
  <c r="O42"/>
  <c r="P30"/>
  <c r="Q40"/>
  <c r="Q13"/>
  <c r="Q17"/>
  <c r="O21"/>
  <c r="P45"/>
  <c r="P49"/>
  <c r="Q53"/>
  <c r="Q59"/>
  <c r="Q27"/>
  <c r="P33"/>
  <c r="P39"/>
  <c r="P18"/>
  <c r="P22"/>
  <c r="Q7"/>
  <c r="O6"/>
  <c r="P48"/>
  <c r="P54"/>
  <c r="Q58"/>
  <c r="O38"/>
  <c r="P13"/>
  <c r="O17"/>
  <c r="P19"/>
  <c r="O43"/>
  <c r="Q49"/>
  <c r="P57"/>
  <c r="O25"/>
  <c r="Q37"/>
  <c r="Q41"/>
  <c r="O14"/>
  <c r="Q18"/>
  <c r="O20"/>
  <c r="Q22"/>
  <c r="P38"/>
  <c r="O40"/>
  <c r="O24"/>
  <c r="Q21"/>
  <c r="P23"/>
  <c r="P43"/>
  <c r="Q45"/>
  <c r="O47"/>
  <c r="Q51"/>
  <c r="P53"/>
  <c r="Q55"/>
  <c r="O57"/>
  <c r="O59"/>
  <c r="P27"/>
  <c r="P29"/>
  <c r="Q31"/>
  <c r="P35"/>
  <c r="P37"/>
  <c r="Q39"/>
  <c r="Q20"/>
  <c r="P44"/>
  <c r="O46"/>
  <c r="P50"/>
  <c r="P52"/>
  <c r="O54"/>
  <c r="P58"/>
  <c r="Q42"/>
  <c r="P26"/>
  <c r="O30"/>
  <c r="P32"/>
  <c r="O34"/>
  <c r="P36"/>
  <c r="Q38"/>
  <c r="Q24"/>
  <c r="P21"/>
  <c r="Q23"/>
  <c r="O45"/>
  <c r="O49"/>
  <c r="O51"/>
  <c r="P55"/>
  <c r="Q57"/>
  <c r="Q25"/>
  <c r="O27"/>
  <c r="O29"/>
  <c r="Q33"/>
  <c r="O35"/>
  <c r="O37"/>
  <c r="O41"/>
  <c r="BJ63" i="14"/>
  <c r="BJ64" s="1"/>
  <c r="BL16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K59" i="13"/>
  <c r="BH45"/>
  <c r="BH54"/>
  <c r="BH60"/>
  <c r="BJ49"/>
  <c r="BI55"/>
  <c r="W35" i="17"/>
  <c r="Y54"/>
  <c r="Y50"/>
  <c r="Y20"/>
  <c r="Y35"/>
  <c r="X49"/>
  <c r="X18"/>
  <c r="Y49"/>
  <c r="X22"/>
  <c r="Y39"/>
  <c r="X19"/>
  <c r="W48"/>
  <c r="W10"/>
  <c r="W30"/>
  <c r="T19"/>
  <c r="X44"/>
  <c r="S45"/>
  <c r="BL10" i="11"/>
  <c r="BL11" s="1"/>
  <c r="BL12" s="1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L10" i="15"/>
  <c r="BL11" s="1"/>
  <c r="BL12" s="1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K15" i="13"/>
  <c r="BK23"/>
  <c r="BK26"/>
  <c r="BK34"/>
  <c r="BK42"/>
  <c r="BK16"/>
  <c r="BK24"/>
  <c r="BH31"/>
  <c r="BH39"/>
  <c r="BK17"/>
  <c r="BK25"/>
  <c r="BK28"/>
  <c r="BK36"/>
  <c r="BK10"/>
  <c r="BK18"/>
  <c r="BK29"/>
  <c r="BK37"/>
  <c r="BH13"/>
  <c r="BH19"/>
  <c r="BH30"/>
  <c r="BH38"/>
  <c r="BH12"/>
  <c r="BH20"/>
  <c r="BK27"/>
  <c r="BK35"/>
  <c r="BK43"/>
  <c r="BI9"/>
  <c r="BL9"/>
  <c r="BH21"/>
  <c r="BH44"/>
  <c r="BH32"/>
  <c r="BH40"/>
  <c r="BH14"/>
  <c r="BH22"/>
  <c r="BH33"/>
  <c r="BH41"/>
  <c r="BH11"/>
  <c r="T26" i="17"/>
  <c r="S29"/>
  <c r="Y7"/>
  <c r="BL10" i="16"/>
  <c r="BL11" s="1"/>
  <c r="BL12" s="1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J63" a="1"/>
  <c r="BJ63" s="1"/>
  <c r="BJ64" s="1"/>
  <c r="S16" i="17"/>
  <c r="S46"/>
  <c r="U38"/>
  <c r="U53"/>
  <c r="U41"/>
  <c r="T56"/>
  <c r="S54"/>
  <c r="S32"/>
  <c r="T11"/>
  <c r="U45"/>
  <c r="T25"/>
  <c r="U33"/>
  <c r="S10"/>
  <c r="U7"/>
  <c r="T34"/>
  <c r="BF69" i="13"/>
  <c r="BK14"/>
  <c r="BK11"/>
  <c r="BK46"/>
  <c r="BK30"/>
  <c r="BI53"/>
  <c r="BK20"/>
  <c r="BK21"/>
  <c r="BK40"/>
  <c r="BI47"/>
  <c r="BJ57"/>
  <c r="BI35"/>
  <c r="BH43"/>
  <c r="BI11"/>
  <c r="BI15"/>
  <c r="BH23"/>
  <c r="BK51"/>
  <c r="BH26"/>
  <c r="BI34"/>
  <c r="BH42"/>
  <c r="BI61"/>
  <c r="BH16"/>
  <c r="BI24"/>
  <c r="BK58"/>
  <c r="BI27"/>
  <c r="BH9"/>
  <c r="BK13"/>
  <c r="BJ44"/>
  <c r="BK32"/>
  <c r="BJ56"/>
  <c r="BK22"/>
  <c r="BK52"/>
  <c r="BK41"/>
  <c r="BH35"/>
  <c r="BI43"/>
  <c r="BH15"/>
  <c r="BI23"/>
  <c r="BH51"/>
  <c r="BI26"/>
  <c r="BH34"/>
  <c r="BI42"/>
  <c r="BH61"/>
  <c r="BI16"/>
  <c r="BH24"/>
  <c r="BH58"/>
  <c r="BH27"/>
  <c r="BJ63" i="15" a="1"/>
  <c r="BJ63" s="1"/>
  <c r="BJ64" s="1"/>
  <c r="H49" i="17"/>
  <c r="H48"/>
  <c r="H23"/>
  <c r="H19"/>
  <c r="H15"/>
  <c r="H11"/>
  <c r="H7"/>
  <c r="H40"/>
  <c r="H36"/>
  <c r="H32"/>
  <c r="H28"/>
  <c r="H42"/>
  <c r="H57"/>
  <c r="H53"/>
  <c r="H45"/>
  <c r="H20"/>
  <c r="H16"/>
  <c r="H12"/>
  <c r="H8"/>
  <c r="H41"/>
  <c r="H37"/>
  <c r="H33"/>
  <c r="H29"/>
  <c r="H25"/>
  <c r="H58"/>
  <c r="H54"/>
  <c r="H50"/>
  <c r="H46"/>
  <c r="H21"/>
  <c r="H17"/>
  <c r="H13"/>
  <c r="H9"/>
  <c r="H38"/>
  <c r="H34"/>
  <c r="H30"/>
  <c r="H26"/>
  <c r="H59"/>
  <c r="H55"/>
  <c r="H51"/>
  <c r="H47"/>
  <c r="H43"/>
  <c r="H22"/>
  <c r="H18"/>
  <c r="H14"/>
  <c r="H10"/>
  <c r="H24"/>
  <c r="H39"/>
  <c r="H35"/>
  <c r="H31"/>
  <c r="H27"/>
  <c r="H56"/>
  <c r="H52"/>
  <c r="H44"/>
  <c r="W55"/>
  <c r="BF72" i="16"/>
  <c r="Y19" i="17"/>
  <c r="W22"/>
  <c r="X11"/>
  <c r="Y12"/>
  <c r="X26"/>
  <c r="W44"/>
  <c r="W58"/>
  <c r="X12"/>
  <c r="X25"/>
  <c r="Y57"/>
  <c r="X24"/>
  <c r="Y46"/>
  <c r="Y21"/>
  <c r="Y51"/>
  <c r="Y30"/>
  <c r="X52"/>
  <c r="X55"/>
  <c r="Y11"/>
  <c r="X57"/>
  <c r="W36"/>
  <c r="X9"/>
  <c r="X17"/>
  <c r="W29"/>
  <c r="Y41"/>
  <c r="X45"/>
  <c r="W54"/>
  <c r="X8"/>
  <c r="Y15"/>
  <c r="Y23"/>
  <c r="X31"/>
  <c r="Y38"/>
  <c r="Y45"/>
  <c r="Y53"/>
  <c r="X7"/>
  <c r="X6"/>
  <c r="W12"/>
  <c r="Y29"/>
  <c r="Y44"/>
  <c r="W50"/>
  <c r="W15"/>
  <c r="X27"/>
  <c r="Y47"/>
  <c r="W57"/>
  <c r="W8"/>
  <c r="W28"/>
  <c r="X15"/>
  <c r="Y31"/>
  <c r="W46"/>
  <c r="W52"/>
  <c r="Y32"/>
  <c r="X54"/>
  <c r="X32"/>
  <c r="W11"/>
  <c r="W13"/>
  <c r="X29"/>
  <c r="W41"/>
  <c r="W33"/>
  <c r="Y10"/>
  <c r="W16"/>
  <c r="Y18"/>
  <c r="X23"/>
  <c r="W25"/>
  <c r="Y27"/>
  <c r="W31"/>
  <c r="X38"/>
  <c r="Y42"/>
  <c r="X51"/>
  <c r="W56"/>
  <c r="X59"/>
  <c r="Y9"/>
  <c r="Y13"/>
  <c r="W17"/>
  <c r="W21"/>
  <c r="W24"/>
  <c r="Y26"/>
  <c r="W34"/>
  <c r="X37"/>
  <c r="X41"/>
  <c r="W43"/>
  <c r="W47"/>
  <c r="W51"/>
  <c r="X56"/>
  <c r="W59"/>
  <c r="Y6"/>
  <c r="W6"/>
  <c r="W20"/>
  <c r="W27"/>
  <c r="Y37"/>
  <c r="W42"/>
  <c r="Y58"/>
  <c r="X10"/>
  <c r="Y17"/>
  <c r="Y24"/>
  <c r="Y34"/>
  <c r="W49"/>
  <c r="W53"/>
  <c r="Y59"/>
  <c r="Y8"/>
  <c r="W18"/>
  <c r="Y25"/>
  <c r="Y33"/>
  <c r="X40"/>
  <c r="X53"/>
  <c r="W9"/>
  <c r="X16"/>
  <c r="W23"/>
  <c r="W40"/>
  <c r="X50"/>
  <c r="Y55"/>
  <c r="X13"/>
  <c r="Y52"/>
  <c r="X28"/>
  <c r="W26"/>
  <c r="X58"/>
  <c r="X39"/>
  <c r="X21"/>
  <c r="BI13" i="13"/>
  <c r="BJ21"/>
  <c r="BI44"/>
  <c r="BJ48"/>
  <c r="BJ32"/>
  <c r="BJ40"/>
  <c r="BK56"/>
  <c r="BJ14"/>
  <c r="BJ22"/>
  <c r="BJ47"/>
  <c r="BJ52"/>
  <c r="BJ33"/>
  <c r="BJ41"/>
  <c r="BK57"/>
  <c r="BJ31"/>
  <c r="BJ39"/>
  <c r="BJ55"/>
  <c r="BJ19"/>
  <c r="BJ46"/>
  <c r="BJ62"/>
  <c r="BJ30"/>
  <c r="BJ38"/>
  <c r="BK53"/>
  <c r="BJ12"/>
  <c r="BJ20"/>
  <c r="BK50"/>
  <c r="BF68"/>
  <c r="BK9"/>
  <c r="BF70"/>
  <c r="BJ9"/>
  <c r="BJ17"/>
  <c r="BI25"/>
  <c r="BJ59"/>
  <c r="BJ28"/>
  <c r="BJ36"/>
  <c r="BI45"/>
  <c r="BJ10"/>
  <c r="L14" i="17" s="1"/>
  <c r="BJ18" i="13"/>
  <c r="BK54"/>
  <c r="BK60"/>
  <c r="BJ29"/>
  <c r="BJ37"/>
  <c r="BI49"/>
  <c r="BJ35"/>
  <c r="BJ43"/>
  <c r="BJ15"/>
  <c r="BJ23"/>
  <c r="BI51"/>
  <c r="BJ26"/>
  <c r="BJ34"/>
  <c r="BJ42"/>
  <c r="BK61"/>
  <c r="BJ16"/>
  <c r="BJ24"/>
  <c r="BI58"/>
  <c r="BJ27"/>
  <c r="BF67"/>
  <c r="BF71"/>
  <c r="BI21"/>
  <c r="BK44"/>
  <c r="BI48"/>
  <c r="BI32"/>
  <c r="BI40"/>
  <c r="BI56"/>
  <c r="BI14"/>
  <c r="BI22"/>
  <c r="BH47"/>
  <c r="BI52"/>
  <c r="BI33"/>
  <c r="BI41"/>
  <c r="BI57"/>
  <c r="BI31"/>
  <c r="BI39"/>
  <c r="BK55"/>
  <c r="BI19"/>
  <c r="BI46"/>
  <c r="BK62"/>
  <c r="BI30"/>
  <c r="BI38"/>
  <c r="BJ53"/>
  <c r="BI12"/>
  <c r="BI20"/>
  <c r="BH50"/>
  <c r="G37" i="17"/>
  <c r="I43"/>
  <c r="I50"/>
  <c r="I15"/>
  <c r="BF72" i="15"/>
  <c r="S59" i="17"/>
  <c r="S50"/>
  <c r="S58"/>
  <c r="U30"/>
  <c r="U34"/>
  <c r="S24"/>
  <c r="U15"/>
  <c r="U23"/>
  <c r="U49"/>
  <c r="U57"/>
  <c r="S37"/>
  <c r="T10"/>
  <c r="S12"/>
  <c r="U20"/>
  <c r="T48"/>
  <c r="T30"/>
  <c r="U9"/>
  <c r="T37"/>
  <c r="U27"/>
  <c r="T7"/>
  <c r="T44"/>
  <c r="U48"/>
  <c r="T52"/>
  <c r="U56"/>
  <c r="S42"/>
  <c r="S28"/>
  <c r="S30"/>
  <c r="U32"/>
  <c r="S36"/>
  <c r="S40"/>
  <c r="S9"/>
  <c r="T13"/>
  <c r="S17"/>
  <c r="S21"/>
  <c r="T43"/>
  <c r="S47"/>
  <c r="T51"/>
  <c r="S55"/>
  <c r="T59"/>
  <c r="S31"/>
  <c r="U35"/>
  <c r="S39"/>
  <c r="U8"/>
  <c r="T14"/>
  <c r="T18"/>
  <c r="S22"/>
  <c r="S44"/>
  <c r="S52"/>
  <c r="U26"/>
  <c r="T32"/>
  <c r="T38"/>
  <c r="S13"/>
  <c r="S53"/>
  <c r="U31"/>
  <c r="S8"/>
  <c r="S6"/>
  <c r="U44"/>
  <c r="T46"/>
  <c r="S48"/>
  <c r="U50"/>
  <c r="U52"/>
  <c r="T54"/>
  <c r="S56"/>
  <c r="U58"/>
  <c r="U42"/>
  <c r="S26"/>
  <c r="U28"/>
  <c r="S34"/>
  <c r="U36"/>
  <c r="S38"/>
  <c r="U40"/>
  <c r="T24"/>
  <c r="T9"/>
  <c r="S11"/>
  <c r="U13"/>
  <c r="S15"/>
  <c r="T17"/>
  <c r="S19"/>
  <c r="U21"/>
  <c r="S23"/>
  <c r="U43"/>
  <c r="T45"/>
  <c r="U47"/>
  <c r="S49"/>
  <c r="U51"/>
  <c r="T53"/>
  <c r="U55"/>
  <c r="S57"/>
  <c r="U59"/>
  <c r="S25"/>
  <c r="S27"/>
  <c r="U29"/>
  <c r="T31"/>
  <c r="S33"/>
  <c r="S35"/>
  <c r="U37"/>
  <c r="T39"/>
  <c r="S41"/>
  <c r="T8"/>
  <c r="U12"/>
  <c r="U14"/>
  <c r="T16"/>
  <c r="S18"/>
  <c r="S20"/>
  <c r="U22"/>
  <c r="S7"/>
  <c r="U46"/>
  <c r="T50"/>
  <c r="U54"/>
  <c r="T58"/>
  <c r="T28"/>
  <c r="T36"/>
  <c r="U24"/>
  <c r="U11"/>
  <c r="U19"/>
  <c r="T49"/>
  <c r="T57"/>
  <c r="T27"/>
  <c r="T35"/>
  <c r="U39"/>
  <c r="T12"/>
  <c r="T20"/>
  <c r="T23"/>
  <c r="U6"/>
  <c r="I48"/>
  <c r="G13"/>
  <c r="G25"/>
  <c r="G18"/>
  <c r="I26"/>
  <c r="I30"/>
  <c r="I53"/>
  <c r="I11"/>
  <c r="I28"/>
  <c r="G53"/>
  <c r="G29"/>
  <c r="G10"/>
  <c r="G6"/>
  <c r="G56"/>
  <c r="G38"/>
  <c r="I23"/>
  <c r="I55"/>
  <c r="BF72" i="11"/>
  <c r="I45" i="17"/>
  <c r="G28"/>
  <c r="G19"/>
  <c r="I49"/>
  <c r="I27"/>
  <c r="G33"/>
  <c r="G41"/>
  <c r="G14"/>
  <c r="G22"/>
  <c r="I46"/>
  <c r="I24"/>
  <c r="I47"/>
  <c r="G23"/>
  <c r="G51"/>
  <c r="H6"/>
  <c r="I56"/>
  <c r="I42"/>
  <c r="G32"/>
  <c r="I9"/>
  <c r="G17"/>
  <c r="G55"/>
  <c r="I59"/>
  <c r="I31"/>
  <c r="I35"/>
  <c r="I39"/>
  <c r="I8"/>
  <c r="I12"/>
  <c r="I16"/>
  <c r="I20"/>
  <c r="G7"/>
  <c r="G46"/>
  <c r="G48"/>
  <c r="G54"/>
  <c r="I58"/>
  <c r="I36"/>
  <c r="I40"/>
  <c r="G15"/>
  <c r="G59"/>
  <c r="I44"/>
  <c r="I52"/>
  <c r="G42"/>
  <c r="G26"/>
  <c r="I32"/>
  <c r="G36"/>
  <c r="G40"/>
  <c r="G9"/>
  <c r="G11"/>
  <c r="I17"/>
  <c r="G21"/>
  <c r="G45"/>
  <c r="G47"/>
  <c r="I51"/>
  <c r="I57"/>
  <c r="I25"/>
  <c r="G27"/>
  <c r="I29"/>
  <c r="G31"/>
  <c r="I33"/>
  <c r="G35"/>
  <c r="I37"/>
  <c r="G39"/>
  <c r="I41"/>
  <c r="G8"/>
  <c r="I10"/>
  <c r="G12"/>
  <c r="I14"/>
  <c r="G16"/>
  <c r="I18"/>
  <c r="G20"/>
  <c r="I22"/>
  <c r="I7"/>
  <c r="I6"/>
  <c r="G44"/>
  <c r="G50"/>
  <c r="G52"/>
  <c r="I54"/>
  <c r="G58"/>
  <c r="G30"/>
  <c r="I34"/>
  <c r="I38"/>
  <c r="G24"/>
  <c r="I13"/>
  <c r="I19"/>
  <c r="I21"/>
  <c r="G43"/>
  <c r="G49"/>
  <c r="G57"/>
  <c r="W32"/>
  <c r="BJ63" i="11"/>
  <c r="BJ64" s="1"/>
  <c r="T42" i="17"/>
  <c r="T40"/>
  <c r="S43"/>
  <c r="T47"/>
  <c r="S51"/>
  <c r="T55"/>
  <c r="T41"/>
  <c r="Y28"/>
  <c r="Y36"/>
  <c r="X42"/>
  <c r="X46"/>
  <c r="Y16"/>
  <c r="X47"/>
  <c r="Y14"/>
  <c r="X43"/>
  <c r="W19"/>
  <c r="X33"/>
  <c r="X20"/>
  <c r="W45"/>
  <c r="Y22"/>
  <c r="Y43"/>
  <c r="X48"/>
  <c r="Y40"/>
  <c r="W39"/>
  <c r="T15"/>
  <c r="T21"/>
  <c r="U25"/>
  <c r="T29"/>
  <c r="T22"/>
  <c r="U17"/>
  <c r="T33"/>
  <c r="U10"/>
  <c r="S14"/>
  <c r="U18"/>
  <c r="T6"/>
  <c r="K7"/>
  <c r="K39"/>
  <c r="L29"/>
  <c r="M51"/>
  <c r="M23"/>
  <c r="L11"/>
  <c r="L34"/>
  <c r="K58"/>
  <c r="L44"/>
  <c r="K14"/>
  <c r="M37"/>
  <c r="M29"/>
  <c r="L55"/>
  <c r="L13"/>
  <c r="L30"/>
  <c r="K26"/>
  <c r="M58"/>
  <c r="M44"/>
  <c r="R5" i="1"/>
  <c r="AM79"/>
  <c r="AL79"/>
  <c r="AH79"/>
  <c r="AG79"/>
  <c r="AC79"/>
  <c r="AB79"/>
  <c r="AM75"/>
  <c r="AL75"/>
  <c r="AH75"/>
  <c r="AG75"/>
  <c r="AC75"/>
  <c r="AB75"/>
  <c r="AM71"/>
  <c r="AL71"/>
  <c r="AH71"/>
  <c r="AG71"/>
  <c r="AC71"/>
  <c r="AB71"/>
  <c r="AM67"/>
  <c r="AL67"/>
  <c r="AH67"/>
  <c r="AG67"/>
  <c r="AC67"/>
  <c r="AB67"/>
  <c r="AM63"/>
  <c r="AL63"/>
  <c r="AH63"/>
  <c r="AG63"/>
  <c r="AC63"/>
  <c r="AB63"/>
  <c r="AM59"/>
  <c r="AL59"/>
  <c r="AH59"/>
  <c r="AG59"/>
  <c r="AC59"/>
  <c r="AB59"/>
  <c r="AM55"/>
  <c r="AL55"/>
  <c r="AH55"/>
  <c r="AG55"/>
  <c r="AC55"/>
  <c r="AB55"/>
  <c r="AM51"/>
  <c r="AL51"/>
  <c r="AH51"/>
  <c r="AG51"/>
  <c r="AC51"/>
  <c r="AB51"/>
  <c r="AM47"/>
  <c r="AL47"/>
  <c r="AH47"/>
  <c r="AG47"/>
  <c r="AC47"/>
  <c r="AB47"/>
  <c r="AM43"/>
  <c r="AL43"/>
  <c r="AH43"/>
  <c r="AG43"/>
  <c r="AC43"/>
  <c r="AB43"/>
  <c r="AM39"/>
  <c r="AL39"/>
  <c r="AH39"/>
  <c r="AG39"/>
  <c r="AC39"/>
  <c r="AB39"/>
  <c r="AM35"/>
  <c r="AL35"/>
  <c r="AH35"/>
  <c r="AG35"/>
  <c r="AC35"/>
  <c r="AB35"/>
  <c r="AM31"/>
  <c r="AL31"/>
  <c r="AH31"/>
  <c r="AG31"/>
  <c r="AC31"/>
  <c r="AB31"/>
  <c r="AM27"/>
  <c r="AL27"/>
  <c r="AH27"/>
  <c r="AG27"/>
  <c r="AC27"/>
  <c r="AB27"/>
  <c r="AM23"/>
  <c r="AL23"/>
  <c r="AH23"/>
  <c r="AG23"/>
  <c r="AC23"/>
  <c r="AB23"/>
  <c r="AM19"/>
  <c r="AL19"/>
  <c r="AH19"/>
  <c r="AG19"/>
  <c r="AC19"/>
  <c r="AB19"/>
  <c r="AM15"/>
  <c r="AL15"/>
  <c r="AH15"/>
  <c r="AG15"/>
  <c r="AC15"/>
  <c r="AB15"/>
  <c r="AM11"/>
  <c r="AL11"/>
  <c r="AH11"/>
  <c r="AG11"/>
  <c r="AC11"/>
  <c r="AB11"/>
  <c r="L20" i="17" l="1"/>
  <c r="M6"/>
  <c r="M52"/>
  <c r="L40"/>
  <c r="L47"/>
  <c r="K25"/>
  <c r="M31"/>
  <c r="M8"/>
  <c r="M22"/>
  <c r="L52"/>
  <c r="M28"/>
  <c r="K40"/>
  <c r="M17"/>
  <c r="M47"/>
  <c r="K57"/>
  <c r="K31"/>
  <c r="M7"/>
  <c r="K6"/>
  <c r="M46"/>
  <c r="M56"/>
  <c r="L36"/>
  <c r="K9"/>
  <c r="K43"/>
  <c r="K51"/>
  <c r="K59"/>
  <c r="K33"/>
  <c r="M39"/>
  <c r="M12"/>
  <c r="K18"/>
  <c r="L7"/>
  <c r="L48"/>
  <c r="K54"/>
  <c r="K42"/>
  <c r="M30"/>
  <c r="M38"/>
  <c r="M9"/>
  <c r="M15"/>
  <c r="L19"/>
  <c r="M43"/>
  <c r="M49"/>
  <c r="M53"/>
  <c r="L35"/>
  <c r="L12"/>
  <c r="L32"/>
  <c r="Q61"/>
  <c r="O61"/>
  <c r="P61"/>
  <c r="K19"/>
  <c r="K48"/>
  <c r="L6"/>
  <c r="BF72" i="13"/>
  <c r="K20" i="17"/>
  <c r="K44"/>
  <c r="M48"/>
  <c r="M50"/>
  <c r="K52"/>
  <c r="K56"/>
  <c r="M42"/>
  <c r="L28"/>
  <c r="K32"/>
  <c r="L38"/>
  <c r="K24"/>
  <c r="K11"/>
  <c r="K17"/>
  <c r="L21"/>
  <c r="K45"/>
  <c r="L49"/>
  <c r="K53"/>
  <c r="L57"/>
  <c r="M25"/>
  <c r="M27"/>
  <c r="K29"/>
  <c r="M33"/>
  <c r="M35"/>
  <c r="K37"/>
  <c r="K41"/>
  <c r="M10"/>
  <c r="M14"/>
  <c r="M16"/>
  <c r="M20"/>
  <c r="K22"/>
  <c r="K46"/>
  <c r="K50"/>
  <c r="L54"/>
  <c r="L58"/>
  <c r="L42"/>
  <c r="M26"/>
  <c r="K28"/>
  <c r="K30"/>
  <c r="M34"/>
  <c r="K36"/>
  <c r="M40"/>
  <c r="M24"/>
  <c r="M11"/>
  <c r="M13"/>
  <c r="K15"/>
  <c r="M19"/>
  <c r="M21"/>
  <c r="K23"/>
  <c r="M45"/>
  <c r="K47"/>
  <c r="K49"/>
  <c r="L51"/>
  <c r="K55"/>
  <c r="L59"/>
  <c r="L31"/>
  <c r="L33"/>
  <c r="L37"/>
  <c r="L10"/>
  <c r="K12"/>
  <c r="L18"/>
  <c r="BL10" i="13"/>
  <c r="BL11" s="1"/>
  <c r="BL12" s="1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K21" i="17"/>
  <c r="M41"/>
  <c r="K34"/>
  <c r="K13"/>
  <c r="K38"/>
  <c r="K35"/>
  <c r="K10"/>
  <c r="M18"/>
  <c r="L24"/>
  <c r="L17"/>
  <c r="L43"/>
  <c r="L45"/>
  <c r="L25"/>
  <c r="L50"/>
  <c r="L56"/>
  <c r="L53"/>
  <c r="M36"/>
  <c r="L8"/>
  <c r="L46"/>
  <c r="L16"/>
  <c r="M54"/>
  <c r="L26"/>
  <c r="L15"/>
  <c r="L9"/>
  <c r="L23"/>
  <c r="L27"/>
  <c r="M32"/>
  <c r="K8"/>
  <c r="K27"/>
  <c r="BJ63" i="13" a="1"/>
  <c r="BJ63" s="1"/>
  <c r="BJ64" s="1"/>
  <c r="T61" i="17"/>
  <c r="I61"/>
  <c r="G61"/>
  <c r="K16"/>
  <c r="W61"/>
  <c r="X61"/>
  <c r="Y61"/>
  <c r="H61"/>
  <c r="U61"/>
  <c r="S61"/>
  <c r="M55"/>
  <c r="M57"/>
  <c r="M59"/>
  <c r="L39"/>
  <c r="L41"/>
  <c r="L22"/>
  <c r="D22" i="7"/>
  <c r="G84" i="6"/>
  <c r="I84" s="1"/>
  <c r="B84"/>
  <c r="D84" s="1"/>
  <c r="L83"/>
  <c r="N83" s="1"/>
  <c r="G83"/>
  <c r="I83" s="1"/>
  <c r="B83"/>
  <c r="D83" s="1"/>
  <c r="O82"/>
  <c r="N82"/>
  <c r="L82"/>
  <c r="J82"/>
  <c r="I82"/>
  <c r="G82"/>
  <c r="E82"/>
  <c r="D82"/>
  <c r="B82"/>
  <c r="L80"/>
  <c r="N80" s="1"/>
  <c r="G80"/>
  <c r="I80" s="1"/>
  <c r="B80"/>
  <c r="D80" s="1"/>
  <c r="L79"/>
  <c r="N79" s="1"/>
  <c r="G79"/>
  <c r="I79" s="1"/>
  <c r="B79"/>
  <c r="D79" s="1"/>
  <c r="O78"/>
  <c r="N78"/>
  <c r="L78"/>
  <c r="J78"/>
  <c r="I78"/>
  <c r="G78"/>
  <c r="E78"/>
  <c r="D78"/>
  <c r="B78"/>
  <c r="B59" i="9"/>
  <c r="B58"/>
  <c r="B57"/>
  <c r="B56"/>
  <c r="B55"/>
  <c r="B54"/>
  <c r="M61" i="17" l="1"/>
  <c r="K61"/>
  <c r="L61"/>
  <c r="C79" i="6"/>
  <c r="J79"/>
  <c r="M79"/>
  <c r="E80"/>
  <c r="H80"/>
  <c r="O80"/>
  <c r="E79"/>
  <c r="H79"/>
  <c r="O79"/>
  <c r="C80"/>
  <c r="J80"/>
  <c r="M80"/>
  <c r="C83"/>
  <c r="E83"/>
  <c r="H83"/>
  <c r="J83"/>
  <c r="M83"/>
  <c r="O83"/>
  <c r="C84"/>
  <c r="E84"/>
  <c r="H84"/>
  <c r="J84"/>
  <c r="D54" i="9"/>
  <c r="F54"/>
  <c r="H54"/>
  <c r="J54"/>
  <c r="D55"/>
  <c r="F55"/>
  <c r="H55"/>
  <c r="J55"/>
  <c r="D56"/>
  <c r="F56"/>
  <c r="H56"/>
  <c r="J56"/>
  <c r="D57"/>
  <c r="F57"/>
  <c r="H57"/>
  <c r="J57"/>
  <c r="D58"/>
  <c r="F58"/>
  <c r="H58"/>
  <c r="J58"/>
  <c r="D59"/>
  <c r="F59"/>
  <c r="H59"/>
  <c r="J59"/>
  <c r="C54"/>
  <c r="L54" s="1"/>
  <c r="E54"/>
  <c r="G54"/>
  <c r="I54"/>
  <c r="K54"/>
  <c r="C55"/>
  <c r="E55"/>
  <c r="N55" s="1"/>
  <c r="G55"/>
  <c r="I55"/>
  <c r="K55"/>
  <c r="C56"/>
  <c r="L56" s="1"/>
  <c r="E56"/>
  <c r="G56"/>
  <c r="I56"/>
  <c r="K56"/>
  <c r="C57"/>
  <c r="E57"/>
  <c r="N57" s="1"/>
  <c r="G57"/>
  <c r="I57"/>
  <c r="K57"/>
  <c r="C58"/>
  <c r="L58" s="1"/>
  <c r="E58"/>
  <c r="G58"/>
  <c r="I58"/>
  <c r="K58"/>
  <c r="C59"/>
  <c r="E59"/>
  <c r="N59" s="1"/>
  <c r="G59"/>
  <c r="I59"/>
  <c r="K59"/>
  <c r="M58" l="1"/>
  <c r="M56"/>
  <c r="M54"/>
  <c r="L59"/>
  <c r="N58"/>
  <c r="L57"/>
  <c r="N56"/>
  <c r="L55"/>
  <c r="N54"/>
  <c r="M59"/>
  <c r="M57"/>
  <c r="M55"/>
  <c r="O55" l="1"/>
  <c r="P55"/>
  <c r="O59"/>
  <c r="P59"/>
  <c r="O56"/>
  <c r="P56"/>
  <c r="O57"/>
  <c r="P57"/>
  <c r="O54"/>
  <c r="P54"/>
  <c r="O58"/>
  <c r="P58"/>
  <c r="A5" i="1" l="1"/>
  <c r="Z75" l="1"/>
  <c r="Z77"/>
  <c r="Z81"/>
  <c r="Z80"/>
  <c r="Z20"/>
  <c r="B40" i="9"/>
  <c r="B41"/>
  <c r="B42"/>
  <c r="B43"/>
  <c r="B44"/>
  <c r="B45"/>
  <c r="B46"/>
  <c r="B47"/>
  <c r="B48"/>
  <c r="B49"/>
  <c r="B50"/>
  <c r="B51"/>
  <c r="B52"/>
  <c r="B53"/>
  <c r="B39"/>
  <c r="B38"/>
  <c r="B24"/>
  <c r="B25"/>
  <c r="B26"/>
  <c r="B27"/>
  <c r="B28"/>
  <c r="B29"/>
  <c r="B30"/>
  <c r="B31"/>
  <c r="B32"/>
  <c r="B33"/>
  <c r="B34"/>
  <c r="B35"/>
  <c r="B36"/>
  <c r="B37"/>
  <c r="B23"/>
  <c r="B22"/>
  <c r="B8"/>
  <c r="B9"/>
  <c r="B10"/>
  <c r="B11"/>
  <c r="B12"/>
  <c r="B13"/>
  <c r="B14"/>
  <c r="B15"/>
  <c r="B16"/>
  <c r="B17"/>
  <c r="B18"/>
  <c r="B19"/>
  <c r="B20"/>
  <c r="B21"/>
  <c r="B7"/>
  <c r="B6"/>
  <c r="O74" i="6"/>
  <c r="N74"/>
  <c r="J74"/>
  <c r="I74"/>
  <c r="E74"/>
  <c r="D74"/>
  <c r="O70"/>
  <c r="N70"/>
  <c r="J70"/>
  <c r="I70"/>
  <c r="E70"/>
  <c r="D70"/>
  <c r="O66"/>
  <c r="N66"/>
  <c r="J66"/>
  <c r="I66"/>
  <c r="E66"/>
  <c r="D66"/>
  <c r="O62"/>
  <c r="N62"/>
  <c r="J62"/>
  <c r="I62"/>
  <c r="E62"/>
  <c r="D62"/>
  <c r="O58"/>
  <c r="N58"/>
  <c r="J58"/>
  <c r="I58"/>
  <c r="E58"/>
  <c r="D58"/>
  <c r="O54"/>
  <c r="N54"/>
  <c r="J54"/>
  <c r="I54"/>
  <c r="E54"/>
  <c r="D54"/>
  <c r="O46"/>
  <c r="N46"/>
  <c r="J46"/>
  <c r="I46"/>
  <c r="E46"/>
  <c r="D46"/>
  <c r="O42"/>
  <c r="N42"/>
  <c r="J42"/>
  <c r="I42"/>
  <c r="E42"/>
  <c r="D42"/>
  <c r="O38"/>
  <c r="N38"/>
  <c r="J38"/>
  <c r="I38"/>
  <c r="E38"/>
  <c r="D38"/>
  <c r="O34"/>
  <c r="N34"/>
  <c r="J34"/>
  <c r="I34"/>
  <c r="E34"/>
  <c r="D34"/>
  <c r="O30"/>
  <c r="N30"/>
  <c r="J30"/>
  <c r="I30"/>
  <c r="E30"/>
  <c r="D30"/>
  <c r="O26"/>
  <c r="N26"/>
  <c r="J26"/>
  <c r="I26"/>
  <c r="E26"/>
  <c r="D26"/>
  <c r="O22"/>
  <c r="N22"/>
  <c r="J22"/>
  <c r="I22"/>
  <c r="E22"/>
  <c r="D22"/>
  <c r="O18"/>
  <c r="N18"/>
  <c r="J18"/>
  <c r="I18"/>
  <c r="E18"/>
  <c r="D18"/>
  <c r="O14"/>
  <c r="N14"/>
  <c r="J14"/>
  <c r="I14"/>
  <c r="E14"/>
  <c r="D14"/>
  <c r="O10"/>
  <c r="N10"/>
  <c r="J10"/>
  <c r="I10"/>
  <c r="E10"/>
  <c r="D10"/>
  <c r="AB20" i="1" l="1"/>
  <c r="AA20"/>
  <c r="AC20"/>
  <c r="AC80"/>
  <c r="AB80"/>
  <c r="AA80"/>
  <c r="AB77"/>
  <c r="AA77"/>
  <c r="AC77"/>
  <c r="AC81"/>
  <c r="AB81"/>
  <c r="AA81"/>
  <c r="AE61"/>
  <c r="AE72"/>
  <c r="Z76"/>
  <c r="Z79"/>
  <c r="AE51"/>
  <c r="Z23"/>
  <c r="AE67"/>
  <c r="AE15"/>
  <c r="AE39"/>
  <c r="AE27"/>
  <c r="AE35"/>
  <c r="AE47"/>
  <c r="AE59"/>
  <c r="AE71"/>
  <c r="Z16"/>
  <c r="B19" i="6"/>
  <c r="C19" s="1"/>
  <c r="Z21" i="1"/>
  <c r="AE73"/>
  <c r="Z12"/>
  <c r="AE68"/>
  <c r="Z27"/>
  <c r="Z17"/>
  <c r="AE69"/>
  <c r="Z13"/>
  <c r="AE65"/>
  <c r="Z56"/>
  <c r="Z48"/>
  <c r="Z71"/>
  <c r="Z47"/>
  <c r="Z67"/>
  <c r="Z59"/>
  <c r="Z43"/>
  <c r="Z35"/>
  <c r="Z15"/>
  <c r="Z19"/>
  <c r="AE13" l="1"/>
  <c r="AG13" s="1"/>
  <c r="Z39"/>
  <c r="B27" i="6"/>
  <c r="D27" s="1"/>
  <c r="Z28" i="1"/>
  <c r="B67" i="6"/>
  <c r="D67" s="1"/>
  <c r="Z64" i="1"/>
  <c r="AC48"/>
  <c r="AB48"/>
  <c r="AA48"/>
  <c r="AE33"/>
  <c r="Z44"/>
  <c r="B68" i="6"/>
  <c r="E68" s="1"/>
  <c r="Z65" i="1"/>
  <c r="B32" i="6"/>
  <c r="C32" s="1"/>
  <c r="Z33" i="1"/>
  <c r="B40" i="6"/>
  <c r="E40" s="1"/>
  <c r="Z41" i="1"/>
  <c r="AG69"/>
  <c r="AF69"/>
  <c r="AH69"/>
  <c r="B71" i="6"/>
  <c r="C71" s="1"/>
  <c r="Z68" i="1"/>
  <c r="B76" i="6"/>
  <c r="E76" s="1"/>
  <c r="Z73" i="1"/>
  <c r="B44" i="6"/>
  <c r="E44" s="1"/>
  <c r="Z45" i="1"/>
  <c r="B72" i="6"/>
  <c r="E72" s="1"/>
  <c r="Z69" i="1"/>
  <c r="B36" i="6"/>
  <c r="E36" s="1"/>
  <c r="Z37" i="1"/>
  <c r="AB21"/>
  <c r="AA21"/>
  <c r="AC21"/>
  <c r="B75" i="6"/>
  <c r="D75" s="1"/>
  <c r="Z72" i="1"/>
  <c r="B39" i="6"/>
  <c r="E39" s="1"/>
  <c r="Z40" i="1"/>
  <c r="AB76"/>
  <c r="AC76"/>
  <c r="AA76"/>
  <c r="AG61"/>
  <c r="AH61"/>
  <c r="AF61"/>
  <c r="AE24"/>
  <c r="Z31"/>
  <c r="AJ43"/>
  <c r="Z51"/>
  <c r="AE52"/>
  <c r="Z63"/>
  <c r="B31" i="6"/>
  <c r="C31" s="1"/>
  <c r="Z32" i="1"/>
  <c r="AE55"/>
  <c r="Z55"/>
  <c r="AC56"/>
  <c r="AB56"/>
  <c r="AA56"/>
  <c r="B48" i="6"/>
  <c r="C48" s="1"/>
  <c r="Z49" i="1"/>
  <c r="AG65"/>
  <c r="AH65"/>
  <c r="AF65"/>
  <c r="B60" i="6"/>
  <c r="E60" s="1"/>
  <c r="Z57" i="1"/>
  <c r="B24" i="6"/>
  <c r="C24" s="1"/>
  <c r="Z25" i="1"/>
  <c r="AG68"/>
  <c r="AF68"/>
  <c r="AH68"/>
  <c r="AE40"/>
  <c r="Z36"/>
  <c r="B23" i="6"/>
  <c r="C23" s="1"/>
  <c r="Z24" i="1"/>
  <c r="B64" i="6"/>
  <c r="D64" s="1"/>
  <c r="Z61" i="1"/>
  <c r="B28" i="6"/>
  <c r="D28" s="1"/>
  <c r="Z29" i="1"/>
  <c r="B56" i="6"/>
  <c r="E56" s="1"/>
  <c r="Z53" i="1"/>
  <c r="AH73"/>
  <c r="AF73"/>
  <c r="AG73"/>
  <c r="B55" i="6"/>
  <c r="C55" s="1"/>
  <c r="Z52" i="1"/>
  <c r="B63" i="6"/>
  <c r="D63" s="1"/>
  <c r="Z60" i="1"/>
  <c r="AE11"/>
  <c r="AH72"/>
  <c r="AG72"/>
  <c r="AF72"/>
  <c r="AE79"/>
  <c r="Z11"/>
  <c r="AQ9" s="1"/>
  <c r="AB13"/>
  <c r="AC13"/>
  <c r="AA13"/>
  <c r="AB12"/>
  <c r="AC12"/>
  <c r="AA12"/>
  <c r="AC16"/>
  <c r="AB16"/>
  <c r="AA16"/>
  <c r="AC17"/>
  <c r="AB17"/>
  <c r="AA17"/>
  <c r="AJ75"/>
  <c r="AE77"/>
  <c r="AE81"/>
  <c r="AE12"/>
  <c r="AJ79"/>
  <c r="AE21"/>
  <c r="AE25"/>
  <c r="AE29"/>
  <c r="AE43"/>
  <c r="AE37"/>
  <c r="AE41"/>
  <c r="AE60"/>
  <c r="AE63"/>
  <c r="AE45"/>
  <c r="AE49"/>
  <c r="AE53"/>
  <c r="AE57"/>
  <c r="AJ80"/>
  <c r="B11" i="6"/>
  <c r="D11" s="1"/>
  <c r="AE64" i="1"/>
  <c r="B15" i="6"/>
  <c r="C15" s="1"/>
  <c r="B20"/>
  <c r="E20" s="1"/>
  <c r="AE32" i="1"/>
  <c r="B59" i="6"/>
  <c r="D59" s="1"/>
  <c r="B47"/>
  <c r="E47" s="1"/>
  <c r="B43"/>
  <c r="D43" s="1"/>
  <c r="B16"/>
  <c r="C16" s="1"/>
  <c r="B35"/>
  <c r="C35" s="1"/>
  <c r="B12"/>
  <c r="D12" s="1"/>
  <c r="B26"/>
  <c r="B14"/>
  <c r="B22"/>
  <c r="B30"/>
  <c r="B42"/>
  <c r="B66"/>
  <c r="B70"/>
  <c r="B46"/>
  <c r="B10"/>
  <c r="B18"/>
  <c r="B34"/>
  <c r="B38"/>
  <c r="B54"/>
  <c r="B62"/>
  <c r="B74"/>
  <c r="B58"/>
  <c r="D19"/>
  <c r="E19"/>
  <c r="AR10" i="1" l="1"/>
  <c r="AQ11"/>
  <c r="AS11"/>
  <c r="AR12"/>
  <c r="AQ13"/>
  <c r="AS13"/>
  <c r="AR14"/>
  <c r="AQ15"/>
  <c r="AS15"/>
  <c r="AR16"/>
  <c r="AQ17"/>
  <c r="AS17"/>
  <c r="AR18"/>
  <c r="AQ19"/>
  <c r="AS19"/>
  <c r="AR20"/>
  <c r="AQ21"/>
  <c r="AS21"/>
  <c r="AR22"/>
  <c r="AQ23"/>
  <c r="AS23"/>
  <c r="AR24"/>
  <c r="AQ25"/>
  <c r="AS25"/>
  <c r="AR26"/>
  <c r="AR27"/>
  <c r="AQ28"/>
  <c r="AS28"/>
  <c r="AR29"/>
  <c r="AQ38"/>
  <c r="AS38"/>
  <c r="AR43"/>
  <c r="AQ44"/>
  <c r="AS44"/>
  <c r="AQ45"/>
  <c r="AS45"/>
  <c r="AQ61"/>
  <c r="AS61"/>
  <c r="AR62"/>
  <c r="AR9"/>
  <c r="AQ10"/>
  <c r="AS10"/>
  <c r="AR11"/>
  <c r="AQ12"/>
  <c r="AS12"/>
  <c r="AR13"/>
  <c r="AQ14"/>
  <c r="AS14"/>
  <c r="AR15"/>
  <c r="AQ16"/>
  <c r="AS16"/>
  <c r="AR17"/>
  <c r="AQ18"/>
  <c r="AS18"/>
  <c r="AR19"/>
  <c r="AQ20"/>
  <c r="AS20"/>
  <c r="AR21"/>
  <c r="AQ22"/>
  <c r="AS22"/>
  <c r="AR23"/>
  <c r="AQ24"/>
  <c r="AS24"/>
  <c r="AR25"/>
  <c r="AQ26"/>
  <c r="AS26"/>
  <c r="AQ27"/>
  <c r="AS27"/>
  <c r="AR28"/>
  <c r="AQ29"/>
  <c r="AS29"/>
  <c r="AR38"/>
  <c r="AQ43"/>
  <c r="AS43"/>
  <c r="AR44"/>
  <c r="AR45"/>
  <c r="AR61"/>
  <c r="AQ62"/>
  <c r="AS62"/>
  <c r="AS9"/>
  <c r="C76" i="6"/>
  <c r="C28"/>
  <c r="D71"/>
  <c r="AJ69" i="1"/>
  <c r="E23" i="6"/>
  <c r="C27"/>
  <c r="E26" i="9" s="1"/>
  <c r="E67" i="6"/>
  <c r="D24"/>
  <c r="D39"/>
  <c r="D55"/>
  <c r="C75"/>
  <c r="AJ16" i="1"/>
  <c r="E48" i="6"/>
  <c r="D23"/>
  <c r="D36"/>
  <c r="C64"/>
  <c r="E27"/>
  <c r="D72"/>
  <c r="C56"/>
  <c r="C44"/>
  <c r="D44"/>
  <c r="AH13" i="1"/>
  <c r="C40" i="6"/>
  <c r="D60"/>
  <c r="D68"/>
  <c r="E31"/>
  <c r="E75"/>
  <c r="E64"/>
  <c r="D48"/>
  <c r="C36"/>
  <c r="E28"/>
  <c r="C72"/>
  <c r="D56"/>
  <c r="C67"/>
  <c r="E71"/>
  <c r="D76"/>
  <c r="AF13" i="1"/>
  <c r="E24" i="6"/>
  <c r="C39"/>
  <c r="E29" i="9" s="1"/>
  <c r="E32" i="6"/>
  <c r="C68"/>
  <c r="D40"/>
  <c r="D32"/>
  <c r="D31"/>
  <c r="C63"/>
  <c r="E34" i="9" s="1"/>
  <c r="AJ44" i="1"/>
  <c r="C60" i="6"/>
  <c r="E55"/>
  <c r="E63"/>
  <c r="L42"/>
  <c r="AJ20" i="1"/>
  <c r="AE28"/>
  <c r="AE36"/>
  <c r="L75" i="6"/>
  <c r="M75" s="1"/>
  <c r="AJ73" i="1"/>
  <c r="L55" i="6"/>
  <c r="N55" s="1"/>
  <c r="AJ53" i="1"/>
  <c r="AE75"/>
  <c r="AE76"/>
  <c r="AM80"/>
  <c r="AL80"/>
  <c r="AK80"/>
  <c r="AE80"/>
  <c r="L71" i="6"/>
  <c r="M71" s="1"/>
  <c r="AG53" i="1"/>
  <c r="AF53"/>
  <c r="AH53"/>
  <c r="L60" i="6"/>
  <c r="O60" s="1"/>
  <c r="AJ59" i="1"/>
  <c r="AE56"/>
  <c r="AH41"/>
  <c r="AG41"/>
  <c r="AF41"/>
  <c r="AE48"/>
  <c r="AE31"/>
  <c r="AG29"/>
  <c r="AF29"/>
  <c r="AH29"/>
  <c r="AH25"/>
  <c r="AG25"/>
  <c r="AF25"/>
  <c r="AG21"/>
  <c r="AF21"/>
  <c r="AH21"/>
  <c r="AG77"/>
  <c r="AF77"/>
  <c r="AH77"/>
  <c r="AB60"/>
  <c r="AQ39" s="1"/>
  <c r="AA60"/>
  <c r="AS39" s="1"/>
  <c r="AC60"/>
  <c r="AR39" s="1"/>
  <c r="AB52"/>
  <c r="AQ37" s="1"/>
  <c r="AA52"/>
  <c r="AS37" s="1"/>
  <c r="AC52"/>
  <c r="AR37" s="1"/>
  <c r="AH40"/>
  <c r="AG40"/>
  <c r="AF40"/>
  <c r="AC25"/>
  <c r="AB25"/>
  <c r="AA25"/>
  <c r="AC57"/>
  <c r="AA57"/>
  <c r="AB57"/>
  <c r="AC32"/>
  <c r="AR32" s="1"/>
  <c r="AB32"/>
  <c r="AQ32" s="1"/>
  <c r="AA32"/>
  <c r="AS32" s="1"/>
  <c r="AC40"/>
  <c r="AR34" s="1"/>
  <c r="AB40"/>
  <c r="AQ34" s="1"/>
  <c r="AA40"/>
  <c r="AS34" s="1"/>
  <c r="AC72"/>
  <c r="AR42" s="1"/>
  <c r="AA72"/>
  <c r="AS42" s="1"/>
  <c r="AB72"/>
  <c r="AQ42" s="1"/>
  <c r="AC41"/>
  <c r="AB41"/>
  <c r="AA41"/>
  <c r="AC33"/>
  <c r="AB33"/>
  <c r="AA33"/>
  <c r="AC65"/>
  <c r="AB65"/>
  <c r="AA65"/>
  <c r="AB44"/>
  <c r="AQ35" s="1"/>
  <c r="AA44"/>
  <c r="AS35" s="1"/>
  <c r="AC44"/>
  <c r="AR35" s="1"/>
  <c r="AE44"/>
  <c r="AH32"/>
  <c r="AG32"/>
  <c r="AF32"/>
  <c r="L12" i="6"/>
  <c r="AH64" i="1"/>
  <c r="AG64"/>
  <c r="AF64"/>
  <c r="L62" i="6"/>
  <c r="AJ60" i="1"/>
  <c r="L68" i="6"/>
  <c r="O68" s="1"/>
  <c r="AJ67" i="1"/>
  <c r="AH57"/>
  <c r="AG57"/>
  <c r="AF57"/>
  <c r="AH49"/>
  <c r="AG49"/>
  <c r="AF49"/>
  <c r="AG45"/>
  <c r="AF45"/>
  <c r="AH45"/>
  <c r="L64" i="6"/>
  <c r="N64" s="1"/>
  <c r="AJ63" i="1"/>
  <c r="AG60"/>
  <c r="AH60"/>
  <c r="AF60"/>
  <c r="AG37"/>
  <c r="AF37"/>
  <c r="AH37"/>
  <c r="L48" i="6"/>
  <c r="M48" s="1"/>
  <c r="AJ51" i="1"/>
  <c r="AG20"/>
  <c r="AF20"/>
  <c r="AH20"/>
  <c r="AH81"/>
  <c r="AG81"/>
  <c r="AF81"/>
  <c r="AB53"/>
  <c r="AQ55" s="1"/>
  <c r="AA53"/>
  <c r="AC53"/>
  <c r="AR55" s="1"/>
  <c r="AB29"/>
  <c r="AA29"/>
  <c r="AC29"/>
  <c r="AB61"/>
  <c r="AC61"/>
  <c r="AA61"/>
  <c r="AC24"/>
  <c r="AR30" s="1"/>
  <c r="AB24"/>
  <c r="AQ30" s="1"/>
  <c r="AA24"/>
  <c r="AS30" s="1"/>
  <c r="AB36"/>
  <c r="AQ33" s="1"/>
  <c r="AA36"/>
  <c r="AS33" s="1"/>
  <c r="AC36"/>
  <c r="AR33" s="1"/>
  <c r="AC49"/>
  <c r="AA49"/>
  <c r="AB49"/>
  <c r="AG52"/>
  <c r="AF52"/>
  <c r="AH52"/>
  <c r="AH24"/>
  <c r="AG24"/>
  <c r="AF24"/>
  <c r="AB37"/>
  <c r="AQ51" s="1"/>
  <c r="AA37"/>
  <c r="AC37"/>
  <c r="AR51" s="1"/>
  <c r="AB69"/>
  <c r="AA69"/>
  <c r="AC69"/>
  <c r="AB45"/>
  <c r="AQ53" s="1"/>
  <c r="AA45"/>
  <c r="AC45"/>
  <c r="AR53" s="1"/>
  <c r="AC73"/>
  <c r="AB73"/>
  <c r="AA73"/>
  <c r="AS60" s="1"/>
  <c r="AB68"/>
  <c r="AQ41" s="1"/>
  <c r="AA68"/>
  <c r="AS41" s="1"/>
  <c r="AC68"/>
  <c r="AR41" s="1"/>
  <c r="AH33"/>
  <c r="AG33"/>
  <c r="AF33"/>
  <c r="AC64"/>
  <c r="AR40" s="1"/>
  <c r="AB64"/>
  <c r="AQ40" s="1"/>
  <c r="AA64"/>
  <c r="AS40" s="1"/>
  <c r="AB28"/>
  <c r="AQ31" s="1"/>
  <c r="AA28"/>
  <c r="AS31" s="1"/>
  <c r="AC28"/>
  <c r="AR31" s="1"/>
  <c r="AG12"/>
  <c r="AH12"/>
  <c r="AF12"/>
  <c r="AE17"/>
  <c r="AE16"/>
  <c r="AJ77"/>
  <c r="AJ81"/>
  <c r="D20" i="6"/>
  <c r="C11"/>
  <c r="E22" i="9" s="1"/>
  <c r="D15" i="6"/>
  <c r="C47"/>
  <c r="AJ17" i="1"/>
  <c r="E35" i="6"/>
  <c r="E59"/>
  <c r="D16"/>
  <c r="C59"/>
  <c r="E15"/>
  <c r="AJ76" i="1"/>
  <c r="D47" i="6"/>
  <c r="D35"/>
  <c r="E16"/>
  <c r="E43"/>
  <c r="E11"/>
  <c r="C43"/>
  <c r="E30" i="9" s="1"/>
  <c r="C20" i="6"/>
  <c r="L40"/>
  <c r="N40" s="1"/>
  <c r="L84"/>
  <c r="E12"/>
  <c r="C12"/>
  <c r="E38" i="9" s="1"/>
  <c r="E24"/>
  <c r="E18"/>
  <c r="E16"/>
  <c r="E14"/>
  <c r="E12"/>
  <c r="E10"/>
  <c r="E8"/>
  <c r="E27"/>
  <c r="E25"/>
  <c r="E23"/>
  <c r="E39"/>
  <c r="E7"/>
  <c r="E17"/>
  <c r="E15"/>
  <c r="E13"/>
  <c r="E11"/>
  <c r="E9"/>
  <c r="E32"/>
  <c r="E28"/>
  <c r="E41"/>
  <c r="D6"/>
  <c r="G24" i="6"/>
  <c r="H24" s="1"/>
  <c r="G19"/>
  <c r="I19" s="1"/>
  <c r="G40"/>
  <c r="G55"/>
  <c r="G76"/>
  <c r="G12"/>
  <c r="G28"/>
  <c r="G39"/>
  <c r="G64"/>
  <c r="G75"/>
  <c r="G11"/>
  <c r="G15"/>
  <c r="G20"/>
  <c r="G31"/>
  <c r="G36"/>
  <c r="G47"/>
  <c r="G56"/>
  <c r="G67"/>
  <c r="G72"/>
  <c r="G35"/>
  <c r="G60"/>
  <c r="G71"/>
  <c r="G23"/>
  <c r="G44"/>
  <c r="G59"/>
  <c r="G16"/>
  <c r="G27"/>
  <c r="G32"/>
  <c r="G43"/>
  <c r="G48"/>
  <c r="G63"/>
  <c r="G68"/>
  <c r="E6" i="9" l="1"/>
  <c r="AR60" i="1"/>
  <c r="AR59"/>
  <c r="AQ59"/>
  <c r="AS59"/>
  <c r="AS55"/>
  <c r="AS51"/>
  <c r="AC83" a="1"/>
  <c r="AB83" a="1"/>
  <c r="AB83" s="1"/>
  <c r="AC83"/>
  <c r="AC84" s="1"/>
  <c r="AQ60"/>
  <c r="AS46"/>
  <c r="AQ46"/>
  <c r="AR46"/>
  <c r="AS53"/>
  <c r="C6" i="9"/>
  <c r="AR49" i="1"/>
  <c r="AT11"/>
  <c r="AQ49"/>
  <c r="AQ47"/>
  <c r="AR47"/>
  <c r="AS47"/>
  <c r="AS48"/>
  <c r="AR48"/>
  <c r="AV11"/>
  <c r="AU11"/>
  <c r="AQ48"/>
  <c r="E43" i="9"/>
  <c r="AV10" i="1"/>
  <c r="AS49"/>
  <c r="AQ50"/>
  <c r="AT10"/>
  <c r="AS50"/>
  <c r="AR50"/>
  <c r="AU10"/>
  <c r="AS52"/>
  <c r="AR52"/>
  <c r="AQ52"/>
  <c r="AR36"/>
  <c r="AS36"/>
  <c r="AQ36"/>
  <c r="AS54"/>
  <c r="AQ54"/>
  <c r="AR54"/>
  <c r="AS56"/>
  <c r="AQ56"/>
  <c r="AR56"/>
  <c r="AS57"/>
  <c r="AQ57"/>
  <c r="AR57"/>
  <c r="AS58"/>
  <c r="AR58"/>
  <c r="AQ58"/>
  <c r="AT12"/>
  <c r="AU9"/>
  <c r="AV57"/>
  <c r="AU56"/>
  <c r="AT55"/>
  <c r="AV53"/>
  <c r="AT44"/>
  <c r="AV42"/>
  <c r="AU41"/>
  <c r="AU26"/>
  <c r="AT25"/>
  <c r="AV23"/>
  <c r="AU22"/>
  <c r="AT21"/>
  <c r="AV19"/>
  <c r="AU18"/>
  <c r="AT17"/>
  <c r="AV15"/>
  <c r="AU14"/>
  <c r="AT13"/>
  <c r="AV9"/>
  <c r="AV62"/>
  <c r="AV58"/>
  <c r="AU57"/>
  <c r="AT56"/>
  <c r="AV43"/>
  <c r="AU42"/>
  <c r="AT41"/>
  <c r="AV39"/>
  <c r="AT26"/>
  <c r="AV24"/>
  <c r="AU23"/>
  <c r="AT22"/>
  <c r="AV20"/>
  <c r="AU19"/>
  <c r="AT18"/>
  <c r="AV16"/>
  <c r="AU15"/>
  <c r="AT14"/>
  <c r="AV12"/>
  <c r="AU62"/>
  <c r="AU58"/>
  <c r="AT57"/>
  <c r="AV55"/>
  <c r="AV44"/>
  <c r="AU43"/>
  <c r="AT42"/>
  <c r="AU39"/>
  <c r="AV25"/>
  <c r="AU24"/>
  <c r="AT23"/>
  <c r="AV21"/>
  <c r="AU20"/>
  <c r="AT19"/>
  <c r="AV17"/>
  <c r="AU16"/>
  <c r="AT15"/>
  <c r="AV13"/>
  <c r="AU12"/>
  <c r="AT9"/>
  <c r="AT62"/>
  <c r="AT58"/>
  <c r="AV56"/>
  <c r="AU55"/>
  <c r="AU44"/>
  <c r="AT43"/>
  <c r="AV41"/>
  <c r="AT39"/>
  <c r="AV37"/>
  <c r="AV26"/>
  <c r="AU25"/>
  <c r="AT24"/>
  <c r="AV22"/>
  <c r="AU21"/>
  <c r="AT20"/>
  <c r="AV18"/>
  <c r="AU17"/>
  <c r="AT16"/>
  <c r="AV14"/>
  <c r="AU13"/>
  <c r="E47" i="9"/>
  <c r="E42"/>
  <c r="E20"/>
  <c r="E53"/>
  <c r="E21"/>
  <c r="E52"/>
  <c r="E36"/>
  <c r="E19"/>
  <c r="E51"/>
  <c r="E37"/>
  <c r="L14" i="6"/>
  <c r="E35" i="9"/>
  <c r="E33"/>
  <c r="E44"/>
  <c r="E45"/>
  <c r="E48"/>
  <c r="E50"/>
  <c r="M64" i="6"/>
  <c r="M55"/>
  <c r="AJ15" i="1"/>
  <c r="E46" i="9"/>
  <c r="N48" i="6"/>
  <c r="M60"/>
  <c r="O64"/>
  <c r="O75"/>
  <c r="O55"/>
  <c r="E31" i="9"/>
  <c r="M68" i="6"/>
  <c r="N71"/>
  <c r="N68"/>
  <c r="O71"/>
  <c r="L15"/>
  <c r="M15" s="1"/>
  <c r="E49" i="9"/>
  <c r="N12" i="6"/>
  <c r="M12"/>
  <c r="N60"/>
  <c r="O48"/>
  <c r="L18"/>
  <c r="N75"/>
  <c r="L31"/>
  <c r="M31" s="1"/>
  <c r="AJ33" i="1"/>
  <c r="L58" i="6"/>
  <c r="AJ56" i="1"/>
  <c r="L27" i="6"/>
  <c r="N27" s="1"/>
  <c r="AJ29" i="1"/>
  <c r="L20" i="6"/>
  <c r="N20" s="1"/>
  <c r="AJ23" i="1"/>
  <c r="L19" i="6"/>
  <c r="O19" s="1"/>
  <c r="AJ21" i="1"/>
  <c r="L30" i="6"/>
  <c r="AJ32" i="1"/>
  <c r="L36" i="6"/>
  <c r="O36" s="1"/>
  <c r="AJ39" i="1"/>
  <c r="L24" i="6"/>
  <c r="O24" s="1"/>
  <c r="AJ27" i="1"/>
  <c r="AM81"/>
  <c r="AL81"/>
  <c r="AK81"/>
  <c r="L59" i="6"/>
  <c r="AJ57" i="1"/>
  <c r="L63" i="6"/>
  <c r="AJ61" i="1"/>
  <c r="AL60"/>
  <c r="AM60"/>
  <c r="AK60"/>
  <c r="AG44"/>
  <c r="AT37" s="1"/>
  <c r="AH44"/>
  <c r="AU37" s="1"/>
  <c r="AH48"/>
  <c r="AU52" s="1"/>
  <c r="AF48"/>
  <c r="AV52" s="1"/>
  <c r="AG48"/>
  <c r="AT52" s="1"/>
  <c r="L46" i="6"/>
  <c r="AJ48" i="1"/>
  <c r="AL69"/>
  <c r="AM69"/>
  <c r="AK69"/>
  <c r="AH80"/>
  <c r="AG80"/>
  <c r="AT60" s="1"/>
  <c r="AF80"/>
  <c r="L70" i="6"/>
  <c r="AJ68" i="1"/>
  <c r="L72" i="6"/>
  <c r="AJ71" i="1"/>
  <c r="L44" i="6"/>
  <c r="AJ47" i="1"/>
  <c r="AL20"/>
  <c r="AK20"/>
  <c r="AM20"/>
  <c r="L26" i="6"/>
  <c r="AJ28" i="1"/>
  <c r="AL76"/>
  <c r="AK76"/>
  <c r="AM76"/>
  <c r="L43" i="6"/>
  <c r="M43" s="1"/>
  <c r="AJ45" i="1"/>
  <c r="L35" i="6"/>
  <c r="O35" s="1"/>
  <c r="AJ37" i="1"/>
  <c r="L54" i="6"/>
  <c r="AJ52" i="1"/>
  <c r="L56" i="6"/>
  <c r="O56" s="1"/>
  <c r="AJ55" i="1"/>
  <c r="L16" i="6"/>
  <c r="N16" s="1"/>
  <c r="AJ19" i="1"/>
  <c r="L22" i="6"/>
  <c r="AJ24" i="1"/>
  <c r="L39" i="6"/>
  <c r="O39" s="1"/>
  <c r="AJ41" i="1"/>
  <c r="L32" i="6"/>
  <c r="N32" s="1"/>
  <c r="AJ35" i="1"/>
  <c r="L66" i="6"/>
  <c r="AJ64" i="1"/>
  <c r="L47" i="6"/>
  <c r="O47" s="1"/>
  <c r="AJ49" i="1"/>
  <c r="AL77"/>
  <c r="AK77"/>
  <c r="AM77"/>
  <c r="L23" i="6"/>
  <c r="AJ25" i="1"/>
  <c r="L67" i="6"/>
  <c r="N67" s="1"/>
  <c r="AJ65" i="1"/>
  <c r="L34" i="6"/>
  <c r="AJ36" i="1"/>
  <c r="L28" i="6"/>
  <c r="AJ31" i="1"/>
  <c r="L38" i="6"/>
  <c r="AJ40" i="1"/>
  <c r="AH56"/>
  <c r="AU40" s="1"/>
  <c r="AF56"/>
  <c r="AV40" s="1"/>
  <c r="AG56"/>
  <c r="AT40" s="1"/>
  <c r="L74" i="6"/>
  <c r="AJ72" i="1"/>
  <c r="AG76"/>
  <c r="AH76"/>
  <c r="AF76"/>
  <c r="AL53"/>
  <c r="AK53"/>
  <c r="AM53"/>
  <c r="AM73"/>
  <c r="AL73"/>
  <c r="AK73"/>
  <c r="AG36"/>
  <c r="AT35" s="1"/>
  <c r="AF36"/>
  <c r="AV35" s="1"/>
  <c r="AH36"/>
  <c r="AU35" s="1"/>
  <c r="AG28"/>
  <c r="AF28"/>
  <c r="AH28"/>
  <c r="AL44"/>
  <c r="AK44"/>
  <c r="AM44"/>
  <c r="M47" i="6"/>
  <c r="O12"/>
  <c r="L11"/>
  <c r="O11" s="1"/>
  <c r="AJ13" i="1"/>
  <c r="L76" i="6"/>
  <c r="N76" s="1"/>
  <c r="AJ11" i="1"/>
  <c r="AM17"/>
  <c r="AL17"/>
  <c r="AK17"/>
  <c r="L10" i="6"/>
  <c r="AJ12" i="1"/>
  <c r="AH16"/>
  <c r="AU30" s="1"/>
  <c r="AG16"/>
  <c r="AT30" s="1"/>
  <c r="AF16"/>
  <c r="AV30" s="1"/>
  <c r="AH17"/>
  <c r="AU49" s="1"/>
  <c r="AG17"/>
  <c r="AT49" s="1"/>
  <c r="AF17"/>
  <c r="AV49" s="1"/>
  <c r="AM16"/>
  <c r="AL16"/>
  <c r="AK16"/>
  <c r="E40" i="9"/>
  <c r="D86" i="6"/>
  <c r="E86"/>
  <c r="E87" s="1"/>
  <c r="O40"/>
  <c r="M40"/>
  <c r="N84"/>
  <c r="O84"/>
  <c r="M84"/>
  <c r="I24"/>
  <c r="J24"/>
  <c r="H19"/>
  <c r="J19"/>
  <c r="G10"/>
  <c r="I63"/>
  <c r="H63"/>
  <c r="J63"/>
  <c r="I71"/>
  <c r="H71"/>
  <c r="J71"/>
  <c r="H47"/>
  <c r="J47"/>
  <c r="I47"/>
  <c r="J75"/>
  <c r="H75"/>
  <c r="I75"/>
  <c r="H68"/>
  <c r="J68"/>
  <c r="I68"/>
  <c r="J56"/>
  <c r="H56"/>
  <c r="I56"/>
  <c r="I11"/>
  <c r="H11"/>
  <c r="J11"/>
  <c r="H32"/>
  <c r="J32"/>
  <c r="I32"/>
  <c r="J60"/>
  <c r="H60"/>
  <c r="I60"/>
  <c r="J67"/>
  <c r="H67"/>
  <c r="I67"/>
  <c r="I20"/>
  <c r="H20"/>
  <c r="J20"/>
  <c r="I64"/>
  <c r="J64"/>
  <c r="H64"/>
  <c r="I55"/>
  <c r="J55"/>
  <c r="H55"/>
  <c r="G38"/>
  <c r="G26"/>
  <c r="G30"/>
  <c r="G58"/>
  <c r="G34"/>
  <c r="G42"/>
  <c r="G18"/>
  <c r="H16"/>
  <c r="I16"/>
  <c r="J16"/>
  <c r="I44"/>
  <c r="H44"/>
  <c r="J44"/>
  <c r="I72"/>
  <c r="H72"/>
  <c r="J72"/>
  <c r="I28"/>
  <c r="J28"/>
  <c r="H28"/>
  <c r="I43"/>
  <c r="J43"/>
  <c r="H43"/>
  <c r="H59"/>
  <c r="J59"/>
  <c r="I59"/>
  <c r="J35"/>
  <c r="H35"/>
  <c r="I35"/>
  <c r="J31"/>
  <c r="H31"/>
  <c r="I31"/>
  <c r="J39"/>
  <c r="H39"/>
  <c r="I39"/>
  <c r="H76"/>
  <c r="J76"/>
  <c r="I76"/>
  <c r="J48"/>
  <c r="H48"/>
  <c r="I48"/>
  <c r="I27"/>
  <c r="H27"/>
  <c r="J27"/>
  <c r="J23"/>
  <c r="H23"/>
  <c r="I23"/>
  <c r="I36"/>
  <c r="H36"/>
  <c r="J36"/>
  <c r="H15"/>
  <c r="I15"/>
  <c r="J15"/>
  <c r="I12"/>
  <c r="J12"/>
  <c r="H12"/>
  <c r="H40"/>
  <c r="J40"/>
  <c r="I40"/>
  <c r="G14"/>
  <c r="G66"/>
  <c r="G22"/>
  <c r="G74"/>
  <c r="G70"/>
  <c r="G46"/>
  <c r="G62"/>
  <c r="G54"/>
  <c r="AV33" i="1" l="1"/>
  <c r="AU33"/>
  <c r="AT33"/>
  <c r="AQ63"/>
  <c r="AQ72" s="1"/>
  <c r="AG83" a="1"/>
  <c r="AH83" a="1"/>
  <c r="AR63" a="1"/>
  <c r="AR63" s="1"/>
  <c r="AR64" s="1"/>
  <c r="AH83"/>
  <c r="AH84" s="1"/>
  <c r="AG83"/>
  <c r="N15" i="6"/>
  <c r="AU29" i="1"/>
  <c r="AV29"/>
  <c r="AT29"/>
  <c r="AU47"/>
  <c r="AV61"/>
  <c r="AT47"/>
  <c r="AU50"/>
  <c r="AT50"/>
  <c r="AV50"/>
  <c r="AU51"/>
  <c r="AV51"/>
  <c r="AT51"/>
  <c r="AV27"/>
  <c r="AV48"/>
  <c r="AU48"/>
  <c r="AT48"/>
  <c r="AU53"/>
  <c r="AT36"/>
  <c r="AU36"/>
  <c r="AT53"/>
  <c r="AV54"/>
  <c r="AU31"/>
  <c r="AU54"/>
  <c r="AT32"/>
  <c r="AT54"/>
  <c r="AV38"/>
  <c r="AT31"/>
  <c r="AT34"/>
  <c r="AU34"/>
  <c r="AV46"/>
  <c r="AU27"/>
  <c r="AT38"/>
  <c r="AU38"/>
  <c r="AU32"/>
  <c r="AT46"/>
  <c r="AV32"/>
  <c r="AV36"/>
  <c r="AV31"/>
  <c r="AV34"/>
  <c r="AU45"/>
  <c r="AV45"/>
  <c r="AT45"/>
  <c r="AT27"/>
  <c r="AU59"/>
  <c r="AV59"/>
  <c r="AT59"/>
  <c r="AV47"/>
  <c r="AU46"/>
  <c r="AU61"/>
  <c r="AV60"/>
  <c r="AU60"/>
  <c r="AT28"/>
  <c r="AT61"/>
  <c r="AV28"/>
  <c r="AU28"/>
  <c r="AX10"/>
  <c r="BA10" s="1"/>
  <c r="AW11"/>
  <c r="AY11"/>
  <c r="BB11" s="1"/>
  <c r="AX12"/>
  <c r="BA12" s="1"/>
  <c r="AW13"/>
  <c r="AZ13" s="1"/>
  <c r="AY13"/>
  <c r="BB13" s="1"/>
  <c r="AX14"/>
  <c r="BA14" s="1"/>
  <c r="AW15"/>
  <c r="AZ15" s="1"/>
  <c r="AY15"/>
  <c r="BB15" s="1"/>
  <c r="AX16"/>
  <c r="BA16" s="1"/>
  <c r="AW17"/>
  <c r="AZ17" s="1"/>
  <c r="AY17"/>
  <c r="BB17" s="1"/>
  <c r="AX18"/>
  <c r="BA18" s="1"/>
  <c r="AW19"/>
  <c r="AZ19" s="1"/>
  <c r="AY19"/>
  <c r="BB19" s="1"/>
  <c r="AX20"/>
  <c r="BA20" s="1"/>
  <c r="AW21"/>
  <c r="AZ21" s="1"/>
  <c r="AY21"/>
  <c r="BB21" s="1"/>
  <c r="AX22"/>
  <c r="AW23"/>
  <c r="AY23"/>
  <c r="AX24"/>
  <c r="AW25"/>
  <c r="AY25"/>
  <c r="AX26"/>
  <c r="AX39"/>
  <c r="BA39" s="1"/>
  <c r="AX43"/>
  <c r="AW61"/>
  <c r="AY61"/>
  <c r="AX9"/>
  <c r="AW10"/>
  <c r="AZ10" s="1"/>
  <c r="AY10"/>
  <c r="BB10" s="1"/>
  <c r="AX11"/>
  <c r="BA11" s="1"/>
  <c r="AW12"/>
  <c r="AZ12" s="1"/>
  <c r="AY12"/>
  <c r="BB12" s="1"/>
  <c r="AX13"/>
  <c r="BA13" s="1"/>
  <c r="AW14"/>
  <c r="AZ14" s="1"/>
  <c r="AY14"/>
  <c r="BB14" s="1"/>
  <c r="AX15"/>
  <c r="BA15" s="1"/>
  <c r="AW16"/>
  <c r="AZ16" s="1"/>
  <c r="AY16"/>
  <c r="BB16" s="1"/>
  <c r="AX17"/>
  <c r="BA17" s="1"/>
  <c r="AW18"/>
  <c r="AZ18" s="1"/>
  <c r="AY18"/>
  <c r="BB18" s="1"/>
  <c r="AX19"/>
  <c r="BA19" s="1"/>
  <c r="AW20"/>
  <c r="AZ20" s="1"/>
  <c r="AY20"/>
  <c r="BB20" s="1"/>
  <c r="AX21"/>
  <c r="BA21" s="1"/>
  <c r="AW22"/>
  <c r="AY22"/>
  <c r="AX23"/>
  <c r="AW24"/>
  <c r="AY24"/>
  <c r="AX25"/>
  <c r="AW26"/>
  <c r="AY26"/>
  <c r="AW39"/>
  <c r="AZ39" s="1"/>
  <c r="AY39"/>
  <c r="BB39" s="1"/>
  <c r="AW43"/>
  <c r="AY43"/>
  <c r="AX61"/>
  <c r="AY9"/>
  <c r="BB9" s="1"/>
  <c r="AW9"/>
  <c r="O20" i="6"/>
  <c r="N24"/>
  <c r="AQ70" i="1"/>
  <c r="AQ71"/>
  <c r="AQ68"/>
  <c r="AQ67"/>
  <c r="AZ11"/>
  <c r="O15" i="6"/>
  <c r="J28" i="9" s="1"/>
  <c r="O27" i="6"/>
  <c r="O32"/>
  <c r="J14" i="9" s="1"/>
  <c r="O16" i="6"/>
  <c r="J10" i="9" s="1"/>
  <c r="N47" i="6"/>
  <c r="N31"/>
  <c r="O43"/>
  <c r="M19"/>
  <c r="N36"/>
  <c r="I14" i="9" s="1"/>
  <c r="M24" i="6"/>
  <c r="N35"/>
  <c r="N56"/>
  <c r="I32" i="9" s="1"/>
  <c r="M39" i="6"/>
  <c r="O31"/>
  <c r="J46" i="9" s="1"/>
  <c r="N43" i="6"/>
  <c r="M35"/>
  <c r="M56"/>
  <c r="K31" i="9" s="1"/>
  <c r="M27" i="6"/>
  <c r="N39"/>
  <c r="M16"/>
  <c r="N19"/>
  <c r="M20"/>
  <c r="K10" i="9" s="1"/>
  <c r="M32" i="6"/>
  <c r="M36"/>
  <c r="K28" i="9" s="1"/>
  <c r="I33"/>
  <c r="I10"/>
  <c r="AM40" i="1"/>
  <c r="AL40"/>
  <c r="AK40"/>
  <c r="AL36"/>
  <c r="AK36"/>
  <c r="AM36"/>
  <c r="AK65"/>
  <c r="AM65"/>
  <c r="AL65"/>
  <c r="AM25"/>
  <c r="AL25"/>
  <c r="AK25"/>
  <c r="AL28"/>
  <c r="AK28"/>
  <c r="AM28"/>
  <c r="O44" i="6"/>
  <c r="J15" i="9" s="1"/>
  <c r="M44" i="6"/>
  <c r="N44"/>
  <c r="I17" i="9" s="1"/>
  <c r="N72" i="6"/>
  <c r="M72"/>
  <c r="O72"/>
  <c r="AL61" i="1"/>
  <c r="AM61"/>
  <c r="AK61"/>
  <c r="AM57"/>
  <c r="AX62" s="1"/>
  <c r="AK57"/>
  <c r="AY62" s="1"/>
  <c r="AL57"/>
  <c r="AW62" s="1"/>
  <c r="AM72"/>
  <c r="AK72"/>
  <c r="AL72"/>
  <c r="N28" i="6"/>
  <c r="M28"/>
  <c r="K26" i="9" s="1"/>
  <c r="O28" i="6"/>
  <c r="J12" i="9" s="1"/>
  <c r="M67" i="6"/>
  <c r="O67"/>
  <c r="O23"/>
  <c r="N23"/>
  <c r="M23"/>
  <c r="AM49" i="1"/>
  <c r="AX60" s="1"/>
  <c r="AK49"/>
  <c r="AY60" s="1"/>
  <c r="AL49"/>
  <c r="AW60" s="1"/>
  <c r="AM64"/>
  <c r="AX44" s="1"/>
  <c r="AL64"/>
  <c r="AW44" s="1"/>
  <c r="AK64"/>
  <c r="AY44" s="1"/>
  <c r="AM41"/>
  <c r="AL41"/>
  <c r="AW58" s="1"/>
  <c r="AK41"/>
  <c r="AY58" s="1"/>
  <c r="AM24"/>
  <c r="AL24"/>
  <c r="AK24"/>
  <c r="AL52"/>
  <c r="AW41" s="1"/>
  <c r="AK52"/>
  <c r="AY41" s="1"/>
  <c r="AM52"/>
  <c r="AX41" s="1"/>
  <c r="AL37"/>
  <c r="AW57" s="1"/>
  <c r="AK37"/>
  <c r="AY57" s="1"/>
  <c r="AM37"/>
  <c r="AX57" s="1"/>
  <c r="AL45"/>
  <c r="AW59" s="1"/>
  <c r="AK45"/>
  <c r="AY59" s="1"/>
  <c r="AM45"/>
  <c r="AX59" s="1"/>
  <c r="AL68"/>
  <c r="AK68"/>
  <c r="AM68"/>
  <c r="AM48"/>
  <c r="AX40" s="1"/>
  <c r="AL48"/>
  <c r="AW40" s="1"/>
  <c r="AK48"/>
  <c r="AY40" s="1"/>
  <c r="M63" i="6"/>
  <c r="O63"/>
  <c r="J35" i="9" s="1"/>
  <c r="N63" i="6"/>
  <c r="M59"/>
  <c r="O59"/>
  <c r="N59"/>
  <c r="AM32" i="1"/>
  <c r="AL32"/>
  <c r="AK32"/>
  <c r="AL21"/>
  <c r="AK21"/>
  <c r="AM21"/>
  <c r="AL29"/>
  <c r="AK29"/>
  <c r="AM29"/>
  <c r="AM56"/>
  <c r="AX42" s="1"/>
  <c r="AL56"/>
  <c r="AW42" s="1"/>
  <c r="AK56"/>
  <c r="AY42" s="1"/>
  <c r="AM33"/>
  <c r="AX56" s="1"/>
  <c r="AL33"/>
  <c r="AW56" s="1"/>
  <c r="AK33"/>
  <c r="AY56" s="1"/>
  <c r="J19" i="9"/>
  <c r="J29"/>
  <c r="I22"/>
  <c r="J16"/>
  <c r="I8"/>
  <c r="I16"/>
  <c r="J23"/>
  <c r="K23"/>
  <c r="J32"/>
  <c r="J20"/>
  <c r="K34"/>
  <c r="K29"/>
  <c r="N11" i="6"/>
  <c r="M11"/>
  <c r="K24" i="9"/>
  <c r="I9"/>
  <c r="J18"/>
  <c r="J37"/>
  <c r="J33"/>
  <c r="J31"/>
  <c r="J27"/>
  <c r="I23"/>
  <c r="I34"/>
  <c r="J30"/>
  <c r="I26"/>
  <c r="K30"/>
  <c r="K18"/>
  <c r="I18"/>
  <c r="J34"/>
  <c r="I29"/>
  <c r="K33"/>
  <c r="M76" i="6"/>
  <c r="O76"/>
  <c r="AL12" i="1"/>
  <c r="AM12"/>
  <c r="AK12"/>
  <c r="AY31" s="1"/>
  <c r="AK13"/>
  <c r="AL13"/>
  <c r="AM13"/>
  <c r="K16" i="9"/>
  <c r="H20"/>
  <c r="H16"/>
  <c r="H12"/>
  <c r="H8"/>
  <c r="H37"/>
  <c r="H29"/>
  <c r="H25"/>
  <c r="H53"/>
  <c r="H49"/>
  <c r="H45"/>
  <c r="H41"/>
  <c r="H7"/>
  <c r="H21"/>
  <c r="H17"/>
  <c r="H13"/>
  <c r="H9"/>
  <c r="H34"/>
  <c r="H30"/>
  <c r="H26"/>
  <c r="H38"/>
  <c r="H52"/>
  <c r="H18"/>
  <c r="H14"/>
  <c r="H10"/>
  <c r="H35"/>
  <c r="H33"/>
  <c r="H31"/>
  <c r="H27"/>
  <c r="H23"/>
  <c r="H39"/>
  <c r="H51"/>
  <c r="H47"/>
  <c r="H43"/>
  <c r="H19"/>
  <c r="H15"/>
  <c r="H11"/>
  <c r="H22"/>
  <c r="H36"/>
  <c r="H32"/>
  <c r="H28"/>
  <c r="H6"/>
  <c r="H40"/>
  <c r="H50"/>
  <c r="H46"/>
  <c r="H42"/>
  <c r="H24"/>
  <c r="H48"/>
  <c r="H44"/>
  <c r="J86" i="6"/>
  <c r="J87" s="1"/>
  <c r="I86"/>
  <c r="F24" i="9"/>
  <c r="F12"/>
  <c r="F8"/>
  <c r="G24"/>
  <c r="G16"/>
  <c r="G12"/>
  <c r="G8"/>
  <c r="F35"/>
  <c r="F16"/>
  <c r="G35"/>
  <c r="F22"/>
  <c r="F10"/>
  <c r="G22"/>
  <c r="G14"/>
  <c r="G10"/>
  <c r="F14"/>
  <c r="F23"/>
  <c r="F33"/>
  <c r="F7"/>
  <c r="F37"/>
  <c r="F6"/>
  <c r="F17"/>
  <c r="F11"/>
  <c r="F20"/>
  <c r="F15"/>
  <c r="F31"/>
  <c r="AW36" i="1" l="1"/>
  <c r="AZ36" s="1"/>
  <c r="AY55"/>
  <c r="BB55" s="1"/>
  <c r="AX36"/>
  <c r="BA36" s="1"/>
  <c r="BD36" s="1"/>
  <c r="AT63"/>
  <c r="AT72" s="1"/>
  <c r="AM83" a="1"/>
  <c r="AM83" s="1"/>
  <c r="AM84" s="1"/>
  <c r="AL83" a="1"/>
  <c r="AL83" s="1"/>
  <c r="AU63" a="1"/>
  <c r="AU63" s="1"/>
  <c r="AU64" s="1"/>
  <c r="AW38"/>
  <c r="AZ38" s="1"/>
  <c r="AX31"/>
  <c r="BA31" s="1"/>
  <c r="BD31" s="1"/>
  <c r="AW31"/>
  <c r="AZ31" s="1"/>
  <c r="AX55"/>
  <c r="BA55" s="1"/>
  <c r="BD55" s="1"/>
  <c r="AW55"/>
  <c r="AZ55" s="1"/>
  <c r="AY36"/>
  <c r="BB36" s="1"/>
  <c r="AY51"/>
  <c r="BB51" s="1"/>
  <c r="BA9"/>
  <c r="AZ9"/>
  <c r="AX35"/>
  <c r="BA35" s="1"/>
  <c r="BD35" s="1"/>
  <c r="AW35"/>
  <c r="AZ35" s="1"/>
  <c r="AY35"/>
  <c r="BB35" s="1"/>
  <c r="AX52"/>
  <c r="BA52" s="1"/>
  <c r="BD52" s="1"/>
  <c r="AX32"/>
  <c r="BA32" s="1"/>
  <c r="BC32" s="1"/>
  <c r="AW51"/>
  <c r="AZ51" s="1"/>
  <c r="AY32"/>
  <c r="BB32" s="1"/>
  <c r="AW32"/>
  <c r="AZ32" s="1"/>
  <c r="AY53"/>
  <c r="BB53" s="1"/>
  <c r="AY34"/>
  <c r="BB34" s="1"/>
  <c r="AX34"/>
  <c r="BA34" s="1"/>
  <c r="BD34" s="1"/>
  <c r="AY54"/>
  <c r="BB54" s="1"/>
  <c r="AX54"/>
  <c r="BA54" s="1"/>
  <c r="BD54" s="1"/>
  <c r="AX37"/>
  <c r="BA37" s="1"/>
  <c r="BC37" s="1"/>
  <c r="AW54"/>
  <c r="AZ54" s="1"/>
  <c r="AY52"/>
  <c r="BB52" s="1"/>
  <c r="AW37"/>
  <c r="AZ37" s="1"/>
  <c r="AX33"/>
  <c r="BA33" s="1"/>
  <c r="BC33" s="1"/>
  <c r="AX51"/>
  <c r="BA51" s="1"/>
  <c r="AX53"/>
  <c r="BA53" s="1"/>
  <c r="BD53" s="1"/>
  <c r="AW53"/>
  <c r="AZ53" s="1"/>
  <c r="AW34"/>
  <c r="AZ34" s="1"/>
  <c r="I11" i="9"/>
  <c r="AY37" i="1"/>
  <c r="BB37" s="1"/>
  <c r="AY38"/>
  <c r="BB38" s="1"/>
  <c r="AX38"/>
  <c r="BA38" s="1"/>
  <c r="BD38" s="1"/>
  <c r="AW52"/>
  <c r="AZ52" s="1"/>
  <c r="AW33"/>
  <c r="AZ33" s="1"/>
  <c r="AY33"/>
  <c r="BB33" s="1"/>
  <c r="AX49"/>
  <c r="BA49" s="1"/>
  <c r="BC49" s="1"/>
  <c r="AX50"/>
  <c r="BA50" s="1"/>
  <c r="BC50" s="1"/>
  <c r="AX27"/>
  <c r="BA27" s="1"/>
  <c r="BD27" s="1"/>
  <c r="AW27"/>
  <c r="AZ27" s="1"/>
  <c r="AY50"/>
  <c r="BB50" s="1"/>
  <c r="AW48"/>
  <c r="AZ48" s="1"/>
  <c r="AY45"/>
  <c r="BB45" s="1"/>
  <c r="AX47"/>
  <c r="BA47" s="1"/>
  <c r="BD47" s="1"/>
  <c r="AW46"/>
  <c r="AZ46" s="1"/>
  <c r="AX30"/>
  <c r="BA30" s="1"/>
  <c r="BD30" s="1"/>
  <c r="AY49"/>
  <c r="BB49" s="1"/>
  <c r="AY30"/>
  <c r="BB30" s="1"/>
  <c r="AX58"/>
  <c r="BA58" s="1"/>
  <c r="BC58" s="1"/>
  <c r="AW45"/>
  <c r="AZ45" s="1"/>
  <c r="AX45"/>
  <c r="BA45" s="1"/>
  <c r="BC45" s="1"/>
  <c r="AW50"/>
  <c r="AZ50" s="1"/>
  <c r="AW49"/>
  <c r="AZ49" s="1"/>
  <c r="AW30"/>
  <c r="AZ30" s="1"/>
  <c r="AY46"/>
  <c r="BB46" s="1"/>
  <c r="AX48"/>
  <c r="BA48" s="1"/>
  <c r="BC48" s="1"/>
  <c r="AX46"/>
  <c r="BA46" s="1"/>
  <c r="BC46" s="1"/>
  <c r="AW47"/>
  <c r="AZ47" s="1"/>
  <c r="AY47"/>
  <c r="BB47" s="1"/>
  <c r="AY48"/>
  <c r="BB48" s="1"/>
  <c r="AY27"/>
  <c r="BB27" s="1"/>
  <c r="AW28"/>
  <c r="AZ28" s="1"/>
  <c r="AX28"/>
  <c r="BA28" s="1"/>
  <c r="BC28" s="1"/>
  <c r="AW29"/>
  <c r="AZ29" s="1"/>
  <c r="AY28"/>
  <c r="BB28" s="1"/>
  <c r="AY29"/>
  <c r="BB29" s="1"/>
  <c r="AX29"/>
  <c r="BA29" s="1"/>
  <c r="BD29" s="1"/>
  <c r="K32" i="9"/>
  <c r="N32" s="1"/>
  <c r="I30"/>
  <c r="I31"/>
  <c r="K15"/>
  <c r="N15" s="1"/>
  <c r="I27"/>
  <c r="I48"/>
  <c r="K27"/>
  <c r="N27" s="1"/>
  <c r="AZ56" i="1"/>
  <c r="J47" i="9"/>
  <c r="BA56" i="1"/>
  <c r="BD56" s="1"/>
  <c r="I50" i="9"/>
  <c r="K48"/>
  <c r="N48" s="1"/>
  <c r="I49"/>
  <c r="J50"/>
  <c r="K49"/>
  <c r="N49" s="1"/>
  <c r="BB56" i="1"/>
  <c r="BA57"/>
  <c r="BD57" s="1"/>
  <c r="AZ57"/>
  <c r="K50" i="9"/>
  <c r="N50" s="1"/>
  <c r="BB57" i="1"/>
  <c r="I28" i="9"/>
  <c r="J25"/>
  <c r="I25"/>
  <c r="J26"/>
  <c r="J52"/>
  <c r="J51"/>
  <c r="J36"/>
  <c r="J21"/>
  <c r="J53"/>
  <c r="BB31" i="1"/>
  <c r="K51" i="9"/>
  <c r="N51" s="1"/>
  <c r="I24"/>
  <c r="BB42" i="1"/>
  <c r="I53" i="9"/>
  <c r="K36"/>
  <c r="N36" s="1"/>
  <c r="BB40" i="1"/>
  <c r="BA42"/>
  <c r="BC42" s="1"/>
  <c r="BA40"/>
  <c r="BC40" s="1"/>
  <c r="K22" i="9"/>
  <c r="N22" s="1"/>
  <c r="K37"/>
  <c r="N37" s="1"/>
  <c r="I20"/>
  <c r="I35"/>
  <c r="I19"/>
  <c r="AZ42" i="1"/>
  <c r="AZ40"/>
  <c r="K47" i="9"/>
  <c r="N47" s="1"/>
  <c r="I52"/>
  <c r="K35"/>
  <c r="N35" s="1"/>
  <c r="K53"/>
  <c r="N53" s="1"/>
  <c r="K19"/>
  <c r="N19" s="1"/>
  <c r="K21"/>
  <c r="N21" s="1"/>
  <c r="I36"/>
  <c r="I37"/>
  <c r="I21"/>
  <c r="BA59" i="1"/>
  <c r="BC59" s="1"/>
  <c r="AZ59"/>
  <c r="BA41"/>
  <c r="BC41" s="1"/>
  <c r="AZ41"/>
  <c r="AZ44"/>
  <c r="AZ60"/>
  <c r="BB41"/>
  <c r="AZ58"/>
  <c r="BB44"/>
  <c r="BA44"/>
  <c r="BD44" s="1"/>
  <c r="K52" i="9"/>
  <c r="N52" s="1"/>
  <c r="K20"/>
  <c r="N20" s="1"/>
  <c r="I51"/>
  <c r="BB62" i="1"/>
  <c r="BB26"/>
  <c r="BA25"/>
  <c r="BC25" s="1"/>
  <c r="AZ24"/>
  <c r="BB22"/>
  <c r="BA62"/>
  <c r="BD62" s="1"/>
  <c r="AZ61"/>
  <c r="BB43"/>
  <c r="BB25"/>
  <c r="BA24"/>
  <c r="BC24" s="1"/>
  <c r="AZ23"/>
  <c r="BB58"/>
  <c r="BA60"/>
  <c r="BD60" s="1"/>
  <c r="AZ62"/>
  <c r="BA43"/>
  <c r="BC43" s="1"/>
  <c r="AZ26"/>
  <c r="BB24"/>
  <c r="BA23"/>
  <c r="BC23" s="1"/>
  <c r="AZ22"/>
  <c r="AZ43"/>
  <c r="BA26"/>
  <c r="BD26" s="1"/>
  <c r="AZ25"/>
  <c r="BB23"/>
  <c r="BA22"/>
  <c r="BC22" s="1"/>
  <c r="AQ73"/>
  <c r="AT70"/>
  <c r="BB59"/>
  <c r="BB60"/>
  <c r="BA61"/>
  <c r="BC61" s="1"/>
  <c r="AT68"/>
  <c r="AT67"/>
  <c r="AT71"/>
  <c r="BB61"/>
  <c r="BC39"/>
  <c r="BD39"/>
  <c r="BC12"/>
  <c r="BD12"/>
  <c r="BC21"/>
  <c r="BD21"/>
  <c r="BC17"/>
  <c r="BD17"/>
  <c r="BC13"/>
  <c r="BD13"/>
  <c r="BC18"/>
  <c r="BD18"/>
  <c r="BC14"/>
  <c r="BD14"/>
  <c r="BC10"/>
  <c r="BD10"/>
  <c r="BC19"/>
  <c r="BD19"/>
  <c r="BC15"/>
  <c r="BD15"/>
  <c r="BC11"/>
  <c r="BD11"/>
  <c r="BC20"/>
  <c r="BD20"/>
  <c r="BC16"/>
  <c r="BD16"/>
  <c r="K25" i="9"/>
  <c r="N25" s="1"/>
  <c r="I45"/>
  <c r="J24"/>
  <c r="J42"/>
  <c r="J13"/>
  <c r="J22"/>
  <c r="I46"/>
  <c r="J38"/>
  <c r="J48"/>
  <c r="K46"/>
  <c r="N46" s="1"/>
  <c r="I15"/>
  <c r="I6"/>
  <c r="J17"/>
  <c r="K14"/>
  <c r="N14" s="1"/>
  <c r="J45"/>
  <c r="K17"/>
  <c r="N17" s="1"/>
  <c r="J49"/>
  <c r="I47"/>
  <c r="K42"/>
  <c r="N42" s="1"/>
  <c r="K38"/>
  <c r="N38" s="1"/>
  <c r="J41"/>
  <c r="K13"/>
  <c r="N13" s="1"/>
  <c r="I40"/>
  <c r="I12"/>
  <c r="K9"/>
  <c r="N9" s="1"/>
  <c r="I38"/>
  <c r="J39"/>
  <c r="K40"/>
  <c r="N40" s="1"/>
  <c r="N31"/>
  <c r="N26"/>
  <c r="N34"/>
  <c r="J9"/>
  <c r="I39"/>
  <c r="J40"/>
  <c r="J8"/>
  <c r="K11"/>
  <c r="N11" s="1"/>
  <c r="I41"/>
  <c r="J11"/>
  <c r="N16"/>
  <c r="K12"/>
  <c r="N12" s="1"/>
  <c r="I13"/>
  <c r="I44"/>
  <c r="J43"/>
  <c r="K43"/>
  <c r="N43" s="1"/>
  <c r="K39"/>
  <c r="N39" s="1"/>
  <c r="K7"/>
  <c r="N7" s="1"/>
  <c r="K45"/>
  <c r="N45" s="1"/>
  <c r="I43"/>
  <c r="I42"/>
  <c r="N28"/>
  <c r="N10"/>
  <c r="N29"/>
  <c r="J44"/>
  <c r="K44"/>
  <c r="N44" s="1"/>
  <c r="K41"/>
  <c r="N41" s="1"/>
  <c r="N86" i="6"/>
  <c r="N24" i="9"/>
  <c r="N23"/>
  <c r="O86" i="6"/>
  <c r="O87" s="1"/>
  <c r="N33" i="9"/>
  <c r="N18"/>
  <c r="N30"/>
  <c r="K6"/>
  <c r="N6" s="1"/>
  <c r="K8"/>
  <c r="N8" s="1"/>
  <c r="I7"/>
  <c r="F18"/>
  <c r="F21"/>
  <c r="F26"/>
  <c r="F36"/>
  <c r="F9"/>
  <c r="F13"/>
  <c r="F19"/>
  <c r="F34"/>
  <c r="F32"/>
  <c r="F30"/>
  <c r="BA63" i="1" l="1" a="1"/>
  <c r="BA63" s="1"/>
  <c r="BA64" s="1"/>
  <c r="AZ63" a="1"/>
  <c r="BD9"/>
  <c r="AZ63"/>
  <c r="AW63" a="1"/>
  <c r="AW63" s="1"/>
  <c r="AW72" s="1"/>
  <c r="AX63" a="1"/>
  <c r="AX63" s="1"/>
  <c r="AX64" s="1"/>
  <c r="BC9"/>
  <c r="AZ71"/>
  <c r="BC56"/>
  <c r="BC57"/>
  <c r="BC31"/>
  <c r="BC35"/>
  <c r="BD51"/>
  <c r="BC51"/>
  <c r="BC54"/>
  <c r="BD32"/>
  <c r="BC55"/>
  <c r="BC38"/>
  <c r="BC53"/>
  <c r="BC52"/>
  <c r="BD33"/>
  <c r="BC34"/>
  <c r="BD40"/>
  <c r="BD43"/>
  <c r="BD25"/>
  <c r="BD37"/>
  <c r="BC44"/>
  <c r="BC36"/>
  <c r="BC60"/>
  <c r="BD22"/>
  <c r="BD61"/>
  <c r="BD45"/>
  <c r="BD24"/>
  <c r="BD58"/>
  <c r="BC62"/>
  <c r="BC27"/>
  <c r="BD59"/>
  <c r="BD23"/>
  <c r="BC26"/>
  <c r="BD41"/>
  <c r="BD42"/>
  <c r="BD48"/>
  <c r="BC29"/>
  <c r="BD46"/>
  <c r="BD50"/>
  <c r="BC30"/>
  <c r="BC47"/>
  <c r="BD49"/>
  <c r="AZ72"/>
  <c r="AZ70"/>
  <c r="AZ68"/>
  <c r="AZ67"/>
  <c r="AW71"/>
  <c r="AT73"/>
  <c r="BD28"/>
  <c r="AW70"/>
  <c r="AW68"/>
  <c r="AW67"/>
  <c r="I67" i="9"/>
  <c r="F27"/>
  <c r="F28"/>
  <c r="F25"/>
  <c r="F29"/>
  <c r="BF9" i="1" l="1"/>
  <c r="BL9" s="1"/>
  <c r="BF61"/>
  <c r="BF57"/>
  <c r="BF53"/>
  <c r="BF49"/>
  <c r="BF46"/>
  <c r="BF44"/>
  <c r="BF40"/>
  <c r="BF37"/>
  <c r="BF34"/>
  <c r="BF31"/>
  <c r="BF28"/>
  <c r="BF26"/>
  <c r="BF24"/>
  <c r="BF21"/>
  <c r="BF18"/>
  <c r="BF16"/>
  <c r="BF13"/>
  <c r="BF11"/>
  <c r="BF59"/>
  <c r="BF55"/>
  <c r="BF51"/>
  <c r="BF48"/>
  <c r="BF45"/>
  <c r="BF42"/>
  <c r="BF39"/>
  <c r="BF36"/>
  <c r="BF33"/>
  <c r="BF30"/>
  <c r="BF27"/>
  <c r="BF25"/>
  <c r="BF22"/>
  <c r="BF19"/>
  <c r="BF17"/>
  <c r="BF14"/>
  <c r="BF12"/>
  <c r="BF15"/>
  <c r="BF10"/>
  <c r="BF58"/>
  <c r="BF29"/>
  <c r="BF35"/>
  <c r="BF50"/>
  <c r="BF62"/>
  <c r="BF23"/>
  <c r="BF32"/>
  <c r="BF41"/>
  <c r="BF20"/>
  <c r="BF60"/>
  <c r="BF52"/>
  <c r="BF43"/>
  <c r="BF38"/>
  <c r="BF56"/>
  <c r="BF54"/>
  <c r="BF47"/>
  <c r="BC70"/>
  <c r="BC68"/>
  <c r="BC71"/>
  <c r="BC67"/>
  <c r="BC69"/>
  <c r="AZ69"/>
  <c r="AZ73" s="1"/>
  <c r="AW73"/>
  <c r="F44" i="9"/>
  <c r="F45"/>
  <c r="G31"/>
  <c r="G21"/>
  <c r="F40"/>
  <c r="G51"/>
  <c r="F51"/>
  <c r="F53"/>
  <c r="BH17" i="1" l="1"/>
  <c r="BJ17"/>
  <c r="BI17"/>
  <c r="BK17"/>
  <c r="BH13"/>
  <c r="BJ13"/>
  <c r="BI13"/>
  <c r="BK13"/>
  <c r="BH29"/>
  <c r="BJ29"/>
  <c r="BI29"/>
  <c r="BK29"/>
  <c r="BH37"/>
  <c r="BJ37"/>
  <c r="BI37"/>
  <c r="BK37"/>
  <c r="BH45"/>
  <c r="BJ45"/>
  <c r="BI45"/>
  <c r="BK45"/>
  <c r="BH53"/>
  <c r="BI53"/>
  <c r="BK53"/>
  <c r="BJ53"/>
  <c r="BH61"/>
  <c r="BI61"/>
  <c r="BK61"/>
  <c r="BJ61"/>
  <c r="BH14"/>
  <c r="BJ14"/>
  <c r="BI14"/>
  <c r="BK14"/>
  <c r="BH22"/>
  <c r="BJ22"/>
  <c r="BI22"/>
  <c r="BK22"/>
  <c r="BH30"/>
  <c r="BJ30"/>
  <c r="BI30"/>
  <c r="BK30"/>
  <c r="BH38"/>
  <c r="BJ38"/>
  <c r="BI38"/>
  <c r="BK38"/>
  <c r="BH46"/>
  <c r="BI46"/>
  <c r="BK46"/>
  <c r="BJ46"/>
  <c r="BJ54"/>
  <c r="BI54"/>
  <c r="BK54"/>
  <c r="BH54"/>
  <c r="BJ62"/>
  <c r="BI62"/>
  <c r="BK62"/>
  <c r="BH62"/>
  <c r="BH43"/>
  <c r="BJ43"/>
  <c r="BI43"/>
  <c r="BK43"/>
  <c r="BJ59"/>
  <c r="BI59"/>
  <c r="BK59"/>
  <c r="BH59"/>
  <c r="BH20"/>
  <c r="BJ20"/>
  <c r="BI20"/>
  <c r="BK20"/>
  <c r="BH36"/>
  <c r="BJ36"/>
  <c r="BI36"/>
  <c r="BK36"/>
  <c r="BJ52"/>
  <c r="BI52"/>
  <c r="BK52"/>
  <c r="BH52"/>
  <c r="BH27"/>
  <c r="BN28" s="1"/>
  <c r="BJ27"/>
  <c r="BI27"/>
  <c r="BK27"/>
  <c r="BH39"/>
  <c r="BJ39"/>
  <c r="BI39"/>
  <c r="BK39"/>
  <c r="BH16"/>
  <c r="BJ16"/>
  <c r="BI16"/>
  <c r="BK16"/>
  <c r="BJ48"/>
  <c r="BI48"/>
  <c r="BK48"/>
  <c r="BH48"/>
  <c r="BH15"/>
  <c r="BJ15"/>
  <c r="BI15"/>
  <c r="BK15"/>
  <c r="BH56"/>
  <c r="BI56"/>
  <c r="BK56"/>
  <c r="BJ56"/>
  <c r="BH40"/>
  <c r="BJ40"/>
  <c r="BI40"/>
  <c r="BK40"/>
  <c r="BH10"/>
  <c r="BJ10"/>
  <c r="BI10"/>
  <c r="BK10"/>
  <c r="BH21"/>
  <c r="BJ21"/>
  <c r="BI21"/>
  <c r="BK21"/>
  <c r="BH25"/>
  <c r="BJ25"/>
  <c r="BI25"/>
  <c r="BK25"/>
  <c r="BH33"/>
  <c r="BJ33"/>
  <c r="BI33"/>
  <c r="BK33"/>
  <c r="BH41"/>
  <c r="BJ41"/>
  <c r="BI41"/>
  <c r="BK41"/>
  <c r="BH49"/>
  <c r="BI49"/>
  <c r="BK49"/>
  <c r="BJ49"/>
  <c r="BH57"/>
  <c r="BI57"/>
  <c r="BK57"/>
  <c r="BJ57"/>
  <c r="BK9"/>
  <c r="BJ9"/>
  <c r="BH9"/>
  <c r="BI9"/>
  <c r="BH18"/>
  <c r="BJ18"/>
  <c r="BI18"/>
  <c r="BK18"/>
  <c r="BH26"/>
  <c r="BJ26"/>
  <c r="BI26"/>
  <c r="BK26"/>
  <c r="BH34"/>
  <c r="BJ34"/>
  <c r="BI34"/>
  <c r="BK34"/>
  <c r="BH42"/>
  <c r="BJ42"/>
  <c r="BI42"/>
  <c r="BK42"/>
  <c r="BJ50"/>
  <c r="BI50"/>
  <c r="BK50"/>
  <c r="BH50"/>
  <c r="BJ58"/>
  <c r="BI58"/>
  <c r="BK58"/>
  <c r="BH58"/>
  <c r="BH19"/>
  <c r="BJ19"/>
  <c r="BI19"/>
  <c r="BK19"/>
  <c r="BH35"/>
  <c r="BJ35"/>
  <c r="BI35"/>
  <c r="BK35"/>
  <c r="BH51"/>
  <c r="BI51"/>
  <c r="BK51"/>
  <c r="BJ51"/>
  <c r="BH12"/>
  <c r="BJ12"/>
  <c r="BI12"/>
  <c r="BK12"/>
  <c r="BH28"/>
  <c r="BJ28"/>
  <c r="BI28"/>
  <c r="BK28"/>
  <c r="BH44"/>
  <c r="BJ44"/>
  <c r="BI44"/>
  <c r="BK44"/>
  <c r="BH60"/>
  <c r="BI60"/>
  <c r="BK60"/>
  <c r="BJ60"/>
  <c r="BH23"/>
  <c r="BJ23"/>
  <c r="BI23"/>
  <c r="BK23"/>
  <c r="BJ55"/>
  <c r="BI55"/>
  <c r="BK55"/>
  <c r="BH55"/>
  <c r="BH32"/>
  <c r="BJ32"/>
  <c r="BI32"/>
  <c r="BK32"/>
  <c r="BH11"/>
  <c r="BJ11"/>
  <c r="BI11"/>
  <c r="BK11"/>
  <c r="BH24"/>
  <c r="BJ24"/>
  <c r="BI24"/>
  <c r="BK24"/>
  <c r="BH47"/>
  <c r="BJ47"/>
  <c r="BI47"/>
  <c r="BK47"/>
  <c r="BH31"/>
  <c r="BJ31"/>
  <c r="BI31"/>
  <c r="BK31"/>
  <c r="BC72"/>
  <c r="BF71"/>
  <c r="BF70"/>
  <c r="BF69"/>
  <c r="BF68"/>
  <c r="BF67"/>
  <c r="F50" i="9"/>
  <c r="F52"/>
  <c r="F47"/>
  <c r="F49"/>
  <c r="F41"/>
  <c r="F38"/>
  <c r="F46"/>
  <c r="F48"/>
  <c r="F42"/>
  <c r="F43"/>
  <c r="F39"/>
  <c r="G18"/>
  <c r="G17"/>
  <c r="G9"/>
  <c r="G20"/>
  <c r="G15"/>
  <c r="D6" i="17" l="1"/>
  <c r="C6"/>
  <c r="BL10" i="1"/>
  <c r="BL11" s="1"/>
  <c r="BL12" s="1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J63" a="1"/>
  <c r="BJ63" s="1"/>
  <c r="BJ64" s="1"/>
  <c r="D47" i="17"/>
  <c r="C55"/>
  <c r="AB55" s="1"/>
  <c r="D55"/>
  <c r="AC55" s="1"/>
  <c r="C7"/>
  <c r="AB7" s="1"/>
  <c r="E7"/>
  <c r="AD7" s="1"/>
  <c r="C8"/>
  <c r="AB8" s="1"/>
  <c r="E8"/>
  <c r="AD8" s="1"/>
  <c r="C9"/>
  <c r="AB9" s="1"/>
  <c r="E9"/>
  <c r="AD9" s="1"/>
  <c r="C10"/>
  <c r="AB10" s="1"/>
  <c r="E10"/>
  <c r="AD10" s="1"/>
  <c r="C11"/>
  <c r="AB11" s="1"/>
  <c r="E11"/>
  <c r="AD11" s="1"/>
  <c r="C12"/>
  <c r="AB12" s="1"/>
  <c r="E12"/>
  <c r="AD12" s="1"/>
  <c r="C13"/>
  <c r="AB13" s="1"/>
  <c r="E13"/>
  <c r="AD13" s="1"/>
  <c r="C14"/>
  <c r="AB14" s="1"/>
  <c r="E14"/>
  <c r="AD14" s="1"/>
  <c r="C15"/>
  <c r="AB15" s="1"/>
  <c r="E15"/>
  <c r="AD15" s="1"/>
  <c r="C16"/>
  <c r="AB16" s="1"/>
  <c r="E16"/>
  <c r="AD16" s="1"/>
  <c r="C17"/>
  <c r="AB17" s="1"/>
  <c r="E17"/>
  <c r="AD17" s="1"/>
  <c r="C18"/>
  <c r="AB18" s="1"/>
  <c r="E18"/>
  <c r="AD18" s="1"/>
  <c r="C19"/>
  <c r="AB19" s="1"/>
  <c r="E19"/>
  <c r="AD19" s="1"/>
  <c r="C20"/>
  <c r="AB20" s="1"/>
  <c r="E20"/>
  <c r="AD20" s="1"/>
  <c r="C21"/>
  <c r="AB21" s="1"/>
  <c r="E21"/>
  <c r="AD21" s="1"/>
  <c r="C22"/>
  <c r="AB22" s="1"/>
  <c r="E22"/>
  <c r="AD22" s="1"/>
  <c r="C23"/>
  <c r="AB23" s="1"/>
  <c r="E23"/>
  <c r="AD23" s="1"/>
  <c r="C24"/>
  <c r="AB24" s="1"/>
  <c r="E24"/>
  <c r="AD24" s="1"/>
  <c r="C25"/>
  <c r="AB25" s="1"/>
  <c r="E25"/>
  <c r="AD25" s="1"/>
  <c r="C26"/>
  <c r="AB26" s="1"/>
  <c r="E26"/>
  <c r="AD26" s="1"/>
  <c r="C27"/>
  <c r="AB27" s="1"/>
  <c r="E27"/>
  <c r="AD27" s="1"/>
  <c r="C28"/>
  <c r="AB28" s="1"/>
  <c r="E28"/>
  <c r="AD28" s="1"/>
  <c r="C29"/>
  <c r="AB29" s="1"/>
  <c r="E29"/>
  <c r="AD29" s="1"/>
  <c r="C30"/>
  <c r="AB30" s="1"/>
  <c r="E30"/>
  <c r="AD30" s="1"/>
  <c r="C31"/>
  <c r="AB31" s="1"/>
  <c r="E31"/>
  <c r="AD31" s="1"/>
  <c r="C32"/>
  <c r="AB32" s="1"/>
  <c r="E32"/>
  <c r="AD32" s="1"/>
  <c r="C33"/>
  <c r="AB33" s="1"/>
  <c r="E33"/>
  <c r="AD33" s="1"/>
  <c r="C34"/>
  <c r="AB34" s="1"/>
  <c r="E34"/>
  <c r="AD34" s="1"/>
  <c r="C35"/>
  <c r="AB35" s="1"/>
  <c r="E35"/>
  <c r="AD35" s="1"/>
  <c r="C36"/>
  <c r="AB36" s="1"/>
  <c r="E36"/>
  <c r="AD36" s="1"/>
  <c r="C37"/>
  <c r="AB37" s="1"/>
  <c r="E37"/>
  <c r="AD37" s="1"/>
  <c r="C38"/>
  <c r="AB38" s="1"/>
  <c r="E38"/>
  <c r="AD38" s="1"/>
  <c r="C39"/>
  <c r="AB39" s="1"/>
  <c r="E39"/>
  <c r="AD39" s="1"/>
  <c r="C40"/>
  <c r="AB40" s="1"/>
  <c r="E40"/>
  <c r="AD40" s="1"/>
  <c r="C41"/>
  <c r="AB41" s="1"/>
  <c r="E41"/>
  <c r="AD41" s="1"/>
  <c r="C42"/>
  <c r="AB42" s="1"/>
  <c r="E42"/>
  <c r="AD42" s="1"/>
  <c r="C43"/>
  <c r="AB43" s="1"/>
  <c r="E43"/>
  <c r="AD43" s="1"/>
  <c r="C44"/>
  <c r="AB44" s="1"/>
  <c r="E44"/>
  <c r="AD44" s="1"/>
  <c r="C45"/>
  <c r="AB45" s="1"/>
  <c r="E45"/>
  <c r="AD45" s="1"/>
  <c r="C46"/>
  <c r="AB46" s="1"/>
  <c r="E46"/>
  <c r="AD46" s="1"/>
  <c r="C47"/>
  <c r="AB47" s="1"/>
  <c r="E47"/>
  <c r="AD47" s="1"/>
  <c r="C48"/>
  <c r="AB48" s="1"/>
  <c r="E48"/>
  <c r="AD48" s="1"/>
  <c r="C49"/>
  <c r="AB49" s="1"/>
  <c r="E49"/>
  <c r="AD49" s="1"/>
  <c r="C50"/>
  <c r="AB50" s="1"/>
  <c r="E50"/>
  <c r="AD50" s="1"/>
  <c r="C51"/>
  <c r="AB51" s="1"/>
  <c r="E51"/>
  <c r="AD51" s="1"/>
  <c r="C52"/>
  <c r="AB52" s="1"/>
  <c r="E52"/>
  <c r="AD52" s="1"/>
  <c r="C53"/>
  <c r="AB53" s="1"/>
  <c r="E53"/>
  <c r="AD53" s="1"/>
  <c r="C54"/>
  <c r="AB54" s="1"/>
  <c r="E54"/>
  <c r="AD54" s="1"/>
  <c r="E55"/>
  <c r="AD55" s="1"/>
  <c r="C56"/>
  <c r="AB56" s="1"/>
  <c r="E56"/>
  <c r="AD56" s="1"/>
  <c r="C57"/>
  <c r="AB57" s="1"/>
  <c r="E57"/>
  <c r="AD57" s="1"/>
  <c r="C58"/>
  <c r="AB58" s="1"/>
  <c r="E58"/>
  <c r="AD58" s="1"/>
  <c r="C59"/>
  <c r="AB59" s="1"/>
  <c r="E59"/>
  <c r="AD59" s="1"/>
  <c r="D7"/>
  <c r="AC7" s="1"/>
  <c r="D8"/>
  <c r="AC8" s="1"/>
  <c r="D9"/>
  <c r="AC9" s="1"/>
  <c r="D10"/>
  <c r="AC10" s="1"/>
  <c r="D11"/>
  <c r="AC11" s="1"/>
  <c r="D12"/>
  <c r="AC12" s="1"/>
  <c r="D13"/>
  <c r="AC13" s="1"/>
  <c r="D14"/>
  <c r="AC14" s="1"/>
  <c r="D15"/>
  <c r="AC15" s="1"/>
  <c r="D16"/>
  <c r="AC16" s="1"/>
  <c r="D17"/>
  <c r="AC17" s="1"/>
  <c r="D18"/>
  <c r="AC18" s="1"/>
  <c r="D19"/>
  <c r="AC19" s="1"/>
  <c r="D20"/>
  <c r="AC20" s="1"/>
  <c r="D21"/>
  <c r="AC21" s="1"/>
  <c r="D22"/>
  <c r="AC22" s="1"/>
  <c r="D23"/>
  <c r="AC23" s="1"/>
  <c r="D24"/>
  <c r="AC24" s="1"/>
  <c r="D25"/>
  <c r="AC25" s="1"/>
  <c r="D26"/>
  <c r="AC26" s="1"/>
  <c r="D27"/>
  <c r="AC27" s="1"/>
  <c r="D28"/>
  <c r="AC28" s="1"/>
  <c r="D29"/>
  <c r="AC29" s="1"/>
  <c r="D30"/>
  <c r="AC30" s="1"/>
  <c r="D31"/>
  <c r="AC31" s="1"/>
  <c r="D32"/>
  <c r="AC32" s="1"/>
  <c r="D33"/>
  <c r="AC33" s="1"/>
  <c r="D34"/>
  <c r="AC34" s="1"/>
  <c r="D35"/>
  <c r="AC35" s="1"/>
  <c r="D36"/>
  <c r="AC36" s="1"/>
  <c r="D37"/>
  <c r="AC37" s="1"/>
  <c r="D38"/>
  <c r="AC38" s="1"/>
  <c r="D39"/>
  <c r="AC39" s="1"/>
  <c r="D40"/>
  <c r="AC40" s="1"/>
  <c r="D41"/>
  <c r="AC41" s="1"/>
  <c r="D42"/>
  <c r="AC42" s="1"/>
  <c r="D43"/>
  <c r="AC43" s="1"/>
  <c r="D44"/>
  <c r="AC44" s="1"/>
  <c r="D45"/>
  <c r="AC45" s="1"/>
  <c r="D46"/>
  <c r="AC46" s="1"/>
  <c r="AC47"/>
  <c r="D48"/>
  <c r="AC48" s="1"/>
  <c r="D49"/>
  <c r="AC49" s="1"/>
  <c r="D50"/>
  <c r="AC50" s="1"/>
  <c r="D51"/>
  <c r="AC51" s="1"/>
  <c r="D52"/>
  <c r="AC52" s="1"/>
  <c r="D53"/>
  <c r="AC53" s="1"/>
  <c r="D54"/>
  <c r="AC54" s="1"/>
  <c r="D56"/>
  <c r="AC56" s="1"/>
  <c r="D57"/>
  <c r="AC57" s="1"/>
  <c r="D58"/>
  <c r="AC58" s="1"/>
  <c r="D59"/>
  <c r="AC59" s="1"/>
  <c r="E6"/>
  <c r="BN9" i="1"/>
  <c r="BF72"/>
  <c r="F67" i="9"/>
  <c r="F60" a="1"/>
  <c r="F60" s="1"/>
  <c r="F68" s="1"/>
  <c r="I60" a="1"/>
  <c r="I60" s="1"/>
  <c r="I68" s="1"/>
  <c r="F64"/>
  <c r="F65"/>
  <c r="I65"/>
  <c r="I66"/>
  <c r="I64"/>
  <c r="F66"/>
  <c r="G38"/>
  <c r="J6"/>
  <c r="J7"/>
  <c r="G50"/>
  <c r="G11"/>
  <c r="G6"/>
  <c r="G44"/>
  <c r="G7"/>
  <c r="G13"/>
  <c r="G40"/>
  <c r="G19"/>
  <c r="G33"/>
  <c r="G30"/>
  <c r="G42"/>
  <c r="G41"/>
  <c r="G39"/>
  <c r="G36"/>
  <c r="G23"/>
  <c r="G26"/>
  <c r="G34"/>
  <c r="G37"/>
  <c r="G32"/>
  <c r="BN10" i="1" l="1"/>
  <c r="E61" i="17"/>
  <c r="Y63" s="1"/>
  <c r="AB6"/>
  <c r="C61"/>
  <c r="W63" s="1"/>
  <c r="D61"/>
  <c r="X63" s="1"/>
  <c r="BN11" i="1"/>
  <c r="AD6" i="17"/>
  <c r="AD61" s="1"/>
  <c r="AC6"/>
  <c r="AC61" s="1"/>
  <c r="I69" i="9"/>
  <c r="F69"/>
  <c r="M6"/>
  <c r="O6" s="1"/>
  <c r="G48"/>
  <c r="G53"/>
  <c r="G43"/>
  <c r="G46"/>
  <c r="G49"/>
  <c r="G45"/>
  <c r="G52"/>
  <c r="G47"/>
  <c r="D41"/>
  <c r="M41" s="1"/>
  <c r="D45"/>
  <c r="D47"/>
  <c r="D49"/>
  <c r="D51"/>
  <c r="M51" s="1"/>
  <c r="D50"/>
  <c r="M50" s="1"/>
  <c r="C41"/>
  <c r="L41" s="1"/>
  <c r="C47"/>
  <c r="L47" s="1"/>
  <c r="D46"/>
  <c r="C49"/>
  <c r="L49" s="1"/>
  <c r="C50"/>
  <c r="L50" s="1"/>
  <c r="D43"/>
  <c r="D39"/>
  <c r="M39" s="1"/>
  <c r="C46"/>
  <c r="L46" s="1"/>
  <c r="C45"/>
  <c r="L45" s="1"/>
  <c r="C43"/>
  <c r="L43" s="1"/>
  <c r="C39"/>
  <c r="L39" s="1"/>
  <c r="C51"/>
  <c r="L51" s="1"/>
  <c r="C38"/>
  <c r="L38" s="1"/>
  <c r="D38"/>
  <c r="M38" s="1"/>
  <c r="D48"/>
  <c r="C53"/>
  <c r="L53" s="1"/>
  <c r="D52"/>
  <c r="M52" s="1"/>
  <c r="D42"/>
  <c r="M42" s="1"/>
  <c r="D40"/>
  <c r="M40" s="1"/>
  <c r="C40"/>
  <c r="L40" s="1"/>
  <c r="C44"/>
  <c r="L44" s="1"/>
  <c r="D53"/>
  <c r="C48"/>
  <c r="L48" s="1"/>
  <c r="C42"/>
  <c r="L42" s="1"/>
  <c r="D44"/>
  <c r="M44" s="1"/>
  <c r="C52"/>
  <c r="L52" s="1"/>
  <c r="G25"/>
  <c r="G29"/>
  <c r="G27"/>
  <c r="G28"/>
  <c r="C12"/>
  <c r="L12" s="1"/>
  <c r="C14"/>
  <c r="L14" s="1"/>
  <c r="C16"/>
  <c r="L16" s="1"/>
  <c r="C18"/>
  <c r="L18" s="1"/>
  <c r="C20"/>
  <c r="L20" s="1"/>
  <c r="C22"/>
  <c r="L22" s="1"/>
  <c r="C24"/>
  <c r="L24" s="1"/>
  <c r="C26"/>
  <c r="L26" s="1"/>
  <c r="C28"/>
  <c r="L28" s="1"/>
  <c r="C30"/>
  <c r="L30" s="1"/>
  <c r="C32"/>
  <c r="L32" s="1"/>
  <c r="C34"/>
  <c r="L34" s="1"/>
  <c r="C36"/>
  <c r="L36" s="1"/>
  <c r="C8"/>
  <c r="L8" s="1"/>
  <c r="C10"/>
  <c r="L10" s="1"/>
  <c r="C11"/>
  <c r="L11" s="1"/>
  <c r="C13"/>
  <c r="L13" s="1"/>
  <c r="C15"/>
  <c r="L15" s="1"/>
  <c r="C17"/>
  <c r="L17" s="1"/>
  <c r="C19"/>
  <c r="L19" s="1"/>
  <c r="C21"/>
  <c r="L21" s="1"/>
  <c r="C23"/>
  <c r="L23" s="1"/>
  <c r="C25"/>
  <c r="L25" s="1"/>
  <c r="C27"/>
  <c r="L27" s="1"/>
  <c r="C29"/>
  <c r="L29" s="1"/>
  <c r="C31"/>
  <c r="L31" s="1"/>
  <c r="C33"/>
  <c r="L33" s="1"/>
  <c r="C35"/>
  <c r="L35" s="1"/>
  <c r="C37"/>
  <c r="L37" s="1"/>
  <c r="C9"/>
  <c r="L9" s="1"/>
  <c r="C7"/>
  <c r="D37"/>
  <c r="M37" s="1"/>
  <c r="D33"/>
  <c r="M33" s="1"/>
  <c r="D29"/>
  <c r="D25"/>
  <c r="M25" s="1"/>
  <c r="D19"/>
  <c r="M19" s="1"/>
  <c r="D15"/>
  <c r="M15" s="1"/>
  <c r="D11"/>
  <c r="M11" s="1"/>
  <c r="D7"/>
  <c r="M7" s="1"/>
  <c r="D34"/>
  <c r="M34" s="1"/>
  <c r="D30"/>
  <c r="M30" s="1"/>
  <c r="D26"/>
  <c r="M26" s="1"/>
  <c r="D22"/>
  <c r="M22" s="1"/>
  <c r="D20"/>
  <c r="M20" s="1"/>
  <c r="D16"/>
  <c r="M16" s="1"/>
  <c r="D12"/>
  <c r="M12" s="1"/>
  <c r="D8"/>
  <c r="M8" s="1"/>
  <c r="D35"/>
  <c r="M35" s="1"/>
  <c r="D31"/>
  <c r="M31" s="1"/>
  <c r="D27"/>
  <c r="D23"/>
  <c r="M23" s="1"/>
  <c r="D21"/>
  <c r="M21" s="1"/>
  <c r="D17"/>
  <c r="M17" s="1"/>
  <c r="D13"/>
  <c r="M13" s="1"/>
  <c r="D9"/>
  <c r="M9" s="1"/>
  <c r="D36"/>
  <c r="M36" s="1"/>
  <c r="D32"/>
  <c r="M32" s="1"/>
  <c r="D24"/>
  <c r="M24" s="1"/>
  <c r="D14"/>
  <c r="M14" s="1"/>
  <c r="D28"/>
  <c r="M28" s="1"/>
  <c r="D18"/>
  <c r="M18" s="1"/>
  <c r="D10"/>
  <c r="M10" s="1"/>
  <c r="AB61" i="17" l="1"/>
  <c r="M53" i="9"/>
  <c r="O53" s="1"/>
  <c r="M46"/>
  <c r="O46" s="1"/>
  <c r="M27"/>
  <c r="O27" s="1"/>
  <c r="M43"/>
  <c r="P43" s="1"/>
  <c r="M49"/>
  <c r="O49" s="1"/>
  <c r="M29"/>
  <c r="O29" s="1"/>
  <c r="M48"/>
  <c r="O48" s="1"/>
  <c r="M47"/>
  <c r="O47" s="1"/>
  <c r="M45"/>
  <c r="P45" s="1"/>
  <c r="O10"/>
  <c r="P10"/>
  <c r="P28"/>
  <c r="O28"/>
  <c r="P24"/>
  <c r="O24"/>
  <c r="P36"/>
  <c r="O36"/>
  <c r="O9"/>
  <c r="P9"/>
  <c r="O17"/>
  <c r="P17"/>
  <c r="O35"/>
  <c r="P35"/>
  <c r="O12"/>
  <c r="P12"/>
  <c r="O20"/>
  <c r="P20"/>
  <c r="O22"/>
  <c r="P22"/>
  <c r="O30"/>
  <c r="P30"/>
  <c r="P15"/>
  <c r="O15"/>
  <c r="P25"/>
  <c r="O25"/>
  <c r="P33"/>
  <c r="O33"/>
  <c r="O44"/>
  <c r="P44"/>
  <c r="O40"/>
  <c r="P40"/>
  <c r="O52"/>
  <c r="P52"/>
  <c r="O38"/>
  <c r="P38"/>
  <c r="P39"/>
  <c r="O39"/>
  <c r="P51"/>
  <c r="O51"/>
  <c r="O18"/>
  <c r="P18"/>
  <c r="P14"/>
  <c r="O14"/>
  <c r="O32"/>
  <c r="P32"/>
  <c r="P13"/>
  <c r="O13"/>
  <c r="P21"/>
  <c r="O21"/>
  <c r="P23"/>
  <c r="O23"/>
  <c r="P31"/>
  <c r="O31"/>
  <c r="O8"/>
  <c r="P8"/>
  <c r="O16"/>
  <c r="P16"/>
  <c r="O26"/>
  <c r="P26"/>
  <c r="O34"/>
  <c r="P34"/>
  <c r="P11"/>
  <c r="O11"/>
  <c r="P19"/>
  <c r="O19"/>
  <c r="P37"/>
  <c r="O37"/>
  <c r="L7"/>
  <c r="C67"/>
  <c r="P42"/>
  <c r="O42"/>
  <c r="O50"/>
  <c r="P50"/>
  <c r="O41"/>
  <c r="P41"/>
  <c r="P6"/>
  <c r="J60" a="1"/>
  <c r="J60" s="1"/>
  <c r="J61" s="1"/>
  <c r="G60" a="1"/>
  <c r="G60" s="1"/>
  <c r="G61" s="1"/>
  <c r="C60" a="1"/>
  <c r="C60" s="1"/>
  <c r="C68" s="1"/>
  <c r="D60" a="1"/>
  <c r="D60" s="1"/>
  <c r="D61" s="1"/>
  <c r="C64"/>
  <c r="C65"/>
  <c r="C66"/>
  <c r="AF6" i="17" l="1"/>
  <c r="AK6" s="1"/>
  <c r="AF10"/>
  <c r="AI10" s="1"/>
  <c r="AF38"/>
  <c r="AF31"/>
  <c r="AF25"/>
  <c r="AF33"/>
  <c r="AF30"/>
  <c r="AF59"/>
  <c r="AF58"/>
  <c r="AF57"/>
  <c r="AF56"/>
  <c r="AF54"/>
  <c r="AF53"/>
  <c r="AF52"/>
  <c r="AF51"/>
  <c r="AF50"/>
  <c r="AF49"/>
  <c r="AF48"/>
  <c r="AF47"/>
  <c r="AF46"/>
  <c r="AF45"/>
  <c r="AF44"/>
  <c r="AF42"/>
  <c r="AF40"/>
  <c r="AF39"/>
  <c r="AF37"/>
  <c r="AF36"/>
  <c r="AF35"/>
  <c r="AF34"/>
  <c r="AF29"/>
  <c r="AF28"/>
  <c r="AF27"/>
  <c r="AF26"/>
  <c r="AF24"/>
  <c r="AF23"/>
  <c r="AI23" s="1"/>
  <c r="AF22"/>
  <c r="AI22" s="1"/>
  <c r="AF21"/>
  <c r="AI21" s="1"/>
  <c r="AF20"/>
  <c r="AI20" s="1"/>
  <c r="AF19"/>
  <c r="AI19" s="1"/>
  <c r="AF18"/>
  <c r="AI18" s="1"/>
  <c r="AF17"/>
  <c r="AI17" s="1"/>
  <c r="AF15"/>
  <c r="AI15" s="1"/>
  <c r="AF14"/>
  <c r="AI14" s="1"/>
  <c r="AF13"/>
  <c r="AI13" s="1"/>
  <c r="AF12"/>
  <c r="AI12" s="1"/>
  <c r="AF11"/>
  <c r="AI11" s="1"/>
  <c r="AF9"/>
  <c r="AI9" s="1"/>
  <c r="AF8"/>
  <c r="AF16"/>
  <c r="AI16" s="1"/>
  <c r="AF43"/>
  <c r="AF41"/>
  <c r="AF7"/>
  <c r="AF55"/>
  <c r="AF32"/>
  <c r="BN12" i="1"/>
  <c r="P53" i="9"/>
  <c r="P46"/>
  <c r="O43"/>
  <c r="C69"/>
  <c r="P48"/>
  <c r="P49"/>
  <c r="P47"/>
  <c r="P27"/>
  <c r="Q27"/>
  <c r="Q29"/>
  <c r="Q30"/>
  <c r="P29"/>
  <c r="Q25"/>
  <c r="Q31"/>
  <c r="Q22"/>
  <c r="O45"/>
  <c r="Q10"/>
  <c r="Q6"/>
  <c r="Q39"/>
  <c r="Q53"/>
  <c r="Q48"/>
  <c r="Q52"/>
  <c r="Q18"/>
  <c r="Q28"/>
  <c r="Q36"/>
  <c r="Q8"/>
  <c r="Q15"/>
  <c r="Q33"/>
  <c r="Q50"/>
  <c r="Q45"/>
  <c r="Q44"/>
  <c r="Q16"/>
  <c r="Q26"/>
  <c r="Q34"/>
  <c r="Q17"/>
  <c r="Q35"/>
  <c r="Q7"/>
  <c r="Q47"/>
  <c r="Q49"/>
  <c r="Q43"/>
  <c r="Q38"/>
  <c r="Q40"/>
  <c r="Q42"/>
  <c r="Q14"/>
  <c r="Q24"/>
  <c r="Q32"/>
  <c r="Q11"/>
  <c r="Q19"/>
  <c r="Q37"/>
  <c r="Q9"/>
  <c r="Q41"/>
  <c r="Q46"/>
  <c r="Q51"/>
  <c r="Q12"/>
  <c r="Q20"/>
  <c r="Q13"/>
  <c r="Q21"/>
  <c r="Q23"/>
  <c r="M60"/>
  <c r="P7"/>
  <c r="O7"/>
  <c r="AI7" i="17" l="1"/>
  <c r="AI8"/>
  <c r="AI55"/>
  <c r="AI41"/>
  <c r="AI26"/>
  <c r="AI28"/>
  <c r="AI34"/>
  <c r="AI36"/>
  <c r="AI39"/>
  <c r="AI42"/>
  <c r="AI45"/>
  <c r="AI47"/>
  <c r="AI49"/>
  <c r="AI51"/>
  <c r="AI53"/>
  <c r="AI56"/>
  <c r="AI58"/>
  <c r="AI30"/>
  <c r="AI25"/>
  <c r="AI38"/>
  <c r="AI32"/>
  <c r="AI43"/>
  <c r="AI24"/>
  <c r="AI27"/>
  <c r="AI29"/>
  <c r="AI35"/>
  <c r="AI37"/>
  <c r="AI40"/>
  <c r="AI44"/>
  <c r="AI46"/>
  <c r="AI48"/>
  <c r="AI50"/>
  <c r="AI52"/>
  <c r="AI54"/>
  <c r="AI57"/>
  <c r="AI59"/>
  <c r="AI33"/>
  <c r="AI31"/>
  <c r="AL59"/>
  <c r="AK48"/>
  <c r="AK7"/>
  <c r="AK59"/>
  <c r="AJ59"/>
  <c r="AL6"/>
  <c r="AL42"/>
  <c r="AL12"/>
  <c r="AL24"/>
  <c r="AK9"/>
  <c r="AK22"/>
  <c r="AK40"/>
  <c r="AL39"/>
  <c r="AK21"/>
  <c r="AK10"/>
  <c r="AJ27"/>
  <c r="AJ30"/>
  <c r="AK13"/>
  <c r="AK16"/>
  <c r="AL15"/>
  <c r="AK50"/>
  <c r="AK34"/>
  <c r="AL8"/>
  <c r="AJ48"/>
  <c r="AJ37"/>
  <c r="AL7"/>
  <c r="AL19"/>
  <c r="AL56"/>
  <c r="AL35"/>
  <c r="AJ55"/>
  <c r="AJ14"/>
  <c r="AJ49"/>
  <c r="AK58"/>
  <c r="AK31"/>
  <c r="AL32"/>
  <c r="AJ17"/>
  <c r="AJ57"/>
  <c r="AK29"/>
  <c r="AK36"/>
  <c r="AJ51"/>
  <c r="AK41"/>
  <c r="AK38"/>
  <c r="AJ23"/>
  <c r="AJ20"/>
  <c r="AK46"/>
  <c r="AJ44"/>
  <c r="AK33"/>
  <c r="AJ25"/>
  <c r="AJ11"/>
  <c r="AL53"/>
  <c r="AL18"/>
  <c r="AK28"/>
  <c r="AK45"/>
  <c r="AK43"/>
  <c r="AK47"/>
  <c r="AJ52"/>
  <c r="AK37"/>
  <c r="AJ40"/>
  <c r="AJ53"/>
  <c r="AJ13"/>
  <c r="AK14"/>
  <c r="AJ22"/>
  <c r="AK35"/>
  <c r="AK8"/>
  <c r="AL55"/>
  <c r="AK24"/>
  <c r="AK30"/>
  <c r="AJ43"/>
  <c r="AL20"/>
  <c r="AK39"/>
  <c r="AJ21"/>
  <c r="AJ10"/>
  <c r="AJ16"/>
  <c r="AJ19"/>
  <c r="AK56"/>
  <c r="AJ12"/>
  <c r="AJ9"/>
  <c r="AK27"/>
  <c r="AJ15"/>
  <c r="AK25"/>
  <c r="AK26"/>
  <c r="AJ45"/>
  <c r="AL28"/>
  <c r="AJ47"/>
  <c r="AK17"/>
  <c r="AK54"/>
  <c r="AL49"/>
  <c r="AL31"/>
  <c r="AL29"/>
  <c r="AL36"/>
  <c r="AL51"/>
  <c r="AJ41"/>
  <c r="AL23"/>
  <c r="AJ33"/>
  <c r="AJ46"/>
  <c r="AJ26"/>
  <c r="AK11"/>
  <c r="AL52"/>
  <c r="AL58"/>
  <c r="AK32"/>
  <c r="AL57"/>
  <c r="AJ54"/>
  <c r="AL38"/>
  <c r="AL44"/>
  <c r="AK18"/>
  <c r="AI6"/>
  <c r="AL40"/>
  <c r="AL50"/>
  <c r="AJ39"/>
  <c r="AL21"/>
  <c r="AL13"/>
  <c r="AL10"/>
  <c r="AJ35"/>
  <c r="AL16"/>
  <c r="AL34"/>
  <c r="AK19"/>
  <c r="AJ8"/>
  <c r="AJ56"/>
  <c r="AL14"/>
  <c r="AK55"/>
  <c r="AK42"/>
  <c r="AK12"/>
  <c r="AJ24"/>
  <c r="AL9"/>
  <c r="AL22"/>
  <c r="AL27"/>
  <c r="AL30"/>
  <c r="AK15"/>
  <c r="AL48"/>
  <c r="AL37"/>
  <c r="AJ7"/>
  <c r="AJ50"/>
  <c r="AJ34"/>
  <c r="AJ42"/>
  <c r="AJ29"/>
  <c r="AK20"/>
  <c r="AJ36"/>
  <c r="AJ28"/>
  <c r="AK51"/>
  <c r="AL25"/>
  <c r="AL46"/>
  <c r="AL26"/>
  <c r="AL11"/>
  <c r="AK52"/>
  <c r="AL45"/>
  <c r="AL47"/>
  <c r="AL43"/>
  <c r="AK49"/>
  <c r="AJ58"/>
  <c r="AJ31"/>
  <c r="AJ32"/>
  <c r="AL17"/>
  <c r="AK57"/>
  <c r="AL54"/>
  <c r="AL41"/>
  <c r="AJ38"/>
  <c r="AK23"/>
  <c r="AK44"/>
  <c r="AL33"/>
  <c r="AK53"/>
  <c r="AJ18"/>
  <c r="AJ6"/>
  <c r="BN13" i="1"/>
  <c r="R18" i="9"/>
  <c r="R20"/>
  <c r="R22"/>
  <c r="R24"/>
  <c r="R26"/>
  <c r="R28"/>
  <c r="R30"/>
  <c r="R32"/>
  <c r="R34"/>
  <c r="R36"/>
  <c r="R38"/>
  <c r="R40"/>
  <c r="R42"/>
  <c r="R44"/>
  <c r="R46"/>
  <c r="R48"/>
  <c r="R50"/>
  <c r="R52"/>
  <c r="R17"/>
  <c r="R19"/>
  <c r="R21"/>
  <c r="R23"/>
  <c r="R25"/>
  <c r="R27"/>
  <c r="R29"/>
  <c r="R31"/>
  <c r="R33"/>
  <c r="R35"/>
  <c r="R37"/>
  <c r="R39"/>
  <c r="R41"/>
  <c r="R43"/>
  <c r="R45"/>
  <c r="R47"/>
  <c r="R49"/>
  <c r="R51"/>
  <c r="R53"/>
  <c r="M61"/>
  <c r="AJ61" i="17" l="1"/>
  <c r="AL61"/>
  <c r="AK61"/>
  <c r="BN14" i="1"/>
  <c r="AH6" i="17"/>
  <c r="AH31" s="1"/>
  <c r="W51" i="9"/>
  <c r="W47"/>
  <c r="W43"/>
  <c r="W39"/>
  <c r="W37"/>
  <c r="W33"/>
  <c r="W29"/>
  <c r="W25"/>
  <c r="W19"/>
  <c r="W50"/>
  <c r="W46"/>
  <c r="W42"/>
  <c r="W38"/>
  <c r="W36"/>
  <c r="W32"/>
  <c r="W28"/>
  <c r="W24"/>
  <c r="W18"/>
  <c r="W53"/>
  <c r="W49"/>
  <c r="W45"/>
  <c r="W41"/>
  <c r="W35"/>
  <c r="W31"/>
  <c r="W27"/>
  <c r="W23"/>
  <c r="W21"/>
  <c r="W52"/>
  <c r="W48"/>
  <c r="W44"/>
  <c r="W40"/>
  <c r="W34"/>
  <c r="W30"/>
  <c r="W26"/>
  <c r="W22"/>
  <c r="W20"/>
  <c r="L60"/>
  <c r="AH7" i="17" l="1"/>
  <c r="AH8"/>
  <c r="AH49"/>
  <c r="AH50"/>
  <c r="AH45"/>
  <c r="AH53"/>
  <c r="AH44"/>
  <c r="AH48"/>
  <c r="AH34"/>
  <c r="AH55"/>
  <c r="AH51"/>
  <c r="AH29"/>
  <c r="AH39"/>
  <c r="AH24"/>
  <c r="AH47"/>
  <c r="AH36"/>
  <c r="AH35"/>
  <c r="AH37"/>
  <c r="AH33"/>
  <c r="AH38"/>
  <c r="AH28"/>
  <c r="AH56"/>
  <c r="AH52"/>
  <c r="AH26"/>
  <c r="AH41"/>
  <c r="AH46"/>
  <c r="AH42"/>
  <c r="AH27"/>
  <c r="AH57"/>
  <c r="AH43"/>
  <c r="AH32"/>
  <c r="AH58"/>
  <c r="AH54"/>
  <c r="AH40"/>
  <c r="AH25"/>
  <c r="AH30"/>
  <c r="AH59"/>
  <c r="AH9"/>
  <c r="AH10" s="1"/>
  <c r="AH11" s="1"/>
  <c r="AH12" s="1"/>
  <c r="AH13" s="1"/>
  <c r="AH14" s="1"/>
  <c r="AH15" s="1"/>
  <c r="AH16" s="1"/>
  <c r="AH17" s="1"/>
  <c r="AH18" s="1"/>
  <c r="AH19" s="1"/>
  <c r="AH20" s="1"/>
  <c r="AH21" s="1"/>
  <c r="AH22" s="1"/>
  <c r="AH23" s="1"/>
  <c r="BN15" i="1"/>
  <c r="Q58" i="9"/>
  <c r="Q54"/>
  <c r="Q55"/>
  <c r="Q57"/>
  <c r="Q59"/>
  <c r="Q56"/>
  <c r="R12"/>
  <c r="R9"/>
  <c r="R14"/>
  <c r="R11"/>
  <c r="R8"/>
  <c r="R16"/>
  <c r="R13"/>
  <c r="R10"/>
  <c r="R7"/>
  <c r="R15"/>
  <c r="V18"/>
  <c r="T18"/>
  <c r="U18"/>
  <c r="U31"/>
  <c r="V52"/>
  <c r="T50"/>
  <c r="U50"/>
  <c r="V48"/>
  <c r="U46"/>
  <c r="V46"/>
  <c r="T46"/>
  <c r="V44"/>
  <c r="V42"/>
  <c r="V40"/>
  <c r="U38"/>
  <c r="V36"/>
  <c r="U34"/>
  <c r="U32"/>
  <c r="V32"/>
  <c r="V29"/>
  <c r="U27"/>
  <c r="V23"/>
  <c r="V21"/>
  <c r="U19"/>
  <c r="V22"/>
  <c r="T20"/>
  <c r="T37"/>
  <c r="T53"/>
  <c r="V53"/>
  <c r="U53"/>
  <c r="U45"/>
  <c r="U51"/>
  <c r="T39"/>
  <c r="V39"/>
  <c r="T30"/>
  <c r="V49"/>
  <c r="V43"/>
  <c r="T26"/>
  <c r="U41"/>
  <c r="T41"/>
  <c r="V41"/>
  <c r="V47"/>
  <c r="T28"/>
  <c r="V35"/>
  <c r="R6"/>
  <c r="W6" s="1"/>
  <c r="BN16" i="1" l="1"/>
  <c r="R57" i="9"/>
  <c r="R58"/>
  <c r="R55"/>
  <c r="R59"/>
  <c r="R56"/>
  <c r="R54"/>
  <c r="V15"/>
  <c r="U10"/>
  <c r="W16"/>
  <c r="V11"/>
  <c r="W12"/>
  <c r="T7"/>
  <c r="T8"/>
  <c r="V14"/>
  <c r="U9"/>
  <c r="V51"/>
  <c r="U35"/>
  <c r="T35"/>
  <c r="U28"/>
  <c r="V28"/>
  <c r="T43"/>
  <c r="U39"/>
  <c r="T51"/>
  <c r="U22"/>
  <c r="T22"/>
  <c r="U21"/>
  <c r="T21"/>
  <c r="V27"/>
  <c r="T27"/>
  <c r="T32"/>
  <c r="U36"/>
  <c r="T36"/>
  <c r="T38"/>
  <c r="V38"/>
  <c r="T42"/>
  <c r="V50"/>
  <c r="V31"/>
  <c r="T31"/>
  <c r="U43"/>
  <c r="U42"/>
  <c r="U33"/>
  <c r="V26"/>
  <c r="V30"/>
  <c r="V45"/>
  <c r="U37"/>
  <c r="T29"/>
  <c r="U25"/>
  <c r="V24"/>
  <c r="U6"/>
  <c r="X6"/>
  <c r="U17"/>
  <c r="T17"/>
  <c r="T15"/>
  <c r="U15"/>
  <c r="V13"/>
  <c r="T13"/>
  <c r="W13"/>
  <c r="U11"/>
  <c r="T9"/>
  <c r="W9"/>
  <c r="V7"/>
  <c r="U7"/>
  <c r="V16"/>
  <c r="U16"/>
  <c r="T14"/>
  <c r="T12"/>
  <c r="U12"/>
  <c r="W10"/>
  <c r="T10"/>
  <c r="U8"/>
  <c r="W8"/>
  <c r="V8"/>
  <c r="U47"/>
  <c r="U49"/>
  <c r="W17"/>
  <c r="V6"/>
  <c r="T33"/>
  <c r="V33"/>
  <c r="T47"/>
  <c r="U26"/>
  <c r="T49"/>
  <c r="U30"/>
  <c r="T45"/>
  <c r="V37"/>
  <c r="V20"/>
  <c r="U20"/>
  <c r="T19"/>
  <c r="V19"/>
  <c r="T23"/>
  <c r="U23"/>
  <c r="U29"/>
  <c r="T34"/>
  <c r="V34"/>
  <c r="U40"/>
  <c r="T40"/>
  <c r="U44"/>
  <c r="T44"/>
  <c r="U48"/>
  <c r="T48"/>
  <c r="U52"/>
  <c r="T52"/>
  <c r="V25"/>
  <c r="T25"/>
  <c r="T24"/>
  <c r="U24"/>
  <c r="T6"/>
  <c r="V17"/>
  <c r="W15"/>
  <c r="U13"/>
  <c r="W11"/>
  <c r="T11"/>
  <c r="V9"/>
  <c r="W7"/>
  <c r="T16"/>
  <c r="W14"/>
  <c r="U14"/>
  <c r="V12"/>
  <c r="V10"/>
  <c r="BN17" i="1" l="1"/>
  <c r="U56" i="9"/>
  <c r="W56"/>
  <c r="V56"/>
  <c r="T56"/>
  <c r="V55"/>
  <c r="T55"/>
  <c r="W55"/>
  <c r="U55"/>
  <c r="W57"/>
  <c r="T57"/>
  <c r="V57"/>
  <c r="U57"/>
  <c r="U54"/>
  <c r="T54"/>
  <c r="V54"/>
  <c r="W54"/>
  <c r="V59"/>
  <c r="T59"/>
  <c r="W59"/>
  <c r="U59"/>
  <c r="U58"/>
  <c r="T58"/>
  <c r="V58"/>
  <c r="W58"/>
  <c r="X7"/>
  <c r="X8" s="1"/>
  <c r="X9" s="1"/>
  <c r="X10" s="1"/>
  <c r="X11" s="1"/>
  <c r="X12" s="1"/>
  <c r="X13" s="1"/>
  <c r="X14" s="1"/>
  <c r="X15" s="1"/>
  <c r="X16" s="1"/>
  <c r="X17"/>
  <c r="X18" s="1"/>
  <c r="X19" s="1"/>
  <c r="X20" s="1"/>
  <c r="X21" s="1"/>
  <c r="X22" s="1"/>
  <c r="X23" s="1"/>
  <c r="X24" s="1"/>
  <c r="X25" s="1"/>
  <c r="X26" s="1"/>
  <c r="X27" s="1"/>
  <c r="X28" s="1"/>
  <c r="X29" s="1"/>
  <c r="X30" s="1"/>
  <c r="X31" s="1"/>
  <c r="X32" s="1"/>
  <c r="X33" s="1"/>
  <c r="X34" s="1"/>
  <c r="X35" s="1"/>
  <c r="X36" s="1"/>
  <c r="X37" s="1"/>
  <c r="X38" s="1"/>
  <c r="X39" s="1"/>
  <c r="X40" s="1"/>
  <c r="X41" s="1"/>
  <c r="X42" s="1"/>
  <c r="X43" s="1"/>
  <c r="X44" s="1"/>
  <c r="X45" s="1"/>
  <c r="X46" s="1"/>
  <c r="X47" s="1"/>
  <c r="X48" s="1"/>
  <c r="X49" s="1"/>
  <c r="X50" s="1"/>
  <c r="X51" s="1"/>
  <c r="X52" s="1"/>
  <c r="X53" s="1"/>
  <c r="V60"/>
  <c r="V61" s="1"/>
  <c r="BN18" i="1" l="1"/>
  <c r="X54" i="9"/>
  <c r="X55" s="1"/>
  <c r="X56" s="1"/>
  <c r="X57" s="1"/>
  <c r="X58" s="1"/>
  <c r="X59" s="1"/>
  <c r="BN19" i="1" l="1"/>
  <c r="BN20" l="1"/>
  <c r="BN21" l="1"/>
  <c r="BN22" l="1"/>
  <c r="BN23" l="1"/>
  <c r="BN24" l="1"/>
  <c r="BN25" l="1"/>
  <c r="BN26" l="1"/>
  <c r="BN27" l="1"/>
</calcChain>
</file>

<file path=xl/sharedStrings.xml><?xml version="1.0" encoding="utf-8"?>
<sst xmlns="http://schemas.openxmlformats.org/spreadsheetml/2006/main" count="1106" uniqueCount="132">
  <si>
    <t>JOUEURS</t>
  </si>
  <si>
    <t>1ère partie</t>
  </si>
  <si>
    <t>2ème partie</t>
  </si>
  <si>
    <t>3ème partie</t>
  </si>
  <si>
    <t>Joueur</t>
  </si>
  <si>
    <t>contre</t>
  </si>
  <si>
    <t>Prénom et / ou Nom</t>
  </si>
  <si>
    <t>TOTAUX</t>
  </si>
  <si>
    <t>RESULTAT DES PARTIES</t>
  </si>
  <si>
    <t>TIRAGE</t>
  </si>
  <si>
    <t>Pts</t>
  </si>
  <si>
    <t>GA</t>
  </si>
  <si>
    <t>Score</t>
  </si>
  <si>
    <t>Code vérouillage AB</t>
  </si>
  <si>
    <t>Rang</t>
  </si>
  <si>
    <t>Class.1</t>
  </si>
  <si>
    <t>Points</t>
  </si>
  <si>
    <t>G.A.</t>
  </si>
  <si>
    <t>Class.</t>
  </si>
  <si>
    <t>GA-</t>
  </si>
  <si>
    <t>GA+</t>
  </si>
  <si>
    <t>CLASSEMENT</t>
  </si>
  <si>
    <t>Gagné : 3 ; Nul : 2 ; Perdu : 1 ; Non joué : 0</t>
  </si>
  <si>
    <t>Enregistrer les résultats dans les cellules colorées</t>
  </si>
  <si>
    <t>Méthode</t>
  </si>
  <si>
    <t>* Feuillet  Incrits :</t>
  </si>
  <si>
    <t>Nbre 1</t>
  </si>
  <si>
    <t>Nbre 2</t>
  </si>
  <si>
    <t>Nbre 3</t>
  </si>
  <si>
    <t>Nbre 0</t>
  </si>
  <si>
    <t>Jeux</t>
  </si>
  <si>
    <t>Formule  matricielle à modifier ligne 96 Colonnes C, D, E, F, G et H</t>
  </si>
  <si>
    <t>=SOMME(SI(ESTNA(C5:C95);0;C5:C95)</t>
  </si>
  <si>
    <t>TIREUR</t>
  </si>
  <si>
    <t xml:space="preserve">MILIEU </t>
  </si>
  <si>
    <t xml:space="preserve">POINTEUR </t>
  </si>
  <si>
    <t>CONCOURS SOCIETAIRE</t>
  </si>
  <si>
    <t>Type</t>
  </si>
  <si>
    <t>Nombre de joueurs</t>
  </si>
  <si>
    <t>jeux</t>
  </si>
  <si>
    <t>NOMS</t>
  </si>
  <si>
    <t>'=SOMME.SI.ENS(C6:I6;$C$5:$I$5;"Pts";C6:I6;"&lt;&gt;#N/A")</t>
  </si>
  <si>
    <t>=SOMME.SI.ENS(C6:I6;$C$5:$I$5;"Pts";C6:I6;"&lt;&gt;#N/A")</t>
  </si>
  <si>
    <t>NOMS DES JOUEURS PARTICIPANTS</t>
  </si>
  <si>
    <t>Nbre 5</t>
  </si>
  <si>
    <t>Nbre 7</t>
  </si>
  <si>
    <t>Nbre 9</t>
  </si>
  <si>
    <t>Nbre 6</t>
  </si>
  <si>
    <t>1ère Journée</t>
  </si>
  <si>
    <t>2ème Journée</t>
  </si>
  <si>
    <t>3ème Journée</t>
  </si>
  <si>
    <t>4ème Journée</t>
  </si>
  <si>
    <t>5ème Journée</t>
  </si>
  <si>
    <t>6ème Journée</t>
  </si>
  <si>
    <t>Résultats</t>
  </si>
  <si>
    <t>Class. 1</t>
  </si>
  <si>
    <t>* Feuillet 1ère journée</t>
  </si>
  <si>
    <t xml:space="preserve">*Remplacement d'un joueur (Dévérouiller la protection de la feuille)  inscrire le Nom du nouveau joueur dans une ou deux parties à la place du joueur remplacé </t>
  </si>
  <si>
    <t>puis cliquer sur protéger la feuille Code vérouillage: AB</t>
  </si>
  <si>
    <t>*Dévérouillage:   Cliquer sur révision puis sur oter la protection de la feuille  Code AB</t>
  </si>
  <si>
    <t>Tireur-Pointeur</t>
  </si>
  <si>
    <t>Dernier de liste</t>
  </si>
  <si>
    <t xml:space="preserve">Date </t>
  </si>
  <si>
    <t>Date</t>
  </si>
  <si>
    <t>=SI(ESTNA(RECHERCHEV(AP9;$Z$11:$AC$81;3;0));" ";SI(RECHERCHEV(AP9;$Z$11:$AC$81;3;0)=0;"";RECHERCHEV(AP9;$Z$11:$AC$81;3;0)))</t>
  </si>
  <si>
    <t>CLASSEMENT FINAL DES 6 JOURNEES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</si>
  <si>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</si>
  <si>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</si>
  <si>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</si>
  <si>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</si>
  <si>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</si>
  <si>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</si>
  <si>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</si>
  <si>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</si>
  <si>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</si>
  <si>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</si>
  <si>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</si>
  <si>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</si>
  <si>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</si>
  <si>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</si>
  <si>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</si>
  <si>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</si>
  <si>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</si>
  <si>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</si>
  <si>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</si>
  <si>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</si>
  <si>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</si>
  <si>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</si>
  <si>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</si>
  <si>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</si>
  <si>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</si>
  <si>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</si>
  <si>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</si>
  <si>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</si>
  <si>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</si>
  <si>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</si>
  <si>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</si>
  <si>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</si>
  <si>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</si>
  <si>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</si>
  <si>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</si>
  <si>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</si>
  <si>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</si>
  <si>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</si>
  <si>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</si>
  <si>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</si>
  <si>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</si>
  <si>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</si>
  <si>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</si>
  <si>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</si>
  <si>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</si>
  <si>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</si>
  <si>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</si>
  <si>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</si>
  <si>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</si>
  <si>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</si>
  <si>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</si>
  <si>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</si>
  <si>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</si>
  <si>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</si>
  <si>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 xml:space="preserve">Joueurs ou Equipes </t>
  </si>
  <si>
    <t>8 à 54  Joueurs ou Equipes</t>
  </si>
  <si>
    <t>* Une particularité du GA si une rencontre se fait par ex: 2 contre 3 le GA ne sera pas 0 mais la différence de la rencontre</t>
  </si>
  <si>
    <t xml:space="preserve"> *Inscrire tout les Noms des participants aux 6 concours dans les colonnes respectives Tireurs Milieux Pointeurs</t>
  </si>
  <si>
    <t>*Répartir les joueurs participants dans les 3 colonnes toujours à la suite</t>
  </si>
  <si>
    <t>*S'il manque des joueurs c'est toujours la colonne pointeurs puis milieu qui doit être inférieure en nombre</t>
  </si>
  <si>
    <t>*Le classement de la journée se fait automatiquement</t>
  </si>
  <si>
    <t xml:space="preserve">*Le Classement Final de toutes les journées se fait automatiquement </t>
  </si>
  <si>
    <t>*Feuillet Classement Final</t>
  </si>
  <si>
    <t xml:space="preserve">Points Total  1ère journée </t>
  </si>
  <si>
    <t>procéder au remplacement du joueur dans la partie correspondante insi que dans la liste des inscrits</t>
  </si>
  <si>
    <t xml:space="preserve">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</si>
</sst>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3">
    <numFmt numFmtId="164" formatCode="0.000000"/>
    <numFmt numFmtId="165" formatCode="dd/mm/yy;@"/>
    <numFmt numFmtId="166" formatCode="0_ ;[Red]\-0\ "/>
  </numFmts>
  <fonts count="38">
    <font>
      <sz val="10"/>
      <name val="Arial"/>
    </font>
    <font>
      <sz val="8"/>
      <name val="Arial"/>
      <family val="2"/>
    </font>
    <font>
      <sz val="12"/>
      <name val="Times New Roman"/>
      <family val="1"/>
    </font>
    <font>
      <sz val="12"/>
      <color theme="0"/>
      <name val="Times New Roman"/>
      <family val="1"/>
    </font>
    <font>
      <sz val="12"/>
      <color rgb="FFFF0000"/>
      <name val="Times New Roman"/>
      <family val="1"/>
    </font>
    <font>
      <sz val="12"/>
      <name val="Calibri"/>
      <family val="2"/>
    </font>
    <font>
      <b/>
      <sz val="12"/>
      <name val="Times New Roman"/>
      <family val="1"/>
    </font>
    <font>
      <sz val="14"/>
      <name val="Times New Roman"/>
      <family val="1"/>
    </font>
    <font>
      <sz val="14"/>
      <name val="Arial"/>
      <family val="2"/>
    </font>
    <font>
      <sz val="16"/>
      <name val="Times New Roman"/>
      <family val="1"/>
    </font>
    <font>
      <b/>
      <sz val="12"/>
      <color theme="1"/>
      <name val="Times New Roman"/>
      <family val="1"/>
    </font>
    <font>
      <sz val="16"/>
      <color rgb="FFFF0000"/>
      <name val="Times New Roman"/>
      <family val="1"/>
    </font>
    <font>
      <sz val="16"/>
      <color rgb="FF00CC66"/>
      <name val="Times New Roman"/>
      <family val="1"/>
    </font>
    <font>
      <sz val="20"/>
      <color theme="1"/>
      <name val="Times New Roman"/>
      <family val="1"/>
    </font>
    <font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color rgb="FFFF0000"/>
      <name val="Times New Roman"/>
      <family val="1"/>
    </font>
    <font>
      <sz val="28"/>
      <color theme="1"/>
      <name val="Times New Roman"/>
      <family val="1"/>
    </font>
    <font>
      <sz val="26"/>
      <color theme="1"/>
      <name val="Times New Roman"/>
      <family val="1"/>
    </font>
    <font>
      <sz val="26"/>
      <color rgb="FF0070C0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sz val="12"/>
      <color rgb="FF0070C0"/>
      <name val="Times New Roman"/>
      <family val="1"/>
    </font>
    <font>
      <sz val="18"/>
      <name val="Times New Roman"/>
      <family val="1"/>
    </font>
    <font>
      <sz val="14"/>
      <color theme="1"/>
      <name val="Times New Roman"/>
      <family val="2"/>
    </font>
    <font>
      <sz val="12"/>
      <color theme="1"/>
      <name val="Times New Roman"/>
      <family val="2"/>
    </font>
    <font>
      <sz val="12"/>
      <name val="Times New Roman"/>
      <family val="2"/>
    </font>
    <font>
      <sz val="14"/>
      <color theme="0"/>
      <name val="Times New Roman"/>
      <family val="1"/>
    </font>
    <font>
      <b/>
      <sz val="16"/>
      <color rgb="FFFF0000"/>
      <name val="Times New Roman"/>
      <family val="1"/>
    </font>
    <font>
      <sz val="20"/>
      <name val="Times New Roman"/>
      <family val="1"/>
    </font>
    <font>
      <sz val="10"/>
      <name val="Times New Roman"/>
      <family val="1"/>
    </font>
    <font>
      <i/>
      <sz val="12"/>
      <color rgb="FFFF0000"/>
      <name val="Times New Roman"/>
      <family val="1"/>
    </font>
    <font>
      <sz val="10"/>
      <name val="Arial"/>
      <family val="2"/>
    </font>
    <font>
      <sz val="12"/>
      <color rgb="FF00B0F0"/>
      <name val="Times New Roman"/>
      <family val="1"/>
    </font>
    <font>
      <sz val="10"/>
      <color theme="0"/>
      <name val="Arial"/>
      <family val="2"/>
    </font>
    <font>
      <sz val="16"/>
      <color theme="1"/>
      <name val="Times New Roman"/>
      <family val="1"/>
    </font>
    <font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DDD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57D3FF"/>
        <bgColor indexed="64"/>
      </patternFill>
    </fill>
    <fill>
      <patternFill patternType="solid">
        <fgColor rgb="FFFF99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3" fillId="0" borderId="0"/>
  </cellStyleXfs>
  <cellXfs count="517">
    <xf numFmtId="0" fontId="0" fillId="0" borderId="0" xfId="0"/>
    <xf numFmtId="0" fontId="2" fillId="0" borderId="0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14" xfId="0" applyFont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 applyProtection="1">
      <alignment horizontal="center" vertical="center"/>
    </xf>
    <xf numFmtId="0" fontId="2" fillId="0" borderId="0" xfId="0" applyFont="1" applyProtection="1"/>
    <xf numFmtId="0" fontId="2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2" fillId="0" borderId="11" xfId="0" applyFont="1" applyBorder="1" applyAlignment="1" applyProtection="1">
      <alignment horizontal="center"/>
    </xf>
    <xf numFmtId="0" fontId="2" fillId="0" borderId="0" xfId="0" applyFont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1" xfId="0" quotePrefix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vertical="center"/>
    </xf>
    <xf numFmtId="0" fontId="2" fillId="5" borderId="7" xfId="0" applyFont="1" applyFill="1" applyBorder="1" applyAlignment="1" applyProtection="1">
      <alignment horizontal="center"/>
      <protection locked="0"/>
    </xf>
    <xf numFmtId="0" fontId="2" fillId="5" borderId="12" xfId="0" applyFont="1" applyFill="1" applyBorder="1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6" borderId="7" xfId="0" applyFont="1" applyFill="1" applyBorder="1" applyAlignment="1" applyProtection="1">
      <alignment horizontal="center"/>
      <protection locked="0"/>
    </xf>
    <xf numFmtId="0" fontId="2" fillId="6" borderId="1" xfId="0" applyFont="1" applyFill="1" applyBorder="1" applyAlignment="1" applyProtection="1">
      <alignment horizontal="center"/>
      <protection locked="0"/>
    </xf>
    <xf numFmtId="0" fontId="2" fillId="0" borderId="7" xfId="0" quotePrefix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2" fillId="0" borderId="7" xfId="0" quotePrefix="1" applyFont="1" applyFill="1" applyBorder="1" applyAlignment="1" applyProtection="1">
      <alignment horizontal="center"/>
    </xf>
    <xf numFmtId="0" fontId="2" fillId="6" borderId="26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0" borderId="1" xfId="0" quotePrefix="1" applyFont="1" applyBorder="1" applyAlignment="1" applyProtection="1">
      <alignment horizontal="center"/>
    </xf>
    <xf numFmtId="0" fontId="2" fillId="0" borderId="5" xfId="0" quotePrefix="1" applyFont="1" applyFill="1" applyBorder="1" applyAlignment="1" applyProtection="1">
      <alignment horizontal="center"/>
    </xf>
    <xf numFmtId="166" fontId="2" fillId="0" borderId="11" xfId="0" quotePrefix="1" applyNumberFormat="1" applyFont="1" applyFill="1" applyBorder="1" applyAlignment="1" applyProtection="1">
      <alignment horizontal="center"/>
    </xf>
    <xf numFmtId="0" fontId="2" fillId="0" borderId="11" xfId="0" quotePrefix="1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  <xf numFmtId="0" fontId="2" fillId="0" borderId="42" xfId="0" quotePrefix="1" applyFont="1" applyFill="1" applyBorder="1" applyAlignment="1" applyProtection="1">
      <alignment horizontal="center"/>
    </xf>
    <xf numFmtId="0" fontId="2" fillId="0" borderId="12" xfId="0" quotePrefix="1" applyFont="1" applyFill="1" applyBorder="1" applyAlignment="1" applyProtection="1">
      <alignment horizontal="center"/>
    </xf>
    <xf numFmtId="166" fontId="2" fillId="0" borderId="34" xfId="0" quotePrefix="1" applyNumberFormat="1" applyFont="1" applyFill="1" applyBorder="1" applyAlignment="1" applyProtection="1">
      <alignment horizontal="center"/>
    </xf>
    <xf numFmtId="0" fontId="2" fillId="0" borderId="34" xfId="0" quotePrefix="1" applyFont="1" applyFill="1" applyBorder="1" applyAlignment="1" applyProtection="1">
      <alignment horizontal="center"/>
    </xf>
    <xf numFmtId="0" fontId="2" fillId="0" borderId="12" xfId="0" applyFont="1" applyFill="1" applyBorder="1" applyAlignment="1" applyProtection="1">
      <alignment horizontal="center"/>
    </xf>
    <xf numFmtId="0" fontId="2" fillId="0" borderId="34" xfId="0" applyFont="1" applyFill="1" applyBorder="1" applyAlignment="1" applyProtection="1">
      <alignment horizontal="center"/>
    </xf>
    <xf numFmtId="0" fontId="5" fillId="0" borderId="5" xfId="0" applyFont="1" applyFill="1" applyBorder="1" applyAlignment="1" applyProtection="1">
      <alignment horizontal="center" vertical="center"/>
    </xf>
    <xf numFmtId="0" fontId="2" fillId="10" borderId="0" xfId="0" applyFont="1" applyFill="1" applyProtection="1"/>
    <xf numFmtId="0" fontId="2" fillId="0" borderId="12" xfId="0" applyFont="1" applyBorder="1" applyAlignment="1" applyProtection="1">
      <alignment horizontal="center"/>
    </xf>
    <xf numFmtId="0" fontId="2" fillId="0" borderId="34" xfId="0" applyFont="1" applyBorder="1" applyAlignment="1" applyProtection="1">
      <alignment horizontal="center"/>
    </xf>
    <xf numFmtId="0" fontId="2" fillId="10" borderId="0" xfId="0" applyFont="1" applyFill="1" applyBorder="1" applyAlignment="1" applyProtection="1">
      <alignment horizontal="center"/>
    </xf>
    <xf numFmtId="0" fontId="7" fillId="0" borderId="0" xfId="0" applyFont="1"/>
    <xf numFmtId="0" fontId="2" fillId="0" borderId="0" xfId="0" quotePrefix="1" applyFont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43" xfId="0" applyFont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24" xfId="0" applyFont="1" applyBorder="1" applyAlignment="1" applyProtection="1">
      <alignment horizontal="center" vertical="center"/>
    </xf>
    <xf numFmtId="0" fontId="2" fillId="0" borderId="31" xfId="0" applyFont="1" applyBorder="1" applyAlignment="1" applyProtection="1">
      <alignment horizontal="center" vertical="center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0" fillId="0" borderId="0" xfId="0" applyProtection="1"/>
    <xf numFmtId="0" fontId="2" fillId="0" borderId="0" xfId="0" quotePrefix="1" applyFont="1" applyAlignment="1" applyProtection="1">
      <alignment horizontal="center"/>
    </xf>
    <xf numFmtId="0" fontId="2" fillId="0" borderId="0" xfId="0" quotePrefix="1" applyFont="1" applyProtection="1">
      <protection locked="0"/>
    </xf>
    <xf numFmtId="0" fontId="2" fillId="0" borderId="2" xfId="0" quotePrefix="1" applyFont="1" applyBorder="1" applyAlignment="1" applyProtection="1">
      <alignment horizontal="center" vertical="center"/>
    </xf>
    <xf numFmtId="0" fontId="2" fillId="0" borderId="13" xfId="0" quotePrefix="1" applyFont="1" applyBorder="1" applyAlignment="1" applyProtection="1">
      <alignment horizontal="center" vertical="center"/>
    </xf>
    <xf numFmtId="164" fontId="2" fillId="0" borderId="1" xfId="0" quotePrefix="1" applyNumberFormat="1" applyFont="1" applyBorder="1" applyAlignment="1" applyProtection="1">
      <alignment horizontal="center" vertical="center"/>
    </xf>
    <xf numFmtId="0" fontId="2" fillId="0" borderId="43" xfId="0" quotePrefix="1" applyFont="1" applyBorder="1" applyAlignment="1" applyProtection="1">
      <alignment horizontal="center" vertical="center"/>
    </xf>
    <xf numFmtId="0" fontId="2" fillId="0" borderId="14" xfId="0" quotePrefix="1" applyFont="1" applyBorder="1" applyAlignment="1" applyProtection="1">
      <alignment horizontal="center" vertical="center"/>
    </xf>
    <xf numFmtId="0" fontId="2" fillId="0" borderId="44" xfId="0" applyFont="1" applyBorder="1" applyAlignment="1" applyProtection="1">
      <alignment horizontal="center"/>
      <protection locked="0"/>
    </xf>
    <xf numFmtId="0" fontId="2" fillId="3" borderId="18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</xf>
    <xf numFmtId="0" fontId="2" fillId="0" borderId="1" xfId="0" quotePrefix="1" applyFont="1" applyBorder="1" applyAlignment="1" applyProtection="1">
      <alignment horizontal="center" vertical="center"/>
    </xf>
    <xf numFmtId="0" fontId="2" fillId="0" borderId="46" xfId="0" applyFont="1" applyBorder="1" applyAlignment="1" applyProtection="1">
      <alignment horizontal="center" vertical="center"/>
    </xf>
    <xf numFmtId="0" fontId="2" fillId="7" borderId="1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/>
      <protection locked="0"/>
    </xf>
    <xf numFmtId="0" fontId="2" fillId="10" borderId="27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6" borderId="26" xfId="0" applyFont="1" applyFill="1" applyBorder="1" applyAlignment="1" applyProtection="1">
      <alignment horizontal="center" vertical="center" wrapText="1"/>
      <protection locked="0"/>
    </xf>
    <xf numFmtId="0" fontId="2" fillId="7" borderId="35" xfId="0" applyFont="1" applyFill="1" applyBorder="1" applyAlignment="1" applyProtection="1">
      <alignment horizontal="center" vertical="center" wrapText="1"/>
      <protection locked="0"/>
    </xf>
    <xf numFmtId="0" fontId="2" fillId="6" borderId="40" xfId="0" applyFont="1" applyFill="1" applyBorder="1" applyAlignment="1" applyProtection="1">
      <alignment horizontal="center" vertical="center" wrapText="1"/>
      <protection locked="0"/>
    </xf>
    <xf numFmtId="0" fontId="2" fillId="8" borderId="41" xfId="0" applyFont="1" applyFill="1" applyBorder="1" applyAlignment="1" applyProtection="1">
      <alignment horizontal="center" vertical="center" wrapText="1"/>
      <protection locked="0"/>
    </xf>
    <xf numFmtId="0" fontId="2" fillId="9" borderId="0" xfId="0" applyFont="1" applyFill="1" applyBorder="1" applyAlignment="1" applyProtection="1">
      <alignment horizontal="center" vertical="center"/>
      <protection locked="0"/>
    </xf>
    <xf numFmtId="0" fontId="2" fillId="10" borderId="2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quotePrefix="1" applyFont="1" applyBorder="1" applyAlignment="1" applyProtection="1">
      <alignment horizontal="center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0" fontId="2" fillId="11" borderId="25" xfId="0" applyFont="1" applyFill="1" applyBorder="1" applyAlignment="1" applyProtection="1">
      <alignment horizontal="center" vertical="center"/>
      <protection locked="0"/>
    </xf>
    <xf numFmtId="0" fontId="2" fillId="5" borderId="27" xfId="0" applyFont="1" applyFill="1" applyBorder="1" applyAlignment="1" applyProtection="1">
      <alignment horizontal="center" vertical="center"/>
      <protection locked="0"/>
    </xf>
    <xf numFmtId="0" fontId="2" fillId="5" borderId="27" xfId="0" applyFont="1" applyFill="1" applyBorder="1" applyAlignment="1" applyProtection="1">
      <alignment horizontal="center" vertical="center" wrapText="1"/>
      <protection locked="0"/>
    </xf>
    <xf numFmtId="0" fontId="2" fillId="11" borderId="25" xfId="0" applyFont="1" applyFill="1" applyBorder="1" applyAlignment="1" applyProtection="1">
      <alignment horizontal="center" vertical="center" wrapText="1"/>
      <protection locked="0"/>
    </xf>
    <xf numFmtId="0" fontId="2" fillId="11" borderId="7" xfId="0" applyFont="1" applyFill="1" applyBorder="1" applyAlignment="1" applyProtection="1">
      <alignment horizontal="center"/>
      <protection locked="0"/>
    </xf>
    <xf numFmtId="0" fontId="2" fillId="11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0" xfId="0" applyFont="1" applyBorder="1" applyProtection="1"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protection locked="0"/>
    </xf>
    <xf numFmtId="0" fontId="15" fillId="0" borderId="0" xfId="0" applyFont="1" applyProtection="1">
      <protection locked="0"/>
    </xf>
    <xf numFmtId="0" fontId="16" fillId="0" borderId="25" xfId="0" applyFont="1" applyFill="1" applyBorder="1" applyAlignment="1" applyProtection="1">
      <alignment horizontal="center" vertical="center"/>
      <protection locked="0"/>
    </xf>
    <xf numFmtId="0" fontId="20" fillId="0" borderId="27" xfId="0" applyFont="1" applyBorder="1" applyAlignment="1" applyProtection="1">
      <alignment horizontal="center" vertical="center" wrapText="1"/>
      <protection locked="0"/>
    </xf>
    <xf numFmtId="0" fontId="7" fillId="0" borderId="1" xfId="0" quotePrefix="1" applyFont="1" applyFill="1" applyBorder="1" applyAlignment="1" applyProtection="1">
      <alignment horizontal="center" vertical="center"/>
    </xf>
    <xf numFmtId="0" fontId="22" fillId="0" borderId="2" xfId="0" quotePrefix="1" applyFont="1" applyFill="1" applyBorder="1" applyAlignment="1" applyProtection="1">
      <alignment horizontal="center" vertical="center"/>
    </xf>
    <xf numFmtId="0" fontId="22" fillId="0" borderId="7" xfId="0" quotePrefix="1" applyFont="1" applyFill="1" applyBorder="1" applyAlignment="1" applyProtection="1">
      <alignment horizontal="center" vertical="center"/>
    </xf>
    <xf numFmtId="0" fontId="22" fillId="0" borderId="8" xfId="0" quotePrefix="1" applyFont="1" applyFill="1" applyBorder="1" applyAlignment="1" applyProtection="1">
      <alignment horizontal="center" vertical="center"/>
    </xf>
    <xf numFmtId="0" fontId="22" fillId="0" borderId="4" xfId="0" quotePrefix="1" applyFont="1" applyFill="1" applyBorder="1" applyAlignment="1" applyProtection="1">
      <alignment horizontal="center" vertical="center"/>
    </xf>
    <xf numFmtId="0" fontId="22" fillId="0" borderId="12" xfId="0" quotePrefix="1" applyFont="1" applyFill="1" applyBorder="1" applyAlignment="1" applyProtection="1">
      <alignment horizontal="center" vertical="center"/>
    </xf>
    <xf numFmtId="0" fontId="22" fillId="0" borderId="11" xfId="0" quotePrefix="1" applyFont="1" applyFill="1" applyBorder="1" applyAlignment="1" applyProtection="1">
      <alignment horizontal="center" vertical="center"/>
    </xf>
    <xf numFmtId="0" fontId="22" fillId="0" borderId="51" xfId="0" quotePrefix="1" applyFont="1" applyFill="1" applyBorder="1" applyAlignment="1" applyProtection="1">
      <alignment horizontal="center" vertical="center"/>
    </xf>
    <xf numFmtId="0" fontId="22" fillId="0" borderId="50" xfId="0" quotePrefix="1" applyFont="1" applyFill="1" applyBorder="1" applyAlignment="1" applyProtection="1">
      <alignment horizontal="center" vertical="center"/>
    </xf>
    <xf numFmtId="0" fontId="22" fillId="0" borderId="5" xfId="0" quotePrefix="1" applyFont="1" applyFill="1" applyBorder="1" applyAlignment="1" applyProtection="1">
      <alignment horizontal="center" vertical="center"/>
    </xf>
    <xf numFmtId="0" fontId="22" fillId="0" borderId="24" xfId="0" quotePrefix="1" applyFont="1" applyFill="1" applyBorder="1" applyAlignment="1" applyProtection="1">
      <alignment horizontal="center" vertical="center"/>
    </xf>
    <xf numFmtId="0" fontId="22" fillId="0" borderId="34" xfId="0" quotePrefix="1" applyFont="1" applyFill="1" applyBorder="1" applyAlignment="1" applyProtection="1">
      <alignment horizontal="center" vertical="center"/>
    </xf>
    <xf numFmtId="0" fontId="22" fillId="0" borderId="5" xfId="0" quotePrefix="1" applyNumberFormat="1" applyFont="1" applyFill="1" applyBorder="1" applyAlignment="1" applyProtection="1">
      <alignment horizontal="center" vertical="center"/>
    </xf>
    <xf numFmtId="0" fontId="22" fillId="0" borderId="7" xfId="0" quotePrefix="1" applyNumberFormat="1" applyFont="1" applyFill="1" applyBorder="1" applyAlignment="1" applyProtection="1">
      <alignment horizontal="center" vertical="center"/>
    </xf>
    <xf numFmtId="0" fontId="22" fillId="0" borderId="12" xfId="0" quotePrefix="1" applyNumberFormat="1" applyFont="1" applyFill="1" applyBorder="1" applyAlignment="1" applyProtection="1">
      <alignment horizontal="center" vertical="center"/>
    </xf>
    <xf numFmtId="0" fontId="22" fillId="0" borderId="11" xfId="0" quotePrefix="1" applyNumberFormat="1" applyFont="1" applyFill="1" applyBorder="1" applyAlignment="1" applyProtection="1">
      <alignment horizontal="center" vertical="center"/>
    </xf>
    <xf numFmtId="0" fontId="22" fillId="0" borderId="8" xfId="0" quotePrefix="1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/>
      <protection locked="0"/>
    </xf>
    <xf numFmtId="0" fontId="7" fillId="0" borderId="0" xfId="0" quotePrefix="1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/>
      <protection locked="0"/>
    </xf>
    <xf numFmtId="0" fontId="22" fillId="0" borderId="7" xfId="0" quotePrefix="1" applyFont="1" applyFill="1" applyBorder="1" applyAlignment="1" applyProtection="1">
      <alignment horizontal="center"/>
    </xf>
    <xf numFmtId="0" fontId="22" fillId="0" borderId="4" xfId="0" applyNumberFormat="1" applyFont="1" applyFill="1" applyBorder="1" applyAlignment="1" applyProtection="1">
      <alignment horizontal="center"/>
    </xf>
    <xf numFmtId="0" fontId="22" fillId="0" borderId="42" xfId="0" quotePrefix="1" applyFont="1" applyFill="1" applyBorder="1" applyAlignment="1" applyProtection="1">
      <alignment horizontal="center"/>
    </xf>
    <xf numFmtId="0" fontId="22" fillId="0" borderId="24" xfId="0" quotePrefix="1" applyFont="1" applyFill="1" applyBorder="1" applyAlignment="1" applyProtection="1">
      <alignment horizontal="center"/>
    </xf>
    <xf numFmtId="0" fontId="22" fillId="0" borderId="48" xfId="0" quotePrefix="1" applyFont="1" applyFill="1" applyBorder="1" applyAlignment="1" applyProtection="1">
      <alignment horizontal="center"/>
    </xf>
    <xf numFmtId="0" fontId="22" fillId="0" borderId="51" xfId="0" quotePrefix="1" applyFont="1" applyFill="1" applyBorder="1" applyAlignment="1" applyProtection="1">
      <alignment horizontal="center"/>
    </xf>
    <xf numFmtId="0" fontId="22" fillId="0" borderId="12" xfId="0" quotePrefix="1" applyFont="1" applyFill="1" applyBorder="1" applyAlignment="1" applyProtection="1">
      <alignment horizontal="center"/>
    </xf>
    <xf numFmtId="0" fontId="22" fillId="0" borderId="28" xfId="0" quotePrefix="1" applyNumberFormat="1" applyFont="1" applyFill="1" applyBorder="1" applyAlignment="1" applyProtection="1">
      <alignment horizontal="center"/>
    </xf>
    <xf numFmtId="0" fontId="22" fillId="0" borderId="2" xfId="0" quotePrefix="1" applyFont="1" applyFill="1" applyBorder="1" applyAlignment="1" applyProtection="1">
      <alignment horizontal="center"/>
    </xf>
    <xf numFmtId="0" fontId="22" fillId="0" borderId="48" xfId="0" quotePrefix="1" applyNumberFormat="1" applyFont="1" applyFill="1" applyBorder="1" applyAlignment="1" applyProtection="1">
      <alignment horizontal="center"/>
    </xf>
    <xf numFmtId="0" fontId="22" fillId="0" borderId="24" xfId="0" quotePrefix="1" applyNumberFormat="1" applyFont="1" applyFill="1" applyBorder="1" applyAlignment="1" applyProtection="1">
      <alignment horizontal="center"/>
    </xf>
    <xf numFmtId="0" fontId="22" fillId="0" borderId="28" xfId="0" quotePrefix="1" applyFont="1" applyFill="1" applyBorder="1" applyAlignment="1" applyProtection="1">
      <alignment horizontal="center"/>
    </xf>
    <xf numFmtId="0" fontId="22" fillId="0" borderId="50" xfId="0" quotePrefix="1" applyFont="1" applyFill="1" applyBorder="1" applyAlignment="1" applyProtection="1">
      <alignment horizontal="center"/>
    </xf>
    <xf numFmtId="0" fontId="22" fillId="0" borderId="48" xfId="0" applyFont="1" applyFill="1" applyBorder="1" applyAlignment="1" applyProtection="1">
      <alignment horizontal="center" vertical="center"/>
    </xf>
    <xf numFmtId="0" fontId="22" fillId="0" borderId="5" xfId="0" applyFont="1" applyFill="1" applyBorder="1" applyAlignment="1" applyProtection="1">
      <alignment horizontal="center" vertical="center"/>
    </xf>
    <xf numFmtId="0" fontId="22" fillId="0" borderId="52" xfId="0" quotePrefix="1" applyFont="1" applyFill="1" applyBorder="1" applyAlignment="1" applyProtection="1">
      <alignment horizontal="center"/>
    </xf>
    <xf numFmtId="0" fontId="22" fillId="0" borderId="53" xfId="0" quotePrefix="1" applyFont="1" applyFill="1" applyBorder="1" applyAlignment="1" applyProtection="1">
      <alignment horizontal="center"/>
    </xf>
    <xf numFmtId="0" fontId="22" fillId="0" borderId="49" xfId="0" quotePrefix="1" applyFont="1" applyFill="1" applyBorder="1" applyAlignment="1" applyProtection="1">
      <alignment horizontal="center"/>
    </xf>
    <xf numFmtId="0" fontId="22" fillId="0" borderId="54" xfId="0" quotePrefix="1" applyFont="1" applyFill="1" applyBorder="1" applyAlignment="1" applyProtection="1">
      <alignment horizontal="center"/>
    </xf>
    <xf numFmtId="0" fontId="22" fillId="0" borderId="5" xfId="0" quotePrefix="1" applyFont="1" applyFill="1" applyBorder="1" applyAlignment="1" applyProtection="1">
      <alignment horizontal="center"/>
    </xf>
    <xf numFmtId="0" fontId="22" fillId="0" borderId="55" xfId="0" quotePrefix="1" applyFont="1" applyFill="1" applyBorder="1" applyAlignment="1" applyProtection="1">
      <alignment horizontal="center"/>
    </xf>
    <xf numFmtId="0" fontId="22" fillId="0" borderId="36" xfId="0" applyNumberFormat="1" applyFont="1" applyFill="1" applyBorder="1" applyAlignment="1" applyProtection="1">
      <alignment horizontal="center"/>
    </xf>
    <xf numFmtId="0" fontId="22" fillId="0" borderId="43" xfId="0" quotePrefix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 vertical="center"/>
      <protection locked="0"/>
    </xf>
    <xf numFmtId="0" fontId="22" fillId="0" borderId="56" xfId="0" quotePrefix="1" applyFont="1" applyFill="1" applyBorder="1" applyAlignment="1" applyProtection="1">
      <alignment horizontal="center"/>
    </xf>
    <xf numFmtId="0" fontId="22" fillId="0" borderId="46" xfId="0" quotePrefix="1" applyFont="1" applyFill="1" applyBorder="1" applyAlignment="1" applyProtection="1">
      <alignment horizontal="center"/>
    </xf>
    <xf numFmtId="0" fontId="22" fillId="0" borderId="57" xfId="0" quotePrefix="1" applyFont="1" applyFill="1" applyBorder="1" applyAlignment="1" applyProtection="1">
      <alignment horizontal="center"/>
    </xf>
    <xf numFmtId="0" fontId="22" fillId="0" borderId="4" xfId="0" quotePrefix="1" applyFont="1" applyFill="1" applyBorder="1" applyAlignment="1" applyProtection="1">
      <alignment horizontal="center"/>
    </xf>
    <xf numFmtId="0" fontId="22" fillId="0" borderId="58" xfId="0" quotePrefix="1" applyFont="1" applyFill="1" applyBorder="1" applyAlignment="1" applyProtection="1">
      <alignment horizontal="center"/>
    </xf>
    <xf numFmtId="0" fontId="7" fillId="0" borderId="7" xfId="0" quotePrefix="1" applyFont="1" applyFill="1" applyBorder="1" applyAlignment="1" applyProtection="1">
      <alignment horizontal="center" vertical="center"/>
    </xf>
    <xf numFmtId="0" fontId="7" fillId="0" borderId="8" xfId="0" quotePrefix="1" applyFont="1" applyFill="1" applyBorder="1" applyAlignment="1" applyProtection="1">
      <alignment horizontal="center" vertical="center"/>
    </xf>
    <xf numFmtId="0" fontId="7" fillId="0" borderId="9" xfId="0" quotePrefix="1" applyFont="1" applyFill="1" applyBorder="1" applyAlignment="1" applyProtection="1">
      <alignment horizontal="center" vertical="center"/>
    </xf>
    <xf numFmtId="0" fontId="7" fillId="0" borderId="5" xfId="0" quotePrefix="1" applyFont="1" applyFill="1" applyBorder="1" applyAlignment="1" applyProtection="1">
      <alignment horizontal="center" vertical="center"/>
    </xf>
    <xf numFmtId="0" fontId="7" fillId="0" borderId="11" xfId="0" quotePrefix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/>
    </xf>
    <xf numFmtId="0" fontId="2" fillId="0" borderId="0" xfId="0" applyNumberFormat="1" applyFon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20" fillId="0" borderId="37" xfId="0" applyFont="1" applyFill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20" fillId="0" borderId="59" xfId="0" applyFont="1" applyFill="1" applyBorder="1" applyAlignment="1" applyProtection="1">
      <alignment horizontal="center" vertical="center"/>
      <protection locked="0"/>
    </xf>
    <xf numFmtId="0" fontId="20" fillId="0" borderId="60" xfId="0" applyFont="1" applyFill="1" applyBorder="1" applyAlignment="1" applyProtection="1">
      <alignment horizontal="center" vertical="center"/>
      <protection locked="0"/>
    </xf>
    <xf numFmtId="0" fontId="7" fillId="0" borderId="12" xfId="0" quotePrefix="1" applyFont="1" applyFill="1" applyBorder="1" applyAlignment="1" applyProtection="1">
      <alignment horizontal="center" vertical="center"/>
    </xf>
    <xf numFmtId="0" fontId="20" fillId="0" borderId="36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7" fillId="0" borderId="2" xfId="0" quotePrefix="1" applyFont="1" applyFill="1" applyBorder="1" applyAlignment="1" applyProtection="1">
      <alignment horizontal="center" vertical="center"/>
    </xf>
    <xf numFmtId="0" fontId="7" fillId="0" borderId="3" xfId="0" quotePrefix="1" applyFont="1" applyFill="1" applyBorder="1" applyAlignment="1" applyProtection="1">
      <alignment horizontal="center" vertical="center"/>
    </xf>
    <xf numFmtId="0" fontId="7" fillId="0" borderId="24" xfId="0" quotePrefix="1" applyFont="1" applyFill="1" applyBorder="1" applyAlignment="1" applyProtection="1">
      <alignment horizontal="center" vertical="center"/>
    </xf>
    <xf numFmtId="0" fontId="7" fillId="0" borderId="34" xfId="0" quotePrefix="1" applyFont="1" applyFill="1" applyBorder="1" applyAlignment="1" applyProtection="1">
      <alignment horizontal="center" vertical="center"/>
    </xf>
    <xf numFmtId="0" fontId="7" fillId="0" borderId="4" xfId="0" quotePrefix="1" applyFont="1" applyFill="1" applyBorder="1" applyAlignment="1" applyProtection="1">
      <alignment horizontal="center" vertical="center"/>
    </xf>
    <xf numFmtId="0" fontId="22" fillId="0" borderId="4" xfId="0" quotePrefix="1" applyNumberFormat="1" applyFont="1" applyFill="1" applyBorder="1" applyAlignment="1" applyProtection="1">
      <alignment horizontal="center" vertical="center"/>
    </xf>
    <xf numFmtId="0" fontId="22" fillId="0" borderId="4" xfId="0" quotePrefix="1" applyNumberFormat="1" applyFont="1" applyFill="1" applyBorder="1" applyAlignment="1" applyProtection="1">
      <alignment horizontal="center"/>
    </xf>
    <xf numFmtId="0" fontId="22" fillId="0" borderId="58" xfId="0" quotePrefix="1" applyNumberFormat="1" applyFont="1" applyFill="1" applyBorder="1" applyAlignment="1" applyProtection="1">
      <alignment horizontal="center"/>
    </xf>
    <xf numFmtId="0" fontId="22" fillId="0" borderId="11" xfId="0" applyFont="1" applyFill="1" applyBorder="1" applyAlignment="1" applyProtection="1">
      <alignment horizontal="center" vertical="center"/>
    </xf>
    <xf numFmtId="0" fontId="22" fillId="0" borderId="8" xfId="0" quotePrefix="1" applyFont="1" applyFill="1" applyBorder="1" applyAlignment="1" applyProtection="1">
      <alignment horizontal="center"/>
    </xf>
    <xf numFmtId="0" fontId="22" fillId="0" borderId="48" xfId="0" quotePrefix="1" applyFont="1" applyFill="1" applyBorder="1" applyAlignment="1" applyProtection="1">
      <alignment horizontal="center" vertical="center"/>
    </xf>
    <xf numFmtId="0" fontId="22" fillId="0" borderId="62" xfId="0" quotePrefix="1" applyFont="1" applyFill="1" applyBorder="1" applyAlignment="1" applyProtection="1">
      <alignment horizontal="center"/>
    </xf>
    <xf numFmtId="0" fontId="22" fillId="0" borderId="36" xfId="0" quotePrefix="1" applyFont="1" applyFill="1" applyBorder="1" applyAlignment="1" applyProtection="1">
      <alignment horizontal="center"/>
    </xf>
    <xf numFmtId="0" fontId="22" fillId="0" borderId="59" xfId="0" quotePrefix="1" applyFont="1" applyFill="1" applyBorder="1" applyAlignment="1" applyProtection="1">
      <alignment horizontal="center"/>
    </xf>
    <xf numFmtId="0" fontId="2" fillId="0" borderId="12" xfId="0" quotePrefix="1" applyFont="1" applyBorder="1" applyAlignment="1" applyProtection="1">
      <alignment horizontal="center" vertical="center"/>
    </xf>
    <xf numFmtId="164" fontId="2" fillId="0" borderId="12" xfId="0" quotePrefix="1" applyNumberFormat="1" applyFont="1" applyBorder="1" applyAlignment="1" applyProtection="1">
      <alignment horizontal="center" vertical="center"/>
    </xf>
    <xf numFmtId="0" fontId="2" fillId="0" borderId="33" xfId="0" quotePrefix="1" applyFont="1" applyBorder="1" applyAlignment="1" applyProtection="1">
      <alignment horizontal="center" vertical="center"/>
    </xf>
    <xf numFmtId="0" fontId="2" fillId="8" borderId="52" xfId="0" applyFont="1" applyFill="1" applyBorder="1" applyAlignment="1" applyProtection="1">
      <alignment horizontal="center" vertical="center" wrapText="1"/>
      <protection locked="0"/>
    </xf>
    <xf numFmtId="0" fontId="2" fillId="6" borderId="30" xfId="0" applyFont="1" applyFill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2" fillId="11" borderId="26" xfId="0" applyFont="1" applyFill="1" applyBorder="1" applyAlignment="1" applyProtection="1">
      <alignment horizontal="center" vertical="center" wrapText="1"/>
      <protection locked="0"/>
    </xf>
    <xf numFmtId="0" fontId="2" fillId="0" borderId="5" xfId="0" quotePrefix="1" applyFont="1" applyBorder="1" applyAlignment="1" applyProtection="1">
      <alignment horizontal="center" vertical="center"/>
    </xf>
    <xf numFmtId="0" fontId="2" fillId="0" borderId="63" xfId="0" quotePrefix="1" applyFont="1" applyBorder="1" applyAlignment="1" applyProtection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" fillId="0" borderId="25" xfId="0" quotePrefix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10" borderId="0" xfId="0" applyFont="1" applyFill="1" applyProtection="1"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10" borderId="0" xfId="0" applyFont="1" applyFill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16" fillId="0" borderId="25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5" fillId="0" borderId="0" xfId="0" applyFont="1" applyProtection="1">
      <protection locked="0"/>
    </xf>
    <xf numFmtId="0" fontId="25" fillId="0" borderId="25" xfId="0" applyFont="1" applyBorder="1" applyAlignment="1" applyProtection="1">
      <alignment horizontal="center" vertical="center"/>
      <protection locked="0"/>
    </xf>
    <xf numFmtId="0" fontId="26" fillId="0" borderId="0" xfId="0" applyFont="1" applyProtection="1"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26" fillId="5" borderId="64" xfId="0" applyFont="1" applyFill="1" applyBorder="1" applyAlignment="1" applyProtection="1">
      <alignment horizontal="center" vertical="center" wrapText="1"/>
      <protection locked="0"/>
    </xf>
    <xf numFmtId="0" fontId="26" fillId="6" borderId="25" xfId="0" applyFont="1" applyFill="1" applyBorder="1" applyAlignment="1" applyProtection="1">
      <alignment horizontal="center" vertical="center" wrapText="1"/>
      <protection locked="0"/>
    </xf>
    <xf numFmtId="0" fontId="26" fillId="11" borderId="25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26" fillId="14" borderId="35" xfId="0" applyFont="1" applyFill="1" applyBorder="1" applyAlignment="1" applyProtection="1">
      <alignment horizontal="center" vertical="center" wrapText="1"/>
      <protection locked="0"/>
    </xf>
    <xf numFmtId="0" fontId="26" fillId="0" borderId="12" xfId="0" quotePrefix="1" applyFont="1" applyBorder="1" applyAlignment="1" applyProtection="1">
      <alignment horizontal="center" vertical="center"/>
    </xf>
    <xf numFmtId="0" fontId="26" fillId="0" borderId="12" xfId="0" applyFont="1" applyBorder="1" applyAlignment="1" applyProtection="1">
      <alignment horizontal="center" vertical="center"/>
    </xf>
    <xf numFmtId="0" fontId="26" fillId="0" borderId="0" xfId="0" quotePrefix="1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</xf>
    <xf numFmtId="0" fontId="7" fillId="0" borderId="52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0" xfId="0" applyFont="1" applyProtection="1"/>
    <xf numFmtId="0" fontId="7" fillId="0" borderId="25" xfId="0" quotePrefix="1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28" fillId="7" borderId="26" xfId="0" applyFont="1" applyFill="1" applyBorder="1" applyAlignment="1" applyProtection="1">
      <alignment horizontal="center" vertical="center" wrapText="1"/>
      <protection locked="0"/>
    </xf>
    <xf numFmtId="0" fontId="11" fillId="10" borderId="0" xfId="0" applyFont="1" applyFill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2" fillId="0" borderId="1" xfId="0" quotePrefix="1" applyFont="1" applyBorder="1" applyAlignment="1" applyProtection="1">
      <alignment horizontal="center" vertical="center"/>
      <protection locked="0"/>
    </xf>
    <xf numFmtId="0" fontId="2" fillId="0" borderId="14" xfId="0" quotePrefix="1" applyFont="1" applyBorder="1" applyAlignment="1" applyProtection="1">
      <alignment horizontal="center" vertical="center"/>
      <protection locked="0"/>
    </xf>
    <xf numFmtId="0" fontId="26" fillId="11" borderId="26" xfId="0" applyFont="1" applyFill="1" applyBorder="1" applyAlignment="1" applyProtection="1">
      <alignment horizontal="center" vertical="center" wrapText="1"/>
      <protection locked="0"/>
    </xf>
    <xf numFmtId="0" fontId="26" fillId="5" borderId="39" xfId="0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/>
    </xf>
    <xf numFmtId="0" fontId="26" fillId="15" borderId="27" xfId="0" applyFont="1" applyFill="1" applyBorder="1" applyAlignment="1" applyProtection="1">
      <alignment horizontal="center" vertical="center" wrapText="1"/>
      <protection locked="0"/>
    </xf>
    <xf numFmtId="0" fontId="2" fillId="15" borderId="25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/>
    </xf>
    <xf numFmtId="0" fontId="12" fillId="0" borderId="34" xfId="0" applyFont="1" applyFill="1" applyBorder="1" applyAlignment="1" applyProtection="1">
      <alignment horizontal="center" vertical="center"/>
    </xf>
    <xf numFmtId="0" fontId="12" fillId="0" borderId="34" xfId="0" quotePrefix="1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</xf>
    <xf numFmtId="0" fontId="12" fillId="0" borderId="11" xfId="0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2" fillId="0" borderId="53" xfId="0" quotePrefix="1" applyFont="1" applyBorder="1" applyAlignment="1" applyProtection="1">
      <alignment horizontal="center" vertical="center"/>
    </xf>
    <xf numFmtId="0" fontId="2" fillId="0" borderId="10" xfId="0" quotePrefix="1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11" borderId="26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horizontal="center"/>
      <protection locked="0"/>
    </xf>
    <xf numFmtId="0" fontId="22" fillId="0" borderId="11" xfId="0" quotePrefix="1" applyFont="1" applyFill="1" applyBorder="1" applyAlignment="1" applyProtection="1">
      <alignment horizontal="center"/>
    </xf>
    <xf numFmtId="0" fontId="2" fillId="0" borderId="68" xfId="0" quotePrefix="1" applyFont="1" applyBorder="1" applyAlignment="1" applyProtection="1">
      <alignment horizontal="center" vertical="center"/>
    </xf>
    <xf numFmtId="0" fontId="2" fillId="0" borderId="69" xfId="0" quotePrefix="1" applyFont="1" applyBorder="1" applyAlignment="1" applyProtection="1">
      <alignment horizontal="center" vertical="center"/>
    </xf>
    <xf numFmtId="0" fontId="2" fillId="0" borderId="70" xfId="0" quotePrefix="1" applyFont="1" applyBorder="1" applyAlignment="1" applyProtection="1">
      <alignment horizontal="center" vertical="center"/>
    </xf>
    <xf numFmtId="0" fontId="2" fillId="0" borderId="8" xfId="0" quotePrefix="1" applyFont="1" applyBorder="1" applyAlignment="1" applyProtection="1">
      <alignment horizontal="center" vertical="center"/>
    </xf>
    <xf numFmtId="0" fontId="2" fillId="0" borderId="3" xfId="0" quotePrefix="1" applyFont="1" applyBorder="1" applyAlignment="1" applyProtection="1">
      <alignment horizontal="center" vertical="center"/>
    </xf>
    <xf numFmtId="0" fontId="2" fillId="0" borderId="4" xfId="0" quotePrefix="1" applyFont="1" applyBorder="1" applyAlignment="1" applyProtection="1">
      <alignment horizontal="center" vertical="center"/>
    </xf>
    <xf numFmtId="0" fontId="2" fillId="0" borderId="9" xfId="0" quotePrefix="1" applyFont="1" applyBorder="1" applyAlignment="1" applyProtection="1">
      <alignment horizontal="center" vertical="center"/>
    </xf>
    <xf numFmtId="0" fontId="2" fillId="0" borderId="11" xfId="0" quotePrefix="1" applyFont="1" applyBorder="1" applyAlignment="1" applyProtection="1">
      <alignment horizontal="center" vertical="center"/>
    </xf>
    <xf numFmtId="0" fontId="2" fillId="0" borderId="61" xfId="0" quotePrefix="1" applyFont="1" applyBorder="1" applyAlignment="1" applyProtection="1">
      <alignment horizontal="center" vertical="center"/>
    </xf>
    <xf numFmtId="0" fontId="2" fillId="0" borderId="69" xfId="0" applyFont="1" applyBorder="1" applyAlignment="1" applyProtection="1">
      <alignment horizontal="center" vertical="center"/>
    </xf>
    <xf numFmtId="0" fontId="2" fillId="0" borderId="70" xfId="0" applyFont="1" applyBorder="1" applyAlignment="1" applyProtection="1">
      <alignment horizontal="center" vertical="center"/>
    </xf>
    <xf numFmtId="0" fontId="0" fillId="0" borderId="0" xfId="0" applyFill="1" applyProtection="1">
      <protection locked="0"/>
    </xf>
    <xf numFmtId="0" fontId="26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Protection="1"/>
    <xf numFmtId="0" fontId="26" fillId="6" borderId="0" xfId="0" applyFont="1" applyFill="1" applyProtection="1"/>
    <xf numFmtId="0" fontId="30" fillId="0" borderId="0" xfId="0" applyFont="1" applyProtection="1">
      <protection locked="0"/>
    </xf>
    <xf numFmtId="0" fontId="30" fillId="0" borderId="0" xfId="0" applyFont="1" applyFill="1" applyProtection="1">
      <protection locked="0"/>
    </xf>
    <xf numFmtId="0" fontId="30" fillId="0" borderId="0" xfId="0" applyFont="1"/>
    <xf numFmtId="0" fontId="26" fillId="0" borderId="36" xfId="0" applyFont="1" applyFill="1" applyBorder="1" applyAlignment="1" applyProtection="1">
      <alignment horizontal="center" vertical="center"/>
    </xf>
    <xf numFmtId="0" fontId="26" fillId="0" borderId="37" xfId="0" applyFont="1" applyFill="1" applyBorder="1" applyAlignment="1" applyProtection="1">
      <alignment horizontal="center" vertical="center"/>
    </xf>
    <xf numFmtId="0" fontId="26" fillId="0" borderId="5" xfId="0" applyFont="1" applyBorder="1" applyAlignment="1" applyProtection="1">
      <alignment horizontal="center" vertical="center"/>
    </xf>
    <xf numFmtId="0" fontId="26" fillId="0" borderId="33" xfId="0" applyFont="1" applyBorder="1" applyAlignment="1" applyProtection="1">
      <alignment horizontal="center" vertical="center"/>
    </xf>
    <xf numFmtId="0" fontId="26" fillId="0" borderId="63" xfId="0" applyFont="1" applyBorder="1" applyAlignment="1" applyProtection="1">
      <alignment horizontal="center" vertical="center"/>
    </xf>
    <xf numFmtId="0" fontId="26" fillId="0" borderId="13" xfId="0" applyFont="1" applyBorder="1" applyAlignment="1" applyProtection="1">
      <alignment horizontal="center" vertical="center"/>
    </xf>
    <xf numFmtId="0" fontId="26" fillId="0" borderId="14" xfId="0" applyFont="1" applyBorder="1" applyAlignment="1" applyProtection="1">
      <alignment horizontal="center" vertical="center"/>
    </xf>
    <xf numFmtId="0" fontId="26" fillId="0" borderId="15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6" fillId="6" borderId="0" xfId="0" applyFont="1" applyFill="1" applyAlignment="1" applyProtection="1">
      <alignment wrapText="1"/>
      <protection locked="0"/>
    </xf>
    <xf numFmtId="0" fontId="26" fillId="6" borderId="0" xfId="0" applyFont="1" applyFill="1" applyAlignment="1" applyProtection="1">
      <alignment horizontal="center" vertical="center" wrapText="1"/>
      <protection locked="0"/>
    </xf>
    <xf numFmtId="0" fontId="26" fillId="6" borderId="0" xfId="0" applyFont="1" applyFill="1" applyAlignment="1" applyProtection="1">
      <alignment horizontal="center" vertical="center"/>
    </xf>
    <xf numFmtId="0" fontId="0" fillId="6" borderId="0" xfId="0" applyFill="1" applyProtection="1"/>
    <xf numFmtId="0" fontId="26" fillId="5" borderId="71" xfId="0" applyFont="1" applyFill="1" applyBorder="1" applyAlignment="1" applyProtection="1">
      <alignment horizontal="center" vertical="center" wrapText="1"/>
      <protection locked="0"/>
    </xf>
    <xf numFmtId="0" fontId="26" fillId="10" borderId="25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/>
    <xf numFmtId="0" fontId="4" fillId="0" borderId="13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 vertical="center"/>
    </xf>
    <xf numFmtId="0" fontId="23" fillId="0" borderId="14" xfId="0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center" vertical="center"/>
    </xf>
    <xf numFmtId="0" fontId="2" fillId="0" borderId="2" xfId="0" quotePrefix="1" applyFont="1" applyFill="1" applyBorder="1" applyAlignment="1" applyProtection="1">
      <alignment horizontal="center" vertical="center"/>
    </xf>
    <xf numFmtId="0" fontId="2" fillId="0" borderId="7" xfId="0" quotePrefix="1" applyFont="1" applyFill="1" applyBorder="1" applyAlignment="1" applyProtection="1">
      <alignment horizontal="center" vertical="center"/>
    </xf>
    <xf numFmtId="0" fontId="2" fillId="0" borderId="8" xfId="0" quotePrefix="1" applyFont="1" applyFill="1" applyBorder="1" applyAlignment="1" applyProtection="1">
      <alignment horizontal="center" vertical="center"/>
    </xf>
    <xf numFmtId="0" fontId="2" fillId="0" borderId="3" xfId="0" quotePrefix="1" applyFont="1" applyFill="1" applyBorder="1" applyAlignment="1" applyProtection="1">
      <alignment horizontal="center" vertical="center"/>
    </xf>
    <xf numFmtId="0" fontId="2" fillId="0" borderId="1" xfId="0" quotePrefix="1" applyFont="1" applyFill="1" applyBorder="1" applyAlignment="1" applyProtection="1">
      <alignment horizontal="center" vertical="center"/>
    </xf>
    <xf numFmtId="0" fontId="2" fillId="0" borderId="9" xfId="0" quotePrefix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protection locked="0"/>
    </xf>
    <xf numFmtId="0" fontId="26" fillId="0" borderId="43" xfId="0" applyFont="1" applyFill="1" applyBorder="1" applyAlignment="1" applyProtection="1">
      <alignment horizontal="center" vertical="center"/>
    </xf>
    <xf numFmtId="0" fontId="26" fillId="0" borderId="33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59" xfId="0" applyFont="1" applyBorder="1" applyAlignment="1" applyProtection="1">
      <alignment horizontal="center" vertical="center"/>
      <protection locked="0"/>
    </xf>
    <xf numFmtId="0" fontId="26" fillId="0" borderId="5" xfId="0" quotePrefix="1" applyFont="1" applyBorder="1" applyAlignment="1" applyProtection="1">
      <alignment horizontal="center" vertical="center"/>
    </xf>
    <xf numFmtId="0" fontId="26" fillId="0" borderId="59" xfId="0" applyFont="1" applyFill="1" applyBorder="1" applyAlignment="1" applyProtection="1">
      <alignment horizontal="center" vertical="center"/>
    </xf>
    <xf numFmtId="0" fontId="26" fillId="0" borderId="2" xfId="0" applyFont="1" applyBorder="1" applyAlignment="1" applyProtection="1">
      <alignment horizontal="center" vertical="center"/>
    </xf>
    <xf numFmtId="0" fontId="26" fillId="0" borderId="7" xfId="0" quotePrefix="1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3" xfId="0" applyFont="1" applyBorder="1" applyAlignment="1" applyProtection="1">
      <alignment horizontal="center" vertical="center"/>
    </xf>
    <xf numFmtId="0" fontId="26" fillId="0" borderId="34" xfId="0" applyFont="1" applyBorder="1" applyAlignment="1" applyProtection="1">
      <alignment horizontal="center" vertical="center"/>
    </xf>
    <xf numFmtId="0" fontId="26" fillId="0" borderId="4" xfId="0" applyFont="1" applyBorder="1" applyAlignment="1" applyProtection="1">
      <alignment horizontal="center" vertical="center"/>
    </xf>
    <xf numFmtId="0" fontId="26" fillId="0" borderId="11" xfId="0" applyFont="1" applyBorder="1" applyAlignment="1" applyProtection="1">
      <alignment horizontal="center" vertical="center"/>
    </xf>
    <xf numFmtId="0" fontId="2" fillId="0" borderId="4" xfId="0" quotePrefix="1" applyFont="1" applyFill="1" applyBorder="1" applyAlignment="1" applyProtection="1">
      <alignment horizontal="center" vertical="center"/>
    </xf>
    <xf numFmtId="0" fontId="2" fillId="0" borderId="5" xfId="0" quotePrefix="1" applyFont="1" applyFill="1" applyBorder="1" applyAlignment="1" applyProtection="1">
      <alignment horizontal="center" vertical="center"/>
    </xf>
    <xf numFmtId="0" fontId="2" fillId="0" borderId="11" xfId="0" quotePrefix="1" applyFont="1" applyFill="1" applyBorder="1" applyAlignment="1" applyProtection="1">
      <alignment horizontal="center" vertical="center"/>
    </xf>
    <xf numFmtId="0" fontId="27" fillId="0" borderId="69" xfId="0" applyFont="1" applyBorder="1" applyAlignment="1" applyProtection="1">
      <alignment horizontal="center" vertical="center"/>
    </xf>
    <xf numFmtId="0" fontId="27" fillId="0" borderId="70" xfId="0" applyFont="1" applyBorder="1" applyAlignment="1" applyProtection="1">
      <alignment horizontal="center" vertical="center"/>
    </xf>
    <xf numFmtId="0" fontId="26" fillId="0" borderId="13" xfId="0" applyFont="1" applyBorder="1" applyAlignment="1" applyProtection="1">
      <alignment horizontal="center" vertical="center"/>
      <protection locked="0"/>
    </xf>
    <xf numFmtId="0" fontId="26" fillId="0" borderId="14" xfId="0" applyFont="1" applyBorder="1" applyAlignment="1" applyProtection="1">
      <alignment horizontal="center" vertical="center"/>
      <protection locked="0"/>
    </xf>
    <xf numFmtId="0" fontId="26" fillId="0" borderId="15" xfId="0" applyFont="1" applyBorder="1" applyAlignment="1" applyProtection="1">
      <alignment horizontal="center" vertical="center"/>
      <protection locked="0"/>
    </xf>
    <xf numFmtId="0" fontId="34" fillId="0" borderId="0" xfId="0" applyFont="1" applyBorder="1" applyAlignment="1">
      <alignment horizontal="center"/>
    </xf>
    <xf numFmtId="0" fontId="27" fillId="0" borderId="61" xfId="0" applyFont="1" applyBorder="1" applyAlignment="1" applyProtection="1">
      <alignment horizontal="center" vertical="center"/>
    </xf>
    <xf numFmtId="0" fontId="26" fillId="10" borderId="16" xfId="0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164" fontId="2" fillId="0" borderId="61" xfId="0" quotePrefix="1" applyNumberFormat="1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15" xfId="0" quotePrefix="1" applyFont="1" applyBorder="1" applyAlignment="1" applyProtection="1">
      <alignment horizontal="center" vertical="center"/>
    </xf>
    <xf numFmtId="0" fontId="2" fillId="0" borderId="31" xfId="0" quotePrefix="1" applyFont="1" applyBorder="1" applyAlignment="1" applyProtection="1">
      <alignment horizontal="center" vertical="center"/>
    </xf>
    <xf numFmtId="0" fontId="2" fillId="0" borderId="61" xfId="0" applyFont="1" applyBorder="1" applyAlignment="1" applyProtection="1">
      <alignment horizontal="center" vertical="center"/>
    </xf>
    <xf numFmtId="0" fontId="2" fillId="10" borderId="25" xfId="0" applyFont="1" applyFill="1" applyBorder="1" applyAlignment="1" applyProtection="1">
      <alignment horizontal="center" vertical="center" wrapText="1"/>
      <protection locked="0"/>
    </xf>
    <xf numFmtId="0" fontId="2" fillId="5" borderId="29" xfId="0" applyFont="1" applyFill="1" applyBorder="1" applyAlignment="1" applyProtection="1">
      <alignment horizontal="center" vertical="center"/>
      <protection locked="0"/>
    </xf>
    <xf numFmtId="0" fontId="2" fillId="6" borderId="25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2" fillId="9" borderId="25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69" xfId="0" applyFont="1" applyBorder="1" applyAlignment="1" applyProtection="1">
      <alignment horizontal="center"/>
      <protection locked="0"/>
    </xf>
    <xf numFmtId="0" fontId="2" fillId="0" borderId="69" xfId="0" applyFont="1" applyBorder="1" applyProtection="1"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Protection="1"/>
    <xf numFmtId="0" fontId="35" fillId="0" borderId="0" xfId="0" applyFont="1" applyBorder="1" applyProtection="1"/>
    <xf numFmtId="0" fontId="3" fillId="0" borderId="0" xfId="0" applyFont="1" applyBorder="1" applyAlignment="1" applyProtection="1">
      <alignment horizontal="center" vertical="center"/>
    </xf>
    <xf numFmtId="0" fontId="21" fillId="0" borderId="0" xfId="0" applyFont="1"/>
    <xf numFmtId="0" fontId="7" fillId="0" borderId="25" xfId="0" applyFont="1" applyBorder="1"/>
    <xf numFmtId="0" fontId="26" fillId="0" borderId="7" xfId="0" applyFont="1" applyFill="1" applyBorder="1" applyAlignment="1" applyProtection="1">
      <alignment horizontal="center" vertical="center"/>
    </xf>
    <xf numFmtId="0" fontId="26" fillId="0" borderId="12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 vertical="center"/>
    </xf>
    <xf numFmtId="0" fontId="32" fillId="0" borderId="27" xfId="0" applyFont="1" applyBorder="1" applyAlignment="1" applyProtection="1">
      <alignment horizontal="center"/>
      <protection locked="0"/>
    </xf>
    <xf numFmtId="0" fontId="32" fillId="0" borderId="28" xfId="0" applyFont="1" applyBorder="1" applyAlignment="1" applyProtection="1">
      <alignment horizontal="center"/>
      <protection locked="0"/>
    </xf>
    <xf numFmtId="0" fontId="32" fillId="0" borderId="48" xfId="0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alignment horizontal="center"/>
      <protection locked="0"/>
    </xf>
    <xf numFmtId="0" fontId="2" fillId="0" borderId="28" xfId="0" applyFont="1" applyBorder="1" applyAlignment="1" applyProtection="1">
      <alignment horizontal="center"/>
      <protection locked="0"/>
    </xf>
    <xf numFmtId="0" fontId="2" fillId="0" borderId="48" xfId="0" applyFont="1" applyBorder="1" applyAlignment="1" applyProtection="1">
      <alignment horizontal="center"/>
      <protection locked="0"/>
    </xf>
    <xf numFmtId="0" fontId="23" fillId="0" borderId="28" xfId="0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center"/>
      <protection locked="0"/>
    </xf>
    <xf numFmtId="0" fontId="23" fillId="0" borderId="27" xfId="0" applyFont="1" applyBorder="1" applyAlignment="1" applyProtection="1">
      <alignment horizontal="center"/>
      <protection locked="0"/>
    </xf>
    <xf numFmtId="0" fontId="23" fillId="0" borderId="48" xfId="0" applyFont="1" applyBorder="1" applyAlignment="1" applyProtection="1">
      <alignment horizontal="center"/>
      <protection locked="0"/>
    </xf>
    <xf numFmtId="0" fontId="2" fillId="0" borderId="50" xfId="0" applyFont="1" applyBorder="1" applyAlignment="1" applyProtection="1">
      <alignment horizontal="center"/>
      <protection locked="0"/>
    </xf>
    <xf numFmtId="0" fontId="12" fillId="0" borderId="8" xfId="0" quotePrefix="1" applyFont="1" applyFill="1" applyBorder="1" applyAlignment="1" applyProtection="1">
      <alignment horizontal="center" vertical="center"/>
    </xf>
    <xf numFmtId="0" fontId="36" fillId="0" borderId="0" xfId="0" applyFont="1" applyFill="1" applyAlignment="1" applyProtection="1">
      <alignment horizontal="center" vertical="center"/>
    </xf>
    <xf numFmtId="0" fontId="36" fillId="0" borderId="0" xfId="0" quotePrefix="1" applyFont="1" applyAlignment="1" applyProtection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37" fillId="1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0" fontId="8" fillId="0" borderId="0" xfId="0" applyFont="1"/>
    <xf numFmtId="0" fontId="7" fillId="0" borderId="0" xfId="0" applyFont="1" applyAlignment="1" applyProtection="1">
      <alignment horizontal="center" vertical="center" wrapText="1"/>
      <protection locked="0"/>
    </xf>
    <xf numFmtId="0" fontId="33" fillId="0" borderId="0" xfId="0" applyFont="1"/>
    <xf numFmtId="0" fontId="22" fillId="10" borderId="48" xfId="0" applyFont="1" applyFill="1" applyBorder="1" applyAlignment="1" applyProtection="1">
      <alignment horizontal="center" vertical="center"/>
    </xf>
    <xf numFmtId="0" fontId="22" fillId="10" borderId="5" xfId="0" applyFont="1" applyFill="1" applyBorder="1" applyAlignment="1" applyProtection="1">
      <alignment horizontal="center" vertical="center"/>
    </xf>
    <xf numFmtId="0" fontId="22" fillId="10" borderId="2" xfId="0" quotePrefix="1" applyFont="1" applyFill="1" applyBorder="1" applyAlignment="1" applyProtection="1">
      <alignment horizontal="center"/>
    </xf>
    <xf numFmtId="0" fontId="22" fillId="10" borderId="12" xfId="0" quotePrefix="1" applyFont="1" applyFill="1" applyBorder="1" applyAlignment="1" applyProtection="1">
      <alignment horizontal="center"/>
    </xf>
    <xf numFmtId="0" fontId="3" fillId="0" borderId="0" xfId="0" applyFont="1" applyAlignment="1" applyProtection="1">
      <alignment vertical="center"/>
      <protection locked="0"/>
    </xf>
    <xf numFmtId="0" fontId="3" fillId="0" borderId="0" xfId="0" quotePrefix="1" applyFon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4" fillId="0" borderId="44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center" vertical="center" wrapText="1"/>
      <protection locked="0"/>
    </xf>
    <xf numFmtId="0" fontId="2" fillId="3" borderId="18" xfId="0" applyFont="1" applyFill="1" applyBorder="1" applyAlignment="1" applyProtection="1">
      <alignment horizontal="center" vertical="center" wrapText="1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16" fillId="0" borderId="29" xfId="0" applyFont="1" applyFill="1" applyBorder="1" applyAlignment="1" applyProtection="1">
      <alignment horizontal="center" vertical="center"/>
      <protection locked="0"/>
    </xf>
    <xf numFmtId="0" fontId="16" fillId="0" borderId="18" xfId="0" applyFont="1" applyFill="1" applyBorder="1" applyAlignment="1" applyProtection="1">
      <alignment horizontal="center" vertical="center"/>
      <protection locked="0"/>
    </xf>
    <xf numFmtId="0" fontId="16" fillId="0" borderId="19" xfId="0" applyFont="1" applyFill="1" applyBorder="1" applyAlignment="1" applyProtection="1">
      <alignment horizontal="center" vertical="center"/>
      <protection locked="0"/>
    </xf>
    <xf numFmtId="0" fontId="2" fillId="3" borderId="20" xfId="0" applyFont="1" applyFill="1" applyBorder="1" applyAlignment="1" applyProtection="1">
      <alignment horizontal="center" vertical="center"/>
      <protection locked="0"/>
    </xf>
    <xf numFmtId="0" fontId="2" fillId="3" borderId="21" xfId="0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2" fillId="11" borderId="20" xfId="0" applyFont="1" applyFill="1" applyBorder="1" applyAlignment="1" applyProtection="1">
      <alignment horizontal="center" vertical="center"/>
      <protection locked="0"/>
    </xf>
    <xf numFmtId="0" fontId="2" fillId="11" borderId="21" xfId="0" applyFont="1" applyFill="1" applyBorder="1" applyAlignment="1" applyProtection="1">
      <alignment horizontal="center" vertical="center"/>
      <protection locked="0"/>
    </xf>
    <xf numFmtId="0" fontId="2" fillId="11" borderId="22" xfId="0" applyFont="1" applyFill="1" applyBorder="1" applyAlignment="1" applyProtection="1">
      <alignment horizontal="center" vertical="center"/>
      <protection locked="0"/>
    </xf>
    <xf numFmtId="0" fontId="2" fillId="6" borderId="20" xfId="0" applyFont="1" applyFill="1" applyBorder="1" applyAlignment="1" applyProtection="1">
      <alignment horizontal="center" vertical="center"/>
      <protection locked="0"/>
    </xf>
    <xf numFmtId="0" fontId="2" fillId="6" borderId="21" xfId="0" applyFont="1" applyFill="1" applyBorder="1" applyAlignment="1" applyProtection="1">
      <alignment horizontal="center" vertical="center"/>
      <protection locked="0"/>
    </xf>
    <xf numFmtId="0" fontId="2" fillId="6" borderId="22" xfId="0" applyFont="1" applyFill="1" applyBorder="1" applyAlignment="1" applyProtection="1">
      <alignment horizontal="center" vertical="center"/>
      <protection locked="0"/>
    </xf>
    <xf numFmtId="0" fontId="19" fillId="0" borderId="26" xfId="0" applyFont="1" applyFill="1" applyBorder="1" applyAlignment="1" applyProtection="1">
      <alignment horizontal="center" vertical="center"/>
      <protection locked="0"/>
    </xf>
    <xf numFmtId="0" fontId="19" fillId="0" borderId="47" xfId="0" applyFont="1" applyFill="1" applyBorder="1" applyAlignment="1" applyProtection="1">
      <alignment horizontal="center" vertical="center"/>
      <protection locked="0"/>
    </xf>
    <xf numFmtId="0" fontId="18" fillId="6" borderId="26" xfId="0" applyFont="1" applyFill="1" applyBorder="1" applyAlignment="1" applyProtection="1">
      <alignment horizontal="center" vertical="center"/>
      <protection locked="0"/>
    </xf>
    <xf numFmtId="0" fontId="18" fillId="6" borderId="47" xfId="0" applyFont="1" applyFill="1" applyBorder="1" applyAlignment="1" applyProtection="1">
      <alignment horizontal="center" vertical="center"/>
      <protection locked="0"/>
    </xf>
    <xf numFmtId="0" fontId="29" fillId="10" borderId="27" xfId="0" applyFont="1" applyFill="1" applyBorder="1" applyAlignment="1">
      <alignment horizontal="center" vertical="center"/>
    </xf>
    <xf numFmtId="0" fontId="29" fillId="10" borderId="65" xfId="0" applyFont="1" applyFill="1" applyBorder="1" applyAlignment="1">
      <alignment horizontal="center" vertical="center"/>
    </xf>
    <xf numFmtId="0" fontId="14" fillId="0" borderId="0" xfId="0" applyFont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center" vertical="center"/>
      <protection locked="0"/>
    </xf>
    <xf numFmtId="0" fontId="30" fillId="0" borderId="66" xfId="0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 vertical="center" wrapText="1"/>
      <protection locked="0"/>
    </xf>
    <xf numFmtId="0" fontId="17" fillId="10" borderId="26" xfId="0" applyFont="1" applyFill="1" applyBorder="1" applyAlignment="1" applyProtection="1">
      <alignment horizontal="center" vertical="center"/>
      <protection locked="0"/>
    </xf>
    <xf numFmtId="0" fontId="17" fillId="10" borderId="47" xfId="0" applyFont="1" applyFill="1" applyBorder="1" applyAlignment="1" applyProtection="1">
      <alignment horizontal="center" vertical="center"/>
      <protection locked="0"/>
    </xf>
    <xf numFmtId="0" fontId="29" fillId="10" borderId="48" xfId="0" applyFont="1" applyFill="1" applyBorder="1" applyAlignment="1">
      <alignment horizontal="center" vertical="center"/>
    </xf>
    <xf numFmtId="0" fontId="29" fillId="10" borderId="49" xfId="0" applyFont="1" applyFill="1" applyBorder="1" applyAlignment="1">
      <alignment horizontal="center" vertical="center"/>
    </xf>
    <xf numFmtId="0" fontId="10" fillId="12" borderId="29" xfId="0" applyFont="1" applyFill="1" applyBorder="1" applyAlignment="1" applyProtection="1">
      <alignment horizontal="center" vertical="center"/>
      <protection locked="0"/>
    </xf>
    <xf numFmtId="0" fontId="10" fillId="0" borderId="19" xfId="0" applyFont="1" applyBorder="1" applyAlignment="1">
      <alignment vertical="center"/>
    </xf>
    <xf numFmtId="0" fontId="10" fillId="10" borderId="29" xfId="0" applyFont="1" applyFill="1" applyBorder="1" applyAlignment="1" applyProtection="1">
      <alignment horizontal="center" vertical="center"/>
      <protection locked="0"/>
    </xf>
    <xf numFmtId="0" fontId="10" fillId="13" borderId="29" xfId="0" applyFont="1" applyFill="1" applyBorder="1" applyAlignment="1" applyProtection="1">
      <alignment horizontal="center" vertical="center"/>
      <protection locked="0"/>
    </xf>
    <xf numFmtId="0" fontId="21" fillId="0" borderId="29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7" borderId="29" xfId="0" applyFont="1" applyFill="1" applyBorder="1" applyAlignment="1" applyProtection="1">
      <alignment horizontal="center" vertical="center" wrapText="1"/>
      <protection locked="0"/>
    </xf>
    <xf numFmtId="0" fontId="3" fillId="7" borderId="18" xfId="0" applyFont="1" applyFill="1" applyBorder="1" applyAlignment="1" applyProtection="1">
      <alignment horizontal="center" vertical="center" wrapText="1"/>
      <protection locked="0"/>
    </xf>
    <xf numFmtId="0" fontId="2" fillId="7" borderId="29" xfId="0" applyFont="1" applyFill="1" applyBorder="1" applyAlignment="1" applyProtection="1">
      <alignment horizontal="center" vertical="center" wrapText="1"/>
      <protection locked="0"/>
    </xf>
    <xf numFmtId="0" fontId="2" fillId="7" borderId="18" xfId="0" applyFont="1" applyFill="1" applyBorder="1" applyAlignment="1" applyProtection="1">
      <alignment horizontal="center" vertical="center" wrapText="1"/>
      <protection locked="0"/>
    </xf>
    <xf numFmtId="0" fontId="2" fillId="7" borderId="19" xfId="0" applyFont="1" applyFill="1" applyBorder="1" applyAlignment="1" applyProtection="1">
      <alignment horizontal="center" vertical="center" wrapText="1"/>
      <protection locked="0"/>
    </xf>
    <xf numFmtId="0" fontId="2" fillId="2" borderId="29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9" fillId="4" borderId="29" xfId="0" applyFont="1" applyFill="1" applyBorder="1" applyAlignment="1" applyProtection="1">
      <alignment horizontal="center" vertical="center"/>
      <protection locked="0"/>
    </xf>
    <xf numFmtId="0" fontId="9" fillId="4" borderId="18" xfId="0" applyFont="1" applyFill="1" applyBorder="1" applyAlignment="1" applyProtection="1">
      <alignment horizontal="center" vertical="center"/>
      <protection locked="0"/>
    </xf>
    <xf numFmtId="0" fontId="9" fillId="4" borderId="19" xfId="0" applyFont="1" applyFill="1" applyBorder="1" applyAlignment="1" applyProtection="1">
      <alignment horizontal="center" vertical="center"/>
      <protection locked="0"/>
    </xf>
    <xf numFmtId="0" fontId="3" fillId="7" borderId="19" xfId="0" applyFont="1" applyFill="1" applyBorder="1" applyAlignment="1" applyProtection="1">
      <alignment horizontal="center" vertical="center" wrapText="1"/>
      <protection locked="0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47" xfId="0" applyFont="1" applyFill="1" applyBorder="1" applyAlignment="1" applyProtection="1">
      <alignment horizontal="center" vertical="center"/>
    </xf>
    <xf numFmtId="0" fontId="18" fillId="6" borderId="26" xfId="0" applyFont="1" applyFill="1" applyBorder="1" applyAlignment="1" applyProtection="1">
      <alignment horizontal="center" vertical="center"/>
    </xf>
    <xf numFmtId="0" fontId="18" fillId="6" borderId="47" xfId="0" applyFont="1" applyFill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0" fillId="0" borderId="67" xfId="0" applyBorder="1"/>
    <xf numFmtId="0" fontId="3" fillId="7" borderId="48" xfId="0" applyFont="1" applyFill="1" applyBorder="1" applyAlignment="1" applyProtection="1">
      <alignment horizontal="center" vertical="center" wrapText="1"/>
      <protection locked="0"/>
    </xf>
    <xf numFmtId="0" fontId="3" fillId="7" borderId="44" xfId="0" applyFont="1" applyFill="1" applyBorder="1" applyAlignment="1" applyProtection="1">
      <alignment horizontal="center" vertical="center" wrapText="1"/>
      <protection locked="0"/>
    </xf>
    <xf numFmtId="0" fontId="2" fillId="2" borderId="48" xfId="0" applyFont="1" applyFill="1" applyBorder="1" applyAlignment="1" applyProtection="1">
      <alignment horizontal="center" vertical="center" wrapText="1"/>
      <protection locked="0"/>
    </xf>
    <xf numFmtId="0" fontId="2" fillId="2" borderId="44" xfId="0" applyFont="1" applyFill="1" applyBorder="1" applyAlignment="1" applyProtection="1">
      <alignment horizontal="center" vertical="center" wrapText="1"/>
      <protection locked="0"/>
    </xf>
    <xf numFmtId="0" fontId="2" fillId="2" borderId="49" xfId="0" applyFont="1" applyFill="1" applyBorder="1" applyAlignment="1" applyProtection="1">
      <alignment horizontal="center" vertical="center" wrapText="1"/>
      <protection locked="0"/>
    </xf>
    <xf numFmtId="0" fontId="2" fillId="3" borderId="16" xfId="0" applyFont="1" applyFill="1" applyBorder="1" applyAlignment="1" applyProtection="1">
      <alignment horizontal="center" vertical="center" wrapText="1"/>
      <protection locked="0"/>
    </xf>
    <xf numFmtId="0" fontId="2" fillId="3" borderId="30" xfId="0" applyFont="1" applyFill="1" applyBorder="1" applyAlignment="1" applyProtection="1">
      <alignment horizontal="center" vertical="center" wrapText="1"/>
      <protection locked="0"/>
    </xf>
    <xf numFmtId="0" fontId="2" fillId="7" borderId="16" xfId="0" applyFont="1" applyFill="1" applyBorder="1" applyAlignment="1" applyProtection="1">
      <alignment horizontal="center" vertical="center" wrapText="1"/>
      <protection locked="0"/>
    </xf>
    <xf numFmtId="0" fontId="2" fillId="7" borderId="30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30" xfId="0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6" borderId="20" xfId="0" applyFont="1" applyFill="1" applyBorder="1" applyAlignment="1" applyProtection="1">
      <alignment horizontal="center" vertical="center"/>
    </xf>
    <xf numFmtId="0" fontId="2" fillId="6" borderId="21" xfId="0" applyFont="1" applyFill="1" applyBorder="1" applyAlignment="1" applyProtection="1">
      <alignment horizontal="center" vertical="center"/>
    </xf>
    <xf numFmtId="0" fontId="2" fillId="6" borderId="22" xfId="0" applyFont="1" applyFill="1" applyBorder="1" applyAlignment="1" applyProtection="1">
      <alignment horizontal="center" vertical="center"/>
    </xf>
    <xf numFmtId="0" fontId="2" fillId="3" borderId="20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2" fillId="11" borderId="20" xfId="0" applyFont="1" applyFill="1" applyBorder="1" applyAlignment="1" applyProtection="1">
      <alignment horizontal="center" vertical="center"/>
    </xf>
    <xf numFmtId="0" fontId="2" fillId="11" borderId="21" xfId="0" applyFont="1" applyFill="1" applyBorder="1" applyAlignment="1" applyProtection="1">
      <alignment horizontal="center" vertical="center"/>
    </xf>
    <xf numFmtId="0" fontId="2" fillId="11" borderId="22" xfId="0" applyFont="1" applyFill="1" applyBorder="1" applyAlignment="1" applyProtection="1">
      <alignment horizontal="center" vertical="center"/>
    </xf>
    <xf numFmtId="0" fontId="26" fillId="0" borderId="29" xfId="0" applyFont="1" applyBorder="1" applyAlignment="1" applyProtection="1">
      <alignment horizontal="center" vertical="center"/>
      <protection locked="0"/>
    </xf>
    <xf numFmtId="0" fontId="26" fillId="0" borderId="18" xfId="0" applyFont="1" applyBorder="1" applyAlignment="1" applyProtection="1">
      <alignment horizontal="center" vertical="center"/>
      <protection locked="0"/>
    </xf>
    <xf numFmtId="0" fontId="26" fillId="0" borderId="19" xfId="0" applyFont="1" applyBorder="1" applyAlignment="1" applyProtection="1">
      <alignment horizontal="center" vertical="center"/>
      <protection locked="0"/>
    </xf>
    <xf numFmtId="0" fontId="25" fillId="0" borderId="29" xfId="0" applyFont="1" applyBorder="1" applyAlignment="1" applyProtection="1">
      <alignment horizontal="center" vertical="center"/>
      <protection locked="0"/>
    </xf>
    <xf numFmtId="0" fontId="25" fillId="0" borderId="18" xfId="0" applyFont="1" applyBorder="1" applyAlignment="1" applyProtection="1">
      <alignment horizontal="center" vertical="center"/>
      <protection locked="0"/>
    </xf>
    <xf numFmtId="0" fontId="25" fillId="0" borderId="19" xfId="0" applyFont="1" applyBorder="1" applyAlignment="1" applyProtection="1">
      <alignment horizontal="center" vertical="center"/>
      <protection locked="0"/>
    </xf>
    <xf numFmtId="0" fontId="25" fillId="0" borderId="29" xfId="0" applyFont="1" applyBorder="1" applyAlignment="1" applyProtection="1">
      <alignment horizontal="center"/>
      <protection locked="0"/>
    </xf>
    <xf numFmtId="0" fontId="25" fillId="0" borderId="18" xfId="0" applyFont="1" applyBorder="1" applyAlignment="1" applyProtection="1">
      <alignment horizontal="center"/>
      <protection locked="0"/>
    </xf>
    <xf numFmtId="0" fontId="25" fillId="0" borderId="19" xfId="0" applyFont="1" applyBorder="1" applyAlignment="1" applyProtection="1">
      <alignment horizontal="center"/>
      <protection locked="0"/>
    </xf>
  </cellXfs>
  <cellStyles count="2">
    <cellStyle name="Normal" xfId="0" builtinId="0"/>
    <cellStyle name="Normal 2" xfId="1"/>
  </cellStyles>
  <dxfs count="14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ill>
        <patternFill>
          <bgColor rgb="FF99FF99"/>
        </patternFill>
      </fill>
    </dxf>
    <dxf>
      <fill>
        <patternFill>
          <bgColor rgb="FFCCFF66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CCFF3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CCFF33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C9FD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CCFF3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C9FD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3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C9FD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CCFF3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C9FDCE"/>
        </patternFill>
      </fill>
    </dxf>
  </dxfs>
  <tableStyles count="0" defaultTableStyle="TableStyleMedium9" defaultPivotStyle="PivotStyleLight16"/>
  <colors>
    <mruColors>
      <color rgb="FF99FF99"/>
      <color rgb="FFFF66FF"/>
      <color rgb="FFC9FDCE"/>
      <color rgb="FFCCFF66"/>
      <color rgb="FF66FF33"/>
      <color rgb="FFCCFF33"/>
      <color rgb="FFCCFF99"/>
      <color rgb="FFFF00FF"/>
      <color rgb="FF00FFFF"/>
      <color rgb="FFFF99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rdi%20Bureau\Disque(E)\Boules%202a_39.4%20Go%202.11.18\Dossier%20Formules_1.37%20Go\Logiciels%20Boules%2018.4%20Mo\03_Soci&#233;taire%20ok%20(4.01.17)ok\Dans%20Site\03b2_M&#233;l&#233;e%2030%20Eq.%20D._Tr._3%20parties(abcefgi)(08.05.17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éthode"/>
      <sheetName val="Inscrits"/>
      <sheetName val="Equipe+Tirage-3partiesV"/>
      <sheetName val="Résultats"/>
      <sheetName val="Classement"/>
      <sheetName val="Feuil4"/>
    </sheetNames>
    <sheetDataSet>
      <sheetData sheetId="0" refreshError="1"/>
      <sheetData sheetId="1"/>
      <sheetData sheetId="2" refreshError="1"/>
      <sheetData sheetId="3">
        <row r="10">
          <cell r="B10" t="str">
            <v>Robert</v>
          </cell>
          <cell r="C10">
            <v>5</v>
          </cell>
          <cell r="D10">
            <v>1</v>
          </cell>
          <cell r="E10">
            <v>-1</v>
          </cell>
          <cell r="G10" t="str">
            <v>Michel</v>
          </cell>
          <cell r="H10">
            <v>11</v>
          </cell>
          <cell r="I10">
            <v>3</v>
          </cell>
          <cell r="J10">
            <v>11</v>
          </cell>
          <cell r="L10" t="str">
            <v>Jean</v>
          </cell>
          <cell r="M10">
            <v>18</v>
          </cell>
          <cell r="N10">
            <v>3</v>
          </cell>
          <cell r="O10">
            <v>13</v>
          </cell>
        </row>
        <row r="11">
          <cell r="B11" t="str">
            <v>Pierre</v>
          </cell>
          <cell r="C11">
            <v>5</v>
          </cell>
          <cell r="D11">
            <v>1</v>
          </cell>
          <cell r="E11">
            <v>-1</v>
          </cell>
          <cell r="G11" t="str">
            <v>Marcel</v>
          </cell>
          <cell r="H11">
            <v>11</v>
          </cell>
          <cell r="I11">
            <v>3</v>
          </cell>
          <cell r="J11">
            <v>11</v>
          </cell>
          <cell r="L11" t="str">
            <v>Pierre</v>
          </cell>
          <cell r="M11">
            <v>18</v>
          </cell>
          <cell r="N11">
            <v>3</v>
          </cell>
          <cell r="O11">
            <v>13</v>
          </cell>
        </row>
        <row r="12">
          <cell r="B12" t="str">
            <v>Josiane</v>
          </cell>
          <cell r="C12">
            <v>5</v>
          </cell>
          <cell r="D12">
            <v>1</v>
          </cell>
          <cell r="E12">
            <v>-1</v>
          </cell>
          <cell r="G12" t="str">
            <v>Marie</v>
          </cell>
          <cell r="H12">
            <v>11</v>
          </cell>
          <cell r="I12">
            <v>3</v>
          </cell>
          <cell r="J12">
            <v>11</v>
          </cell>
          <cell r="L12" t="str">
            <v>Simone</v>
          </cell>
          <cell r="M12">
            <v>18</v>
          </cell>
          <cell r="N12">
            <v>3</v>
          </cell>
          <cell r="O12">
            <v>13</v>
          </cell>
        </row>
        <row r="13">
          <cell r="C13" t="str">
            <v>contre</v>
          </cell>
          <cell r="H13" t="str">
            <v>contre</v>
          </cell>
          <cell r="M13" t="str">
            <v>contre</v>
          </cell>
        </row>
        <row r="14">
          <cell r="B14" t="str">
            <v>André</v>
          </cell>
          <cell r="C14">
            <v>6</v>
          </cell>
          <cell r="D14">
            <v>3</v>
          </cell>
          <cell r="E14">
            <v>1</v>
          </cell>
          <cell r="G14" t="str">
            <v>Jean</v>
          </cell>
          <cell r="H14">
            <v>0</v>
          </cell>
          <cell r="I14">
            <v>1</v>
          </cell>
          <cell r="J14">
            <v>-11</v>
          </cell>
          <cell r="L14" t="str">
            <v>Robert</v>
          </cell>
          <cell r="M14">
            <v>5</v>
          </cell>
          <cell r="N14">
            <v>1</v>
          </cell>
          <cell r="O14">
            <v>-13</v>
          </cell>
        </row>
        <row r="15">
          <cell r="B15" t="str">
            <v>Marc</v>
          </cell>
          <cell r="C15">
            <v>6</v>
          </cell>
          <cell r="D15">
            <v>3</v>
          </cell>
          <cell r="E15">
            <v>1</v>
          </cell>
          <cell r="G15" t="str">
            <v>Alain</v>
          </cell>
          <cell r="H15">
            <v>0</v>
          </cell>
          <cell r="I15">
            <v>1</v>
          </cell>
          <cell r="J15">
            <v>-11</v>
          </cell>
          <cell r="L15" t="str">
            <v>Alain</v>
          </cell>
          <cell r="M15">
            <v>5</v>
          </cell>
          <cell r="N15">
            <v>1</v>
          </cell>
          <cell r="O15">
            <v>-13</v>
          </cell>
        </row>
        <row r="16">
          <cell r="B16" t="str">
            <v>Pauline</v>
          </cell>
          <cell r="C16">
            <v>6</v>
          </cell>
          <cell r="D16">
            <v>3</v>
          </cell>
          <cell r="E16">
            <v>1</v>
          </cell>
          <cell r="G16" t="str">
            <v>Simone</v>
          </cell>
          <cell r="H16">
            <v>0</v>
          </cell>
          <cell r="I16">
            <v>1</v>
          </cell>
          <cell r="J16">
            <v>-11</v>
          </cell>
          <cell r="L16" t="str">
            <v>Pauline</v>
          </cell>
          <cell r="M16">
            <v>5</v>
          </cell>
          <cell r="N16">
            <v>1</v>
          </cell>
          <cell r="O16">
            <v>-13</v>
          </cell>
        </row>
        <row r="18">
          <cell r="B18" t="str">
            <v>Michel</v>
          </cell>
          <cell r="C18">
            <v>12</v>
          </cell>
          <cell r="D18">
            <v>3</v>
          </cell>
          <cell r="E18">
            <v>2</v>
          </cell>
          <cell r="G18" t="str">
            <v>Robert</v>
          </cell>
          <cell r="H18">
            <v>5</v>
          </cell>
          <cell r="I18">
            <v>1</v>
          </cell>
          <cell r="J18">
            <v>-7</v>
          </cell>
          <cell r="L18" t="str">
            <v>André</v>
          </cell>
          <cell r="M18">
            <v>14</v>
          </cell>
          <cell r="N18">
            <v>3</v>
          </cell>
          <cell r="O18">
            <v>5</v>
          </cell>
        </row>
        <row r="19">
          <cell r="B19" t="str">
            <v>Marcel</v>
          </cell>
          <cell r="C19">
            <v>12</v>
          </cell>
          <cell r="D19">
            <v>3</v>
          </cell>
          <cell r="E19">
            <v>2</v>
          </cell>
          <cell r="G19" t="str">
            <v>Pierre</v>
          </cell>
          <cell r="H19">
            <v>5</v>
          </cell>
          <cell r="I19">
            <v>1</v>
          </cell>
          <cell r="J19">
            <v>-7</v>
          </cell>
          <cell r="L19" t="str">
            <v>Marcel</v>
          </cell>
          <cell r="M19">
            <v>14</v>
          </cell>
          <cell r="N19">
            <v>3</v>
          </cell>
          <cell r="O19">
            <v>5</v>
          </cell>
        </row>
        <row r="20">
          <cell r="B20" t="str">
            <v>Simone</v>
          </cell>
          <cell r="C20">
            <v>12</v>
          </cell>
          <cell r="D20">
            <v>3</v>
          </cell>
          <cell r="E20">
            <v>2</v>
          </cell>
          <cell r="G20" t="str">
            <v>Pauline</v>
          </cell>
          <cell r="H20">
            <v>5</v>
          </cell>
          <cell r="I20">
            <v>1</v>
          </cell>
          <cell r="J20">
            <v>-7</v>
          </cell>
          <cell r="L20" t="str">
            <v>Josiane</v>
          </cell>
          <cell r="M20">
            <v>14</v>
          </cell>
          <cell r="N20">
            <v>3</v>
          </cell>
          <cell r="O20">
            <v>5</v>
          </cell>
        </row>
        <row r="21">
          <cell r="C21" t="str">
            <v>contre</v>
          </cell>
          <cell r="H21" t="str">
            <v>contre</v>
          </cell>
          <cell r="M21" t="str">
            <v>contre</v>
          </cell>
        </row>
        <row r="22">
          <cell r="B22" t="str">
            <v>Jean</v>
          </cell>
          <cell r="C22">
            <v>10</v>
          </cell>
          <cell r="D22">
            <v>1</v>
          </cell>
          <cell r="E22">
            <v>-2</v>
          </cell>
          <cell r="G22" t="str">
            <v>André</v>
          </cell>
          <cell r="H22">
            <v>12</v>
          </cell>
          <cell r="I22">
            <v>3</v>
          </cell>
          <cell r="J22">
            <v>7</v>
          </cell>
          <cell r="L22" t="str">
            <v>Michel</v>
          </cell>
          <cell r="M22">
            <v>9</v>
          </cell>
          <cell r="N22">
            <v>1</v>
          </cell>
          <cell r="O22">
            <v>-5</v>
          </cell>
        </row>
        <row r="23">
          <cell r="B23" t="str">
            <v>Alain</v>
          </cell>
          <cell r="C23">
            <v>10</v>
          </cell>
          <cell r="D23">
            <v>1</v>
          </cell>
          <cell r="E23">
            <v>-2</v>
          </cell>
          <cell r="G23" t="str">
            <v>Marc</v>
          </cell>
          <cell r="H23">
            <v>12</v>
          </cell>
          <cell r="I23">
            <v>3</v>
          </cell>
          <cell r="J23">
            <v>7</v>
          </cell>
          <cell r="L23" t="str">
            <v>Marc</v>
          </cell>
          <cell r="M23">
            <v>9</v>
          </cell>
          <cell r="N23">
            <v>1</v>
          </cell>
          <cell r="O23">
            <v>-5</v>
          </cell>
        </row>
        <row r="24">
          <cell r="B24" t="str">
            <v>Marie</v>
          </cell>
          <cell r="C24">
            <v>10</v>
          </cell>
          <cell r="D24">
            <v>1</v>
          </cell>
          <cell r="E24">
            <v>-2</v>
          </cell>
          <cell r="G24" t="str">
            <v>Josiane</v>
          </cell>
          <cell r="H24">
            <v>12</v>
          </cell>
          <cell r="I24">
            <v>3</v>
          </cell>
          <cell r="J24">
            <v>7</v>
          </cell>
          <cell r="L24" t="str">
            <v>Maurice</v>
          </cell>
          <cell r="M24">
            <v>9</v>
          </cell>
          <cell r="N24">
            <v>1</v>
          </cell>
          <cell r="O24">
            <v>-5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C29" t="str">
            <v>contre</v>
          </cell>
          <cell r="H29" t="str">
            <v>contre</v>
          </cell>
          <cell r="M29" t="str">
            <v>contre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C37" t="str">
            <v>contre</v>
          </cell>
          <cell r="H37" t="str">
            <v>contre</v>
          </cell>
          <cell r="M37" t="str">
            <v>contre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</row>
        <row r="45">
          <cell r="C45" t="str">
            <v>contre</v>
          </cell>
          <cell r="H45" t="str">
            <v>contre</v>
          </cell>
          <cell r="M45" t="str">
            <v>contre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50">
          <cell r="B50" t="str">
            <v>1ère partie</v>
          </cell>
          <cell r="G50" t="str">
            <v>2ème partie</v>
          </cell>
          <cell r="L50" t="str">
            <v>3ème partie</v>
          </cell>
        </row>
        <row r="52">
          <cell r="B52" t="str">
            <v>Joueur</v>
          </cell>
          <cell r="C52" t="str">
            <v>Score</v>
          </cell>
          <cell r="D52" t="str">
            <v>Pts</v>
          </cell>
          <cell r="E52" t="str">
            <v>GA</v>
          </cell>
          <cell r="G52" t="str">
            <v>Joueur</v>
          </cell>
          <cell r="H52" t="str">
            <v>Score</v>
          </cell>
          <cell r="I52" t="str">
            <v>Pts</v>
          </cell>
          <cell r="J52" t="str">
            <v>GA</v>
          </cell>
          <cell r="L52" t="str">
            <v>Joueur</v>
          </cell>
          <cell r="M52" t="str">
            <v>Score</v>
          </cell>
          <cell r="N52" t="str">
            <v>Pts</v>
          </cell>
          <cell r="O52" t="str">
            <v>GA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</row>
        <row r="57">
          <cell r="C57" t="str">
            <v>contre</v>
          </cell>
          <cell r="H57" t="str">
            <v>contre</v>
          </cell>
          <cell r="M57" t="str">
            <v>contre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</row>
        <row r="65">
          <cell r="C65" t="str">
            <v>contre</v>
          </cell>
          <cell r="H65" t="str">
            <v>contre</v>
          </cell>
          <cell r="M65" t="str">
            <v>contre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</row>
        <row r="73">
          <cell r="C73" t="str">
            <v>contre</v>
          </cell>
          <cell r="H73" t="str">
            <v>contre</v>
          </cell>
          <cell r="M73" t="str">
            <v>contre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</row>
        <row r="81">
          <cell r="C81" t="str">
            <v>contre</v>
          </cell>
          <cell r="H81" t="str">
            <v>contre</v>
          </cell>
          <cell r="M81" t="str">
            <v>contre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</row>
        <row r="89">
          <cell r="C89" t="str">
            <v>contre</v>
          </cell>
          <cell r="H89" t="str">
            <v>contre</v>
          </cell>
          <cell r="M89" t="str">
            <v>contre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B94" t="str">
            <v>1ère partie</v>
          </cell>
          <cell r="G94" t="str">
            <v>2ème partie</v>
          </cell>
          <cell r="L94" t="str">
            <v>3ème partie</v>
          </cell>
        </row>
        <row r="96">
          <cell r="B96" t="str">
            <v>Joueur</v>
          </cell>
          <cell r="C96" t="str">
            <v>Score</v>
          </cell>
          <cell r="D96" t="str">
            <v>Pts</v>
          </cell>
          <cell r="E96" t="str">
            <v>GA</v>
          </cell>
          <cell r="G96" t="str">
            <v>Joueur</v>
          </cell>
          <cell r="H96" t="str">
            <v>Score</v>
          </cell>
          <cell r="I96" t="str">
            <v>Pts</v>
          </cell>
          <cell r="J96" t="str">
            <v>GA</v>
          </cell>
          <cell r="L96" t="str">
            <v>Joueur</v>
          </cell>
          <cell r="M96" t="str">
            <v>Score</v>
          </cell>
          <cell r="N96" t="str">
            <v>Pts</v>
          </cell>
          <cell r="O96" t="str">
            <v>GA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</row>
        <row r="101">
          <cell r="C101" t="str">
            <v>contre</v>
          </cell>
          <cell r="H101" t="str">
            <v>contre</v>
          </cell>
          <cell r="M101" t="str">
            <v>contre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C109" t="str">
            <v>contre</v>
          </cell>
          <cell r="H109" t="str">
            <v>contre</v>
          </cell>
          <cell r="M109" t="str">
            <v>contre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</row>
        <row r="117">
          <cell r="C117" t="str">
            <v>contre</v>
          </cell>
          <cell r="H117" t="str">
            <v>contre</v>
          </cell>
          <cell r="M117" t="str">
            <v>contre</v>
          </cell>
        </row>
        <row r="118"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</row>
        <row r="125">
          <cell r="C125" t="str">
            <v>contre</v>
          </cell>
          <cell r="H125" t="str">
            <v>contre</v>
          </cell>
          <cell r="M125" t="str">
            <v>contre</v>
          </cell>
        </row>
        <row r="126"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C133" t="str">
            <v>contre</v>
          </cell>
          <cell r="H133" t="str">
            <v>contre</v>
          </cell>
          <cell r="M133" t="str">
            <v>contre</v>
          </cell>
        </row>
        <row r="134"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workbookViewId="0">
      <selection activeCell="J24" sqref="J24"/>
    </sheetView>
  </sheetViews>
  <sheetFormatPr baseColWidth="10" defaultRowHeight="18.75"/>
  <cols>
    <col min="1" max="1" width="31.7109375" style="74" customWidth="1"/>
    <col min="2" max="16384" width="11.42578125" style="74"/>
  </cols>
  <sheetData>
    <row r="1" spans="1:5">
      <c r="C1" s="387" t="s">
        <v>24</v>
      </c>
    </row>
    <row r="2" spans="1:5" ht="19.5" thickBot="1"/>
    <row r="3" spans="1:5" ht="19.5" thickBot="1">
      <c r="A3" s="388" t="s">
        <v>25</v>
      </c>
      <c r="B3" s="74" t="s">
        <v>123</v>
      </c>
    </row>
    <row r="4" spans="1:5" ht="19.5" thickBot="1"/>
    <row r="5" spans="1:5" ht="19.5" thickBot="1">
      <c r="A5" s="388" t="s">
        <v>56</v>
      </c>
      <c r="B5" s="74" t="s">
        <v>124</v>
      </c>
    </row>
    <row r="6" spans="1:5">
      <c r="B6" s="74" t="s">
        <v>125</v>
      </c>
    </row>
    <row r="8" spans="1:5">
      <c r="B8" s="74" t="s">
        <v>57</v>
      </c>
    </row>
    <row r="9" spans="1:5">
      <c r="C9" s="74" t="s">
        <v>59</v>
      </c>
    </row>
    <row r="10" spans="1:5">
      <c r="E10" s="74" t="s">
        <v>130</v>
      </c>
    </row>
    <row r="11" spans="1:5">
      <c r="E11" s="74" t="s">
        <v>58</v>
      </c>
    </row>
    <row r="13" spans="1:5">
      <c r="B13" s="74" t="s">
        <v>122</v>
      </c>
    </row>
    <row r="15" spans="1:5">
      <c r="B15" s="74" t="s">
        <v>126</v>
      </c>
    </row>
    <row r="16" spans="1:5" ht="19.5" thickBot="1"/>
    <row r="17" spans="1:2" ht="19.5" thickBot="1">
      <c r="A17" s="388" t="s">
        <v>128</v>
      </c>
      <c r="B17" s="74" t="s">
        <v>127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euil4">
    <tabColor rgb="FFFFFF00"/>
  </sheetPr>
  <dimension ref="A1:AD88"/>
  <sheetViews>
    <sheetView workbookViewId="0"/>
  </sheetViews>
  <sheetFormatPr baseColWidth="10" defaultRowHeight="15.75"/>
  <cols>
    <col min="1" max="1" width="5.28515625" style="31" customWidth="1"/>
    <col min="2" max="2" width="21.140625" style="23" customWidth="1"/>
    <col min="3" max="3" width="6.5703125" style="23" customWidth="1"/>
    <col min="4" max="4" width="5.42578125" style="23" customWidth="1"/>
    <col min="5" max="5" width="5.28515625" style="23" customWidth="1"/>
    <col min="6" max="6" width="2.5703125" style="23" customWidth="1"/>
    <col min="7" max="7" width="21.7109375" style="23" customWidth="1"/>
    <col min="8" max="8" width="5.5703125" style="23" customWidth="1"/>
    <col min="9" max="9" width="4.85546875" style="23" customWidth="1"/>
    <col min="10" max="10" width="4.28515625" style="23" customWidth="1"/>
    <col min="11" max="11" width="1.85546875" style="23" customWidth="1"/>
    <col min="12" max="12" width="20.85546875" style="23" customWidth="1"/>
    <col min="13" max="13" width="6.28515625" style="23" customWidth="1"/>
    <col min="14" max="14" width="4.5703125" style="23" customWidth="1"/>
    <col min="15" max="15" width="4.7109375" style="23" customWidth="1"/>
    <col min="16" max="16" width="2.5703125" style="23" customWidth="1"/>
    <col min="17" max="17" width="13.5703125" style="84" customWidth="1"/>
    <col min="18" max="18" width="6" style="84" customWidth="1"/>
    <col min="19" max="19" width="5" style="84" customWidth="1"/>
    <col min="20" max="20" width="4.42578125" style="84" customWidth="1"/>
    <col min="21" max="21" width="1.7109375" style="84" customWidth="1"/>
    <col min="22" max="22" width="13.85546875" style="84" customWidth="1"/>
    <col min="23" max="23" width="6" style="84" customWidth="1"/>
    <col min="24" max="24" width="5.140625" style="84" customWidth="1"/>
    <col min="25" max="25" width="4.7109375" style="84" customWidth="1"/>
    <col min="26" max="26" width="2.5703125" style="84" customWidth="1"/>
    <col min="27" max="27" width="13.85546875" style="84" customWidth="1"/>
    <col min="28" max="28" width="6.140625" style="84" customWidth="1"/>
    <col min="29" max="29" width="5.42578125" style="84" customWidth="1"/>
    <col min="30" max="30" width="4.85546875" style="84" customWidth="1"/>
    <col min="31" max="16384" width="11.42578125" style="23"/>
  </cols>
  <sheetData>
    <row r="1" spans="1:30" s="45" customFormat="1" ht="18.75">
      <c r="A1" s="43"/>
      <c r="B1" s="45" t="s">
        <v>8</v>
      </c>
      <c r="L1" s="45" t="s">
        <v>13</v>
      </c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</row>
    <row r="3" spans="1:30" s="45" customFormat="1" ht="18.75">
      <c r="A3" s="44" t="s">
        <v>22</v>
      </c>
      <c r="D3" s="46"/>
      <c r="E3" s="47"/>
      <c r="F3" s="46"/>
      <c r="G3" s="46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</row>
    <row r="4" spans="1:30" ht="18.75">
      <c r="G4" s="45" t="s">
        <v>23</v>
      </c>
    </row>
    <row r="5" spans="1:30" ht="16.5" thickBot="1"/>
    <row r="6" spans="1:30" s="29" customFormat="1" ht="21.75" customHeight="1" thickTop="1" thickBot="1">
      <c r="A6" s="31"/>
      <c r="B6" s="427" t="s">
        <v>1</v>
      </c>
      <c r="C6" s="428"/>
      <c r="D6" s="428"/>
      <c r="E6" s="429"/>
      <c r="F6" s="25"/>
      <c r="G6" s="430" t="s">
        <v>2</v>
      </c>
      <c r="H6" s="431"/>
      <c r="I6" s="431"/>
      <c r="J6" s="432"/>
      <c r="K6" s="25"/>
      <c r="L6" s="433" t="s">
        <v>3</v>
      </c>
      <c r="M6" s="434"/>
      <c r="N6" s="434"/>
      <c r="O6" s="435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</row>
    <row r="7" spans="1:30" ht="16.5" thickTop="1">
      <c r="B7" s="24"/>
      <c r="C7" s="24"/>
      <c r="D7" s="24"/>
      <c r="E7" s="24"/>
      <c r="F7" s="25"/>
      <c r="G7" s="24"/>
      <c r="H7" s="24"/>
      <c r="I7" s="24"/>
      <c r="K7" s="24"/>
      <c r="L7" s="24"/>
      <c r="M7" s="25"/>
      <c r="N7" s="25"/>
      <c r="O7" s="24"/>
      <c r="P7" s="24"/>
    </row>
    <row r="8" spans="1:30">
      <c r="A8" s="40" t="s">
        <v>30</v>
      </c>
      <c r="B8" s="26" t="s">
        <v>4</v>
      </c>
      <c r="C8" s="26" t="s">
        <v>12</v>
      </c>
      <c r="D8" s="26" t="s">
        <v>10</v>
      </c>
      <c r="E8" s="26" t="s">
        <v>11</v>
      </c>
      <c r="F8" s="24"/>
      <c r="G8" s="26" t="s">
        <v>4</v>
      </c>
      <c r="H8" s="26" t="s">
        <v>12</v>
      </c>
      <c r="I8" s="26" t="s">
        <v>10</v>
      </c>
      <c r="J8" s="26" t="s">
        <v>11</v>
      </c>
      <c r="K8" s="24"/>
      <c r="L8" s="26" t="s">
        <v>4</v>
      </c>
      <c r="M8" s="26" t="s">
        <v>12</v>
      </c>
      <c r="N8" s="26" t="s">
        <v>10</v>
      </c>
      <c r="O8" s="26" t="s">
        <v>11</v>
      </c>
    </row>
    <row r="9" spans="1:30" ht="16.5" thickBot="1">
      <c r="B9" s="27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8"/>
    </row>
    <row r="10" spans="1:30">
      <c r="B10" s="12" t="str">
        <f>'1ère J.'!O10</f>
        <v>A1</v>
      </c>
      <c r="C10" s="33">
        <v>5</v>
      </c>
      <c r="D10" s="48">
        <f>IF(C10+C14=0,0,IF(C10=C14,2,IF(C10&gt;C14,3,1)))</f>
        <v>1</v>
      </c>
      <c r="E10" s="13">
        <f>C10-C14</f>
        <v>-1</v>
      </c>
      <c r="F10" s="9"/>
      <c r="G10" s="12" t="str">
        <f>'1ère J.'!R10</f>
        <v>A2</v>
      </c>
      <c r="H10" s="126">
        <v>11</v>
      </c>
      <c r="I10" s="48">
        <f>IF(H10+H14=0,0,IF(H10=H14,2,IF(H10&gt;H14,3,1)))</f>
        <v>3</v>
      </c>
      <c r="J10" s="13">
        <f>H10-H14</f>
        <v>11</v>
      </c>
      <c r="K10" s="9"/>
      <c r="L10" s="12" t="str">
        <f>'1ère J.'!V10</f>
        <v>B5</v>
      </c>
      <c r="M10" s="36">
        <v>18</v>
      </c>
      <c r="N10" s="48">
        <f>IF(M10+M14=0,0,IF(M10=M14,2,IF(M10&gt;M14,3,1)))</f>
        <v>3</v>
      </c>
      <c r="O10" s="13">
        <f>M10-M14</f>
        <v>13</v>
      </c>
    </row>
    <row r="11" spans="1:30" ht="16.5" thickBot="1">
      <c r="B11" s="14" t="str">
        <f>'1ère J.'!P10</f>
        <v>B1</v>
      </c>
      <c r="C11" s="59">
        <f>IF(ISTEXT(B11),C10,0)</f>
        <v>5</v>
      </c>
      <c r="D11" s="59">
        <f>IF(ISTEXT(B11),D10,0)</f>
        <v>1</v>
      </c>
      <c r="E11" s="60">
        <f>IF(ISTEXT(B11),E10,0)</f>
        <v>-1</v>
      </c>
      <c r="F11" s="11"/>
      <c r="G11" s="14" t="str">
        <f>'1ère J.'!S10</f>
        <v>B3</v>
      </c>
      <c r="H11" s="59">
        <f>IF(ISTEXT(G11),H10,0)</f>
        <v>11</v>
      </c>
      <c r="I11" s="59">
        <f>IF(ISTEXT(G11),I10,0)</f>
        <v>3</v>
      </c>
      <c r="J11" s="61">
        <f>IF(ISTEXT(G11),J10,0)</f>
        <v>11</v>
      </c>
      <c r="K11" s="11"/>
      <c r="L11" s="14" t="str">
        <f>'1ère J.'!W10</f>
        <v>C7</v>
      </c>
      <c r="M11" s="18">
        <f>IF(ISTEXT(L11),M10,0)</f>
        <v>18</v>
      </c>
      <c r="N11" s="59">
        <f>IF(ISTEXT(L11),N10,0)</f>
        <v>3</v>
      </c>
      <c r="O11" s="62">
        <f>IF(ISTEXT(L11),O10,0)</f>
        <v>13</v>
      </c>
    </row>
    <row r="12" spans="1:30">
      <c r="B12" s="14" t="str">
        <f>'1ère J.'!Q10</f>
        <v>C1</v>
      </c>
      <c r="C12" s="63">
        <f>IF(ISTEXT(B12),C10,0)</f>
        <v>5</v>
      </c>
      <c r="D12" s="64">
        <f>IF(ISTEXT(B12),D10,0)</f>
        <v>1</v>
      </c>
      <c r="E12" s="65">
        <f>IF(ISTEXT(B12),E10,0)</f>
        <v>-1</v>
      </c>
      <c r="F12" s="11"/>
      <c r="G12" s="14" t="str">
        <f>'1ère J.'!T10</f>
        <v>C4</v>
      </c>
      <c r="H12" s="63">
        <f>IF(ISTEXT(G12),H10,0)</f>
        <v>11</v>
      </c>
      <c r="I12" s="64">
        <f>IF(ISTEXT(G12),I10,0)</f>
        <v>3</v>
      </c>
      <c r="J12" s="66">
        <f>IF(ISTEXT(G12),J10,0)</f>
        <v>11</v>
      </c>
      <c r="K12" s="11"/>
      <c r="L12" s="14" t="str">
        <f>'1ère J.'!U11</f>
        <v>A4</v>
      </c>
      <c r="M12" s="67">
        <f>IF(ISTEXT(L12),M10,0)</f>
        <v>18</v>
      </c>
      <c r="N12" s="64">
        <f>IF(ISTEXT(L12),N10,0)</f>
        <v>3</v>
      </c>
      <c r="O12" s="68">
        <f>IF(ISTEXT(L12),O10,0)</f>
        <v>13</v>
      </c>
    </row>
    <row r="13" spans="1:30" s="29" customFormat="1">
      <c r="A13" s="31">
        <v>1</v>
      </c>
      <c r="B13" s="32"/>
      <c r="C13" s="21" t="s">
        <v>5</v>
      </c>
      <c r="D13" s="21"/>
      <c r="E13" s="22"/>
      <c r="F13" s="1"/>
      <c r="G13" s="32"/>
      <c r="H13" s="21" t="s">
        <v>5</v>
      </c>
      <c r="I13" s="21"/>
      <c r="J13" s="22"/>
      <c r="K13" s="1"/>
      <c r="L13" s="32"/>
      <c r="M13" s="21" t="s">
        <v>5</v>
      </c>
      <c r="N13" s="21"/>
      <c r="O13" s="22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</row>
    <row r="14" spans="1:30">
      <c r="B14" s="14" t="str">
        <f>'1ère J.'!O11</f>
        <v>A2</v>
      </c>
      <c r="C14" s="34">
        <v>6</v>
      </c>
      <c r="D14" s="30">
        <f>IF(C10+C14=0,0,IF(C10=C14,2,IF(C10&lt;C14,3,1)))</f>
        <v>3</v>
      </c>
      <c r="E14" s="15">
        <f>C14-C10</f>
        <v>1</v>
      </c>
      <c r="F14" s="9"/>
      <c r="G14" s="14" t="str">
        <f>'1ère J.'!R11</f>
        <v>A3</v>
      </c>
      <c r="H14" s="127">
        <v>0</v>
      </c>
      <c r="I14" s="30">
        <f>IF(H10+H14=0,0,IF(H10=H14,2,IF(H10&lt;H14,3,1)))</f>
        <v>1</v>
      </c>
      <c r="J14" s="15">
        <f>H14-H10</f>
        <v>-11</v>
      </c>
      <c r="K14" s="9"/>
      <c r="L14" s="14" t="str">
        <f>'1ère J.'!V11</f>
        <v>B6</v>
      </c>
      <c r="M14" s="37">
        <v>5</v>
      </c>
      <c r="N14" s="30">
        <f>IF(M10+M14=0,0,IF(M10=M14,2,IF(M10&lt;M14,3,1)))</f>
        <v>1</v>
      </c>
      <c r="O14" s="15">
        <f>M14-M10</f>
        <v>-13</v>
      </c>
    </row>
    <row r="15" spans="1:30" ht="16.5" thickBot="1">
      <c r="B15" s="14" t="str">
        <f>'1ère J.'!P11</f>
        <v>B2</v>
      </c>
      <c r="C15" s="69">
        <f>IF(ISTEXT(B15),C14,0)</f>
        <v>6</v>
      </c>
      <c r="D15" s="18">
        <f>IF(ISTEXT(B15),D14,0)</f>
        <v>3</v>
      </c>
      <c r="E15" s="62">
        <f>IF(ISTEXT(B15),E14,0)</f>
        <v>1</v>
      </c>
      <c r="F15" s="11"/>
      <c r="G15" s="14" t="str">
        <f>'1ère J.'!S11</f>
        <v>B4</v>
      </c>
      <c r="H15" s="18">
        <f>IF(ISTEXT(G15),H14,0)</f>
        <v>0</v>
      </c>
      <c r="I15" s="18">
        <f>IF(ISTEXT(G15),I14,0)</f>
        <v>1</v>
      </c>
      <c r="J15" s="62">
        <f>IF(ISTEXT(G15),J14,0)</f>
        <v>-11</v>
      </c>
      <c r="K15" s="11"/>
      <c r="L15" s="14" t="str">
        <f>'1ère J.'!W11</f>
        <v>C8</v>
      </c>
      <c r="M15" s="18">
        <f>IF(ISTEXT(L15),M14,0)</f>
        <v>5</v>
      </c>
      <c r="N15" s="18">
        <f>IF(ISTEXT(L15),N14,0)</f>
        <v>1</v>
      </c>
      <c r="O15" s="62">
        <f>IF(ISTEXT(L15),O14,0)</f>
        <v>-13</v>
      </c>
    </row>
    <row r="16" spans="1:30" ht="16.5" thickBot="1">
      <c r="B16" s="16" t="str">
        <f>'1ère J.'!Q11</f>
        <v>C2</v>
      </c>
      <c r="C16" s="69">
        <f>IF(ISTEXT(B16),C14,0)</f>
        <v>6</v>
      </c>
      <c r="D16" s="18">
        <f>IF(ISTEXT(B16),D14,0)</f>
        <v>3</v>
      </c>
      <c r="E16" s="62">
        <f>IF(ISTEXT(B16),E14,0)</f>
        <v>1</v>
      </c>
      <c r="F16" s="11"/>
      <c r="G16" s="16" t="str">
        <f>'1ère J.'!T11</f>
        <v>C5</v>
      </c>
      <c r="H16" s="18">
        <f>IF(ISTEXT(G16),H14,0)</f>
        <v>0</v>
      </c>
      <c r="I16" s="18">
        <f>IF(ISTEXT(G16),I14,0)</f>
        <v>1</v>
      </c>
      <c r="J16" s="62">
        <f>IF(ISTEXT(G16),J14,0)</f>
        <v>-11</v>
      </c>
      <c r="K16" s="11"/>
      <c r="L16" s="16" t="str">
        <f>'1ère J.'!U12</f>
        <v>A5</v>
      </c>
      <c r="M16" s="18">
        <f>IF(ISTEXT(L16),M14,0)</f>
        <v>5</v>
      </c>
      <c r="N16" s="18">
        <f>IF(ISTEXT(L16),N14,0)</f>
        <v>1</v>
      </c>
      <c r="O16" s="62">
        <f>IF(ISTEXT(L16),O14,0)</f>
        <v>-13</v>
      </c>
    </row>
    <row r="17" spans="1:16" ht="16.5" thickBot="1"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</row>
    <row r="18" spans="1:16">
      <c r="B18" s="12" t="str">
        <f>'1ère J.'!O12</f>
        <v>A3</v>
      </c>
      <c r="C18" s="33">
        <v>12</v>
      </c>
      <c r="D18" s="48">
        <f>IF(C18+C22=0,0,IF(C18=C22,2,IF(C18&gt;C22,3,1)))</f>
        <v>3</v>
      </c>
      <c r="E18" s="13">
        <f>C18-C22</f>
        <v>2</v>
      </c>
      <c r="F18" s="9"/>
      <c r="G18" s="12" t="str">
        <f>'1ère J.'!R12</f>
        <v>A4</v>
      </c>
      <c r="H18" s="126">
        <v>5</v>
      </c>
      <c r="I18" s="48">
        <f>IF(H18+H22=0,0,IF(H18=H22,2,IF(H18&gt;H22,3,1)))</f>
        <v>1</v>
      </c>
      <c r="J18" s="13">
        <f>H18-H22</f>
        <v>-7</v>
      </c>
      <c r="K18" s="9"/>
      <c r="L18" s="12" t="str">
        <f>'1ère J.'!V12</f>
        <v>B7</v>
      </c>
      <c r="M18" s="36">
        <v>14</v>
      </c>
      <c r="N18" s="48">
        <f>IF(M18+M22=0,0,IF(M18=M22,2,IF(M18&gt;M22,3,1)))</f>
        <v>3</v>
      </c>
      <c r="O18" s="13">
        <f>M18-M22</f>
        <v>5</v>
      </c>
    </row>
    <row r="19" spans="1:16" ht="16.5" thickBot="1">
      <c r="B19" s="14" t="str">
        <f>'1ère J.'!P12</f>
        <v>B3</v>
      </c>
      <c r="C19" s="18">
        <f>IF(ISTEXT(B19),C18,0)</f>
        <v>12</v>
      </c>
      <c r="D19" s="18">
        <f>IF(ISTEXT(B19),D18,0)</f>
        <v>3</v>
      </c>
      <c r="E19" s="62">
        <f>IF(ISTEXT(B19),E18,0)</f>
        <v>2</v>
      </c>
      <c r="F19" s="11"/>
      <c r="G19" s="14" t="str">
        <f>'1ère J.'!S12</f>
        <v>B5</v>
      </c>
      <c r="H19" s="18">
        <f>IF(ISTEXT(G19),H18,0)</f>
        <v>5</v>
      </c>
      <c r="I19" s="59">
        <f>IF(ISTEXT(G19),I18,0)</f>
        <v>1</v>
      </c>
      <c r="J19" s="62">
        <f>IF(ISTEXT(G19),J18,0)</f>
        <v>-7</v>
      </c>
      <c r="K19" s="11"/>
      <c r="L19" s="14" t="str">
        <f>'1ère J.'!W12</f>
        <v>C9</v>
      </c>
      <c r="M19" s="18">
        <f>IF(ISTEXT(L19),M18,0)</f>
        <v>14</v>
      </c>
      <c r="N19" s="59">
        <f>IF(ISTEXT(L19),N18,0)</f>
        <v>3</v>
      </c>
      <c r="O19" s="62">
        <f>IF(ISTEXT(L19),O18,0)</f>
        <v>5</v>
      </c>
    </row>
    <row r="20" spans="1:16">
      <c r="B20" s="14" t="str">
        <f>'1ère J.'!Q12</f>
        <v>C3</v>
      </c>
      <c r="C20" s="67">
        <f>IF(ISTEXT(B20),C18,0)</f>
        <v>12</v>
      </c>
      <c r="D20" s="67">
        <f>IF(ISTEXT(B20),D18,0)</f>
        <v>3</v>
      </c>
      <c r="E20" s="68">
        <f>IF(ISTEXT(B20),E18,0)</f>
        <v>2</v>
      </c>
      <c r="F20" s="11"/>
      <c r="G20" s="14" t="str">
        <f>'1ère J.'!T12</f>
        <v>C6</v>
      </c>
      <c r="H20" s="67">
        <f>IF(ISTEXT(G20),H18,0)</f>
        <v>5</v>
      </c>
      <c r="I20" s="64">
        <f>IF(ISTEXT(G20),I18,0)</f>
        <v>1</v>
      </c>
      <c r="J20" s="68">
        <f>IF(ISTEXT(G20),J18,0)</f>
        <v>-7</v>
      </c>
      <c r="K20" s="11"/>
      <c r="L20" s="14" t="str">
        <f>'1ère J.'!U13</f>
        <v>A6</v>
      </c>
      <c r="M20" s="67">
        <f>IF(ISTEXT(L20),M18,0)</f>
        <v>14</v>
      </c>
      <c r="N20" s="64">
        <f>IF(ISTEXT(L20),N18,0)</f>
        <v>3</v>
      </c>
      <c r="O20" s="68">
        <f>IF(ISTEXT(L20),O18,0)</f>
        <v>5</v>
      </c>
    </row>
    <row r="21" spans="1:16">
      <c r="A21" s="31">
        <v>2</v>
      </c>
      <c r="B21" s="32"/>
      <c r="C21" s="21" t="s">
        <v>5</v>
      </c>
      <c r="D21" s="21"/>
      <c r="E21" s="22"/>
      <c r="F21" s="1"/>
      <c r="G21" s="32"/>
      <c r="H21" s="21" t="s">
        <v>5</v>
      </c>
      <c r="I21" s="21"/>
      <c r="J21" s="22"/>
      <c r="K21" s="1"/>
      <c r="L21" s="32"/>
      <c r="M21" s="21" t="s">
        <v>5</v>
      </c>
      <c r="N21" s="21"/>
      <c r="O21" s="22"/>
      <c r="P21" s="29"/>
    </row>
    <row r="22" spans="1:16">
      <c r="B22" s="14" t="str">
        <f>'1ère J.'!O13</f>
        <v>A4</v>
      </c>
      <c r="C22" s="35">
        <v>10</v>
      </c>
      <c r="D22" s="30">
        <f>IF(C18+C22=0,0,IF(C18=C22,2,IF(C18&lt;C22,3,1)))</f>
        <v>1</v>
      </c>
      <c r="E22" s="15">
        <f>C22-C18</f>
        <v>-2</v>
      </c>
      <c r="F22" s="9"/>
      <c r="G22" s="14" t="str">
        <f>'1ère J.'!R13</f>
        <v>A5</v>
      </c>
      <c r="H22" s="127">
        <v>12</v>
      </c>
      <c r="I22" s="30">
        <f>IF(H18+H22=0,0,IF(H18=H22,2,IF(H18&lt;H22,3,1)))</f>
        <v>3</v>
      </c>
      <c r="J22" s="15">
        <f>H22-H18</f>
        <v>7</v>
      </c>
      <c r="K22" s="9"/>
      <c r="L22" s="14" t="str">
        <f>'1ère J.'!V13</f>
        <v>B8</v>
      </c>
      <c r="M22" s="37">
        <v>9</v>
      </c>
      <c r="N22" s="30">
        <f>IF(M18+M22=0,0,IF(M18=M22,2,IF(M18&lt;M22,3,1)))</f>
        <v>1</v>
      </c>
      <c r="O22" s="15">
        <f>M22-M18</f>
        <v>-5</v>
      </c>
    </row>
    <row r="23" spans="1:16" ht="16.5" thickBot="1">
      <c r="B23" s="14" t="str">
        <f>'1ère J.'!P13</f>
        <v>B4</v>
      </c>
      <c r="C23" s="69">
        <f>IF(ISTEXT(B23),C22,0)</f>
        <v>10</v>
      </c>
      <c r="D23" s="18">
        <f>IF(ISTEXT(B23),D22,0)</f>
        <v>1</v>
      </c>
      <c r="E23" s="62">
        <f>IF(ISTEXT(B23),E22,0)</f>
        <v>-2</v>
      </c>
      <c r="F23" s="11"/>
      <c r="G23" s="14" t="str">
        <f>'1ère J.'!S13</f>
        <v>B6</v>
      </c>
      <c r="H23" s="18">
        <f>IF(ISTEXT(G23),H22,0)</f>
        <v>12</v>
      </c>
      <c r="I23" s="18">
        <f>IF(ISTEXT(G23),I22,0)</f>
        <v>3</v>
      </c>
      <c r="J23" s="62">
        <f>IF(ISTEXT(G23),J22,0)</f>
        <v>7</v>
      </c>
      <c r="K23" s="11"/>
      <c r="L23" s="14" t="str">
        <f>'1ère J.'!W13</f>
        <v>C10</v>
      </c>
      <c r="M23" s="18">
        <f>IF(ISTEXT(L23),M22,0)</f>
        <v>9</v>
      </c>
      <c r="N23" s="18">
        <f>IF(ISTEXT(L23),N22,0)</f>
        <v>1</v>
      </c>
      <c r="O23" s="62">
        <f>IF(ISTEXT(L23),O22,0)</f>
        <v>-5</v>
      </c>
    </row>
    <row r="24" spans="1:16" ht="16.5" thickBot="1">
      <c r="B24" s="16" t="str">
        <f>'1ère J.'!Q13</f>
        <v>C4</v>
      </c>
      <c r="C24" s="69">
        <f>IF(ISTEXT(B24),C22,0)</f>
        <v>10</v>
      </c>
      <c r="D24" s="18">
        <f>IF(ISTEXT(B24),D22,0)</f>
        <v>1</v>
      </c>
      <c r="E24" s="62">
        <f>IF(ISTEXT(B24),E22,0)</f>
        <v>-2</v>
      </c>
      <c r="F24" s="11"/>
      <c r="G24" s="16" t="str">
        <f>'1ère J.'!T13</f>
        <v>C7</v>
      </c>
      <c r="H24" s="18">
        <f>IF(ISTEXT(G24),H22,0)</f>
        <v>12</v>
      </c>
      <c r="I24" s="18">
        <f>IF(ISTEXT(G24),I22,0)</f>
        <v>3</v>
      </c>
      <c r="J24" s="62">
        <f>IF(ISTEXT(G24),J22,0)</f>
        <v>7</v>
      </c>
      <c r="K24" s="11"/>
      <c r="L24" s="16" t="str">
        <f>'1ère J.'!U14</f>
        <v>A7</v>
      </c>
      <c r="M24" s="18">
        <f>IF(ISTEXT(L24),M22,0)</f>
        <v>9</v>
      </c>
      <c r="N24" s="18">
        <f>IF(ISTEXT(L24),N22,0)</f>
        <v>1</v>
      </c>
      <c r="O24" s="62">
        <f>IF(ISTEXT(L24),O22,0)</f>
        <v>-5</v>
      </c>
    </row>
    <row r="25" spans="1:16" ht="16.5" thickBo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</row>
    <row r="26" spans="1:16">
      <c r="B26" s="12" t="str">
        <f>'1ère J.'!O14</f>
        <v>A5</v>
      </c>
      <c r="C26" s="33">
        <v>0</v>
      </c>
      <c r="D26" s="48">
        <f>IF(C26+C30=0,0,IF(C26=C30,2,IF(C26&gt;C30,3,1)))</f>
        <v>0</v>
      </c>
      <c r="E26" s="13">
        <f>C26-C30</f>
        <v>0</v>
      </c>
      <c r="F26" s="9"/>
      <c r="G26" s="12" t="str">
        <f>'1ère J.'!R14</f>
        <v>A6</v>
      </c>
      <c r="H26" s="126">
        <v>0</v>
      </c>
      <c r="I26" s="48">
        <f>IF(H26+H30=0,0,IF(H26=H30,2,IF(H26&gt;H30,3,1)))</f>
        <v>0</v>
      </c>
      <c r="J26" s="13">
        <f>H26-H30</f>
        <v>0</v>
      </c>
      <c r="K26" s="9"/>
      <c r="L26" s="12" t="str">
        <f>'1ère J.'!V14</f>
        <v>B9</v>
      </c>
      <c r="M26" s="36">
        <v>0</v>
      </c>
      <c r="N26" s="48">
        <f>IF(M26+M30=0,0,IF(M26=M30,2,IF(M26&gt;M30,3,1)))</f>
        <v>0</v>
      </c>
      <c r="O26" s="13">
        <f>M26-M30</f>
        <v>0</v>
      </c>
    </row>
    <row r="27" spans="1:16" ht="16.5" thickBot="1">
      <c r="B27" s="14" t="str">
        <f>'1ère J.'!P14</f>
        <v>B5</v>
      </c>
      <c r="C27" s="17">
        <f>IF(ISTEXT(B27),C26,0)</f>
        <v>0</v>
      </c>
      <c r="D27" s="18">
        <f>IF(ISTEXT(B27),D26,0)</f>
        <v>0</v>
      </c>
      <c r="E27" s="19">
        <f>IF(ISTEXT(B27),E26,0)</f>
        <v>0</v>
      </c>
      <c r="F27" s="9"/>
      <c r="G27" s="14" t="str">
        <f>'1ère J.'!S14</f>
        <v>B7</v>
      </c>
      <c r="H27" s="17">
        <f>IF(ISTEXT(G27),H26,0)</f>
        <v>0</v>
      </c>
      <c r="I27" s="59">
        <f>IF(ISTEXT(G27),I26,0)</f>
        <v>0</v>
      </c>
      <c r="J27" s="19">
        <f>IF(ISTEXT(G27),J26,0)</f>
        <v>0</v>
      </c>
      <c r="K27" s="9"/>
      <c r="L27" s="14" t="str">
        <f>'1ère J.'!W14</f>
        <v>C11</v>
      </c>
      <c r="M27" s="17">
        <f>IF(ISTEXT(L27),M26,0)</f>
        <v>0</v>
      </c>
      <c r="N27" s="59">
        <f>IF(ISTEXT(L27),N26,0)</f>
        <v>0</v>
      </c>
      <c r="O27" s="19">
        <f>IF(ISTEXT(L27),O26,0)</f>
        <v>0</v>
      </c>
    </row>
    <row r="28" spans="1:16">
      <c r="B28" s="14" t="str">
        <f>'1ère J.'!Q14</f>
        <v>C5</v>
      </c>
      <c r="C28" s="71">
        <f>IF(ISTEXT(B28),C26,0)</f>
        <v>0</v>
      </c>
      <c r="D28" s="67">
        <f>IF(ISTEXT(B28),D26,0)</f>
        <v>0</v>
      </c>
      <c r="E28" s="72">
        <f>IF(ISTEXT(B28),E26,0)</f>
        <v>0</v>
      </c>
      <c r="F28" s="9"/>
      <c r="G28" s="14" t="str">
        <f>'1ère J.'!T14</f>
        <v>C8</v>
      </c>
      <c r="H28" s="71">
        <f>IF(ISTEXT(G28),H26,0)</f>
        <v>0</v>
      </c>
      <c r="I28" s="64">
        <f>IF(ISTEXT(G28),I26,0)</f>
        <v>0</v>
      </c>
      <c r="J28" s="72">
        <f>IF(ISTEXT(G28),J26,0)</f>
        <v>0</v>
      </c>
      <c r="K28" s="9"/>
      <c r="L28" s="14" t="str">
        <f>'1ère J.'!U15</f>
        <v>A8</v>
      </c>
      <c r="M28" s="71">
        <f>IF(ISTEXT(L28),M26,0)</f>
        <v>0</v>
      </c>
      <c r="N28" s="64">
        <f>IF(ISTEXT(L28),N26,0)</f>
        <v>0</v>
      </c>
      <c r="O28" s="72">
        <f>IF(ISTEXT(L28),O26,0)</f>
        <v>0</v>
      </c>
    </row>
    <row r="29" spans="1:16">
      <c r="A29" s="31">
        <v>3</v>
      </c>
      <c r="B29" s="32"/>
      <c r="C29" s="21" t="s">
        <v>5</v>
      </c>
      <c r="D29" s="21"/>
      <c r="E29" s="22"/>
      <c r="F29" s="1"/>
      <c r="G29" s="32"/>
      <c r="H29" s="21" t="s">
        <v>5</v>
      </c>
      <c r="I29" s="21"/>
      <c r="J29" s="22"/>
      <c r="K29" s="1"/>
      <c r="L29" s="32"/>
      <c r="M29" s="21" t="s">
        <v>5</v>
      </c>
      <c r="N29" s="21"/>
      <c r="O29" s="22"/>
      <c r="P29" s="29"/>
    </row>
    <row r="30" spans="1:16">
      <c r="B30" s="14" t="str">
        <f>'1ère J.'!O15</f>
        <v>A6</v>
      </c>
      <c r="C30" s="35">
        <v>0</v>
      </c>
      <c r="D30" s="30">
        <f>IF(C26+C30=0,0,IF(C26=C30,2,IF(C26&lt;C30,3,1)))</f>
        <v>0</v>
      </c>
      <c r="E30" s="15">
        <f>C30-C26</f>
        <v>0</v>
      </c>
      <c r="F30" s="9"/>
      <c r="G30" s="14" t="str">
        <f>'1ère J.'!R15</f>
        <v>A7</v>
      </c>
      <c r="H30" s="127">
        <v>0</v>
      </c>
      <c r="I30" s="30">
        <f>IF(H26+H30=0,0,IF(H26=H30,2,IF(H26&lt;H30,3,1)))</f>
        <v>0</v>
      </c>
      <c r="J30" s="15">
        <f>H30-H26</f>
        <v>0</v>
      </c>
      <c r="K30" s="9"/>
      <c r="L30" s="14" t="str">
        <f>'1ère J.'!V15</f>
        <v>B10</v>
      </c>
      <c r="M30" s="37">
        <v>0</v>
      </c>
      <c r="N30" s="30">
        <f>IF(M26+M30=0,0,IF(M26=M30,2,IF(M26&lt;M30,3,1)))</f>
        <v>0</v>
      </c>
      <c r="O30" s="15">
        <f>M30-M26</f>
        <v>0</v>
      </c>
    </row>
    <row r="31" spans="1:16" ht="16.5" thickBot="1">
      <c r="B31" s="14" t="str">
        <f>'1ère J.'!P15</f>
        <v>B6</v>
      </c>
      <c r="C31" s="17">
        <f>IF(ISTEXT(B31),C30,0)</f>
        <v>0</v>
      </c>
      <c r="D31" s="18">
        <f>IF(ISTEXT(B31),D30,0)</f>
        <v>0</v>
      </c>
      <c r="E31" s="19">
        <f>IF(ISTEXT(B31),E30,0)</f>
        <v>0</v>
      </c>
      <c r="F31" s="9"/>
      <c r="G31" s="14" t="str">
        <f>'1ère J.'!S15</f>
        <v>B8</v>
      </c>
      <c r="H31" s="17">
        <f>IF(ISTEXT(G31),H30,0)</f>
        <v>0</v>
      </c>
      <c r="I31" s="18">
        <f>IF(ISTEXT(G31),I30,0)</f>
        <v>0</v>
      </c>
      <c r="J31" s="19">
        <f>IF(ISTEXT(G31),J30,0)</f>
        <v>0</v>
      </c>
      <c r="K31" s="9"/>
      <c r="L31" s="14" t="str">
        <f>'1ère J.'!W15</f>
        <v>C12</v>
      </c>
      <c r="M31" s="17">
        <f>IF(ISTEXT(L31),M30,0)</f>
        <v>0</v>
      </c>
      <c r="N31" s="18">
        <f>IF(ISTEXT(L31),N30,0)</f>
        <v>0</v>
      </c>
      <c r="O31" s="19">
        <f>IF(ISTEXT(L31),O30,0)</f>
        <v>0</v>
      </c>
    </row>
    <row r="32" spans="1:16" ht="16.5" thickBot="1">
      <c r="B32" s="16" t="str">
        <f>'1ère J.'!Q15</f>
        <v>C6</v>
      </c>
      <c r="C32" s="17">
        <f>IF(ISTEXT(B32),C30,0)</f>
        <v>0</v>
      </c>
      <c r="D32" s="18">
        <f>IF(ISTEXT(B32),D30,0)</f>
        <v>0</v>
      </c>
      <c r="E32" s="19">
        <f>IF(ISTEXT(B32),E30,0)</f>
        <v>0</v>
      </c>
      <c r="F32" s="9"/>
      <c r="G32" s="16" t="str">
        <f>'1ère J.'!T15</f>
        <v>C9</v>
      </c>
      <c r="H32" s="17">
        <f>IF(ISTEXT(G32),H30,0)</f>
        <v>0</v>
      </c>
      <c r="I32" s="18">
        <f>IF(ISTEXT(G32),I30,0)</f>
        <v>0</v>
      </c>
      <c r="J32" s="19">
        <f>IF(ISTEXT(G32),J30,0)</f>
        <v>0</v>
      </c>
      <c r="K32" s="9"/>
      <c r="L32" s="16" t="str">
        <f>'1ère J.'!U16</f>
        <v>A9</v>
      </c>
      <c r="M32" s="17">
        <f>IF(ISTEXT(L32),M30,0)</f>
        <v>0</v>
      </c>
      <c r="N32" s="18">
        <f>IF(ISTEXT(L32),N30,0)</f>
        <v>0</v>
      </c>
      <c r="O32" s="19">
        <f>IF(ISTEXT(L32),O30,0)</f>
        <v>0</v>
      </c>
    </row>
    <row r="33" spans="1:16" ht="16.5" thickBot="1"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</row>
    <row r="34" spans="1:16">
      <c r="B34" s="12" t="str">
        <f>'1ère J.'!O16</f>
        <v>A7</v>
      </c>
      <c r="C34" s="33">
        <v>0</v>
      </c>
      <c r="D34" s="48">
        <f>IF(C34+C38=0,0,IF(C34=C38,2,IF(C34&gt;C38,3,1)))</f>
        <v>0</v>
      </c>
      <c r="E34" s="13">
        <f>C34-C38</f>
        <v>0</v>
      </c>
      <c r="F34" s="9"/>
      <c r="G34" s="12" t="str">
        <f>'1ère J.'!R16</f>
        <v>A8</v>
      </c>
      <c r="H34" s="126">
        <v>0</v>
      </c>
      <c r="I34" s="48">
        <f>IF(H34+H38=0,0,IF(H34=H38,2,IF(H34&gt;H38,3,1)))</f>
        <v>0</v>
      </c>
      <c r="J34" s="13">
        <f>H34-H38</f>
        <v>0</v>
      </c>
      <c r="K34" s="9"/>
      <c r="L34" s="12" t="str">
        <f>'1ère J.'!V16</f>
        <v>B11</v>
      </c>
      <c r="M34" s="36">
        <v>0</v>
      </c>
      <c r="N34" s="48">
        <f>IF(M34+M38=0,0,IF(M34=M38,2,IF(M34&gt;M38,3,1)))</f>
        <v>0</v>
      </c>
      <c r="O34" s="13">
        <f>M34-M38</f>
        <v>0</v>
      </c>
    </row>
    <row r="35" spans="1:16" ht="16.5" thickBot="1">
      <c r="B35" s="14" t="str">
        <f>'1ère J.'!P16</f>
        <v>B7</v>
      </c>
      <c r="C35" s="17">
        <f>IF(ISTEXT(B35),C34,0)</f>
        <v>0</v>
      </c>
      <c r="D35" s="18">
        <f>IF(ISTEXT(B35),D34,0)</f>
        <v>0</v>
      </c>
      <c r="E35" s="19">
        <f>IF(ISTEXT(B35),E34,0)</f>
        <v>0</v>
      </c>
      <c r="F35" s="9"/>
      <c r="G35" s="14" t="str">
        <f>'1ère J.'!S16</f>
        <v>B9</v>
      </c>
      <c r="H35" s="17">
        <f>IF(ISTEXT(G35),H34,0)</f>
        <v>0</v>
      </c>
      <c r="I35" s="59">
        <f>IF(ISTEXT(G35),I34,0)</f>
        <v>0</v>
      </c>
      <c r="J35" s="19">
        <f>IF(ISTEXT(G35),J34,0)</f>
        <v>0</v>
      </c>
      <c r="K35" s="9"/>
      <c r="L35" s="14" t="str">
        <f>'1ère J.'!W16</f>
        <v>C13</v>
      </c>
      <c r="M35" s="17">
        <f>IF(ISTEXT(L35),M34,0)</f>
        <v>0</v>
      </c>
      <c r="N35" s="59">
        <f>IF(ISTEXT(L35),N34,0)</f>
        <v>0</v>
      </c>
      <c r="O35" s="19">
        <f>IF(ISTEXT(L35),O34,0)</f>
        <v>0</v>
      </c>
    </row>
    <row r="36" spans="1:16">
      <c r="B36" s="14" t="str">
        <f>'1ère J.'!Q16</f>
        <v>C7</v>
      </c>
      <c r="C36" s="71">
        <f>IF(ISTEXT(B36),C34,0)</f>
        <v>0</v>
      </c>
      <c r="D36" s="67">
        <f>IF(ISTEXT(B36),D34,0)</f>
        <v>0</v>
      </c>
      <c r="E36" s="72">
        <f>IF(ISTEXT(B36),E34,0)</f>
        <v>0</v>
      </c>
      <c r="F36" s="9"/>
      <c r="G36" s="14" t="str">
        <f>'1ère J.'!T16</f>
        <v>C10</v>
      </c>
      <c r="H36" s="71">
        <f>IF(ISTEXT(G36),H34,0)</f>
        <v>0</v>
      </c>
      <c r="I36" s="64">
        <f>IF(ISTEXT(G36),I34,0)</f>
        <v>0</v>
      </c>
      <c r="J36" s="72">
        <f>IF(ISTEXT(G36),J34,0)</f>
        <v>0</v>
      </c>
      <c r="K36" s="9"/>
      <c r="L36" s="14" t="str">
        <f>'1ère J.'!U17</f>
        <v>A10</v>
      </c>
      <c r="M36" s="71">
        <f>IF(ISTEXT(L36),M34,0)</f>
        <v>0</v>
      </c>
      <c r="N36" s="64">
        <f>IF(ISTEXT(L36),N34,0)</f>
        <v>0</v>
      </c>
      <c r="O36" s="72">
        <f>IF(ISTEXT(L36),O34,0)</f>
        <v>0</v>
      </c>
    </row>
    <row r="37" spans="1:16">
      <c r="A37" s="31">
        <v>4</v>
      </c>
      <c r="B37" s="32"/>
      <c r="C37" s="21" t="s">
        <v>5</v>
      </c>
      <c r="D37" s="21"/>
      <c r="E37" s="22"/>
      <c r="F37" s="1"/>
      <c r="G37" s="32"/>
      <c r="H37" s="21" t="s">
        <v>5</v>
      </c>
      <c r="I37" s="21"/>
      <c r="J37" s="22"/>
      <c r="K37" s="1"/>
      <c r="L37" s="32"/>
      <c r="M37" s="21" t="s">
        <v>5</v>
      </c>
      <c r="N37" s="21"/>
      <c r="O37" s="22"/>
      <c r="P37" s="29"/>
    </row>
    <row r="38" spans="1:16">
      <c r="B38" s="14" t="str">
        <f>'1ère J.'!O17</f>
        <v>A8</v>
      </c>
      <c r="C38" s="35">
        <v>0</v>
      </c>
      <c r="D38" s="30">
        <f>IF(C34+C38=0,0,IF(C34=C38,2,IF(C34&lt;C38,3,1)))</f>
        <v>0</v>
      </c>
      <c r="E38" s="15">
        <f>C38-C34</f>
        <v>0</v>
      </c>
      <c r="F38" s="9"/>
      <c r="G38" s="14" t="str">
        <f>'1ère J.'!R17</f>
        <v>A9</v>
      </c>
      <c r="H38" s="127">
        <v>0</v>
      </c>
      <c r="I38" s="30">
        <f>IF(H34+H38=0,0,IF(H34=H38,2,IF(H34&lt;H38,3,1)))</f>
        <v>0</v>
      </c>
      <c r="J38" s="15">
        <f>H38-H34</f>
        <v>0</v>
      </c>
      <c r="K38" s="9"/>
      <c r="L38" s="14" t="str">
        <f>'1ère J.'!V17</f>
        <v>B12</v>
      </c>
      <c r="M38" s="37">
        <v>0</v>
      </c>
      <c r="N38" s="30">
        <f>IF(M34+M38=0,0,IF(M34=M38,2,IF(M34&lt;M38,3,1)))</f>
        <v>0</v>
      </c>
      <c r="O38" s="15">
        <f>M38-M34</f>
        <v>0</v>
      </c>
    </row>
    <row r="39" spans="1:16" ht="16.5" thickBot="1">
      <c r="B39" s="14" t="str">
        <f>'1ère J.'!P17</f>
        <v>B8</v>
      </c>
      <c r="C39" s="17">
        <f>IF(ISTEXT(B39),C38,0)</f>
        <v>0</v>
      </c>
      <c r="D39" s="18">
        <f>IF(ISTEXT(B39),D38,0)</f>
        <v>0</v>
      </c>
      <c r="E39" s="19">
        <f>IF(ISTEXT(B39),E38,0)</f>
        <v>0</v>
      </c>
      <c r="F39" s="9"/>
      <c r="G39" s="14" t="str">
        <f>'1ère J.'!S17</f>
        <v>B10</v>
      </c>
      <c r="H39" s="17">
        <f>IF(ISTEXT(G39),H38,0)</f>
        <v>0</v>
      </c>
      <c r="I39" s="18">
        <f>IF(ISTEXT(G39),I38,0)</f>
        <v>0</v>
      </c>
      <c r="J39" s="19">
        <f>IF(ISTEXT(G39),J38,0)</f>
        <v>0</v>
      </c>
      <c r="K39" s="9"/>
      <c r="L39" s="14" t="str">
        <f>'1ère J.'!W17</f>
        <v>C14</v>
      </c>
      <c r="M39" s="17">
        <f>IF(ISTEXT(L39),M38,0)</f>
        <v>0</v>
      </c>
      <c r="N39" s="18">
        <f>IF(ISTEXT(L39),N38,0)</f>
        <v>0</v>
      </c>
      <c r="O39" s="19">
        <f>IF(ISTEXT(L39),O38,0)</f>
        <v>0</v>
      </c>
    </row>
    <row r="40" spans="1:16" ht="16.5" thickBot="1">
      <c r="B40" s="16" t="str">
        <f>'1ère J.'!Q17</f>
        <v>C8</v>
      </c>
      <c r="C40" s="17">
        <f>IF(ISTEXT(B40),C38,0)</f>
        <v>0</v>
      </c>
      <c r="D40" s="18">
        <f>IF(ISTEXT(B40),D38,0)</f>
        <v>0</v>
      </c>
      <c r="E40" s="19">
        <f>IF(ISTEXT(B40),E38,0)</f>
        <v>0</v>
      </c>
      <c r="F40" s="9"/>
      <c r="G40" s="16" t="str">
        <f>'1ère J.'!T17</f>
        <v>C11</v>
      </c>
      <c r="H40" s="17">
        <f>IF(ISTEXT(G40),H38,0)</f>
        <v>0</v>
      </c>
      <c r="I40" s="18">
        <f>IF(ISTEXT(G40),I38,0)</f>
        <v>0</v>
      </c>
      <c r="J40" s="19">
        <f>IF(ISTEXT(G40),J38,0)</f>
        <v>0</v>
      </c>
      <c r="K40" s="9"/>
      <c r="L40" s="16" t="str">
        <f>'1ère J.'!U18</f>
        <v>A11</v>
      </c>
      <c r="M40" s="17">
        <f>IF(ISTEXT(L40),M38,0)</f>
        <v>0</v>
      </c>
      <c r="N40" s="18">
        <f>IF(ISTEXT(L40),N38,0)</f>
        <v>0</v>
      </c>
      <c r="O40" s="19">
        <f>IF(ISTEXT(L40),O38,0)</f>
        <v>0</v>
      </c>
    </row>
    <row r="41" spans="1:16" ht="16.5" thickBot="1"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</row>
    <row r="42" spans="1:16">
      <c r="B42" s="12" t="str">
        <f>'1ère J.'!O18</f>
        <v>A9</v>
      </c>
      <c r="C42" s="33">
        <v>0</v>
      </c>
      <c r="D42" s="48">
        <f>IF(C42+C46=0,0,IF(C42=C46,2,IF(C42&gt;C46,3,1)))</f>
        <v>0</v>
      </c>
      <c r="E42" s="13">
        <f>C42-C46</f>
        <v>0</v>
      </c>
      <c r="F42" s="9"/>
      <c r="G42" s="12" t="str">
        <f>'1ère J.'!R18</f>
        <v>A10</v>
      </c>
      <c r="H42" s="126">
        <v>0</v>
      </c>
      <c r="I42" s="48">
        <f>IF(H42+H46=0,0,IF(H42=H46,2,IF(H42&gt;H46,3,1)))</f>
        <v>0</v>
      </c>
      <c r="J42" s="13">
        <f>H42-H46</f>
        <v>0</v>
      </c>
      <c r="K42" s="9"/>
      <c r="L42" s="12" t="str">
        <f>'1ère J.'!V18</f>
        <v>B13</v>
      </c>
      <c r="M42" s="36">
        <v>0</v>
      </c>
      <c r="N42" s="48">
        <f>IF(M42+M46=0,0,IF(M42=M46,2,IF(M42&gt;M46,3,1)))</f>
        <v>0</v>
      </c>
      <c r="O42" s="13">
        <f>M42-M46</f>
        <v>0</v>
      </c>
    </row>
    <row r="43" spans="1:16" ht="16.5" thickBot="1">
      <c r="B43" s="14" t="str">
        <f>'1ère J.'!P18</f>
        <v>B9</v>
      </c>
      <c r="C43" s="17">
        <f>IF(ISTEXT(B43),C42,0)</f>
        <v>0</v>
      </c>
      <c r="D43" s="18">
        <f>IF(ISTEXT(B43),D42,0)</f>
        <v>0</v>
      </c>
      <c r="E43" s="19">
        <f>IF(ISTEXT(B43),E42,0)</f>
        <v>0</v>
      </c>
      <c r="F43" s="9"/>
      <c r="G43" s="14" t="str">
        <f>'1ère J.'!S18</f>
        <v>B11</v>
      </c>
      <c r="H43" s="17">
        <f>IF(ISTEXT(G43),H42,0)</f>
        <v>0</v>
      </c>
      <c r="I43" s="59">
        <f>IF(ISTEXT(G43),I42,0)</f>
        <v>0</v>
      </c>
      <c r="J43" s="19">
        <f>IF(ISTEXT(G43),J42,0)</f>
        <v>0</v>
      </c>
      <c r="K43" s="9"/>
      <c r="L43" s="14" t="str">
        <f>'1ère J.'!W18</f>
        <v>C15</v>
      </c>
      <c r="M43" s="17">
        <f>IF(ISTEXT(L43),M42,0)</f>
        <v>0</v>
      </c>
      <c r="N43" s="59">
        <f>IF(ISTEXT(L43),N42,0)</f>
        <v>0</v>
      </c>
      <c r="O43" s="19">
        <f>IF(ISTEXT(L43),O42,0)</f>
        <v>0</v>
      </c>
    </row>
    <row r="44" spans="1:16">
      <c r="B44" s="14" t="str">
        <f>'1ère J.'!Q18</f>
        <v>C9</v>
      </c>
      <c r="C44" s="71">
        <f>IF(ISTEXT(B44),C42,0)</f>
        <v>0</v>
      </c>
      <c r="D44" s="67">
        <f>IF(ISTEXT(B44),D42,0)</f>
        <v>0</v>
      </c>
      <c r="E44" s="72">
        <f>IF(ISTEXT(B44),E42,0)</f>
        <v>0</v>
      </c>
      <c r="F44" s="9"/>
      <c r="G44" s="14" t="str">
        <f>'1ère J.'!T18</f>
        <v>C12</v>
      </c>
      <c r="H44" s="71">
        <f>IF(ISTEXT(G44),H42,0)</f>
        <v>0</v>
      </c>
      <c r="I44" s="64">
        <f>IF(ISTEXT(G44),I42,0)</f>
        <v>0</v>
      </c>
      <c r="J44" s="72">
        <f>IF(ISTEXT(G44),J42,0)</f>
        <v>0</v>
      </c>
      <c r="K44" s="9"/>
      <c r="L44" s="14" t="str">
        <f>'1ère J.'!U19</f>
        <v>A12</v>
      </c>
      <c r="M44" s="71">
        <f>IF(ISTEXT(L44),M42,0)</f>
        <v>0</v>
      </c>
      <c r="N44" s="64">
        <f>IF(ISTEXT(L44),N42,0)</f>
        <v>0</v>
      </c>
      <c r="O44" s="72">
        <f>IF(ISTEXT(L44),O42,0)</f>
        <v>0</v>
      </c>
    </row>
    <row r="45" spans="1:16">
      <c r="A45" s="31">
        <v>5</v>
      </c>
      <c r="B45" s="32"/>
      <c r="C45" s="21" t="s">
        <v>5</v>
      </c>
      <c r="D45" s="21"/>
      <c r="E45" s="22"/>
      <c r="F45" s="1"/>
      <c r="G45" s="32"/>
      <c r="H45" s="21" t="s">
        <v>5</v>
      </c>
      <c r="I45" s="21"/>
      <c r="J45" s="22"/>
      <c r="K45" s="1"/>
      <c r="L45" s="32"/>
      <c r="M45" s="21" t="s">
        <v>5</v>
      </c>
      <c r="N45" s="21"/>
      <c r="O45" s="22"/>
      <c r="P45" s="29"/>
    </row>
    <row r="46" spans="1:16">
      <c r="B46" s="14" t="str">
        <f>'1ère J.'!O19</f>
        <v>A10</v>
      </c>
      <c r="C46" s="35">
        <v>0</v>
      </c>
      <c r="D46" s="30">
        <f>IF(C42+C46=0,0,IF(C42=C46,2,IF(C42&lt;C46,3,1)))</f>
        <v>0</v>
      </c>
      <c r="E46" s="15">
        <f>C46-C42</f>
        <v>0</v>
      </c>
      <c r="F46" s="9"/>
      <c r="G46" s="14" t="str">
        <f>'1ère J.'!R19</f>
        <v>A11</v>
      </c>
      <c r="H46" s="127">
        <v>0</v>
      </c>
      <c r="I46" s="30">
        <f>IF(H42+H46=0,0,IF(H42=H46,2,IF(H42&lt;H46,3,1)))</f>
        <v>0</v>
      </c>
      <c r="J46" s="15">
        <f>H46-H42</f>
        <v>0</v>
      </c>
      <c r="K46" s="9"/>
      <c r="L46" s="14" t="str">
        <f>'1ère J.'!V19</f>
        <v>B14</v>
      </c>
      <c r="M46" s="37">
        <v>0</v>
      </c>
      <c r="N46" s="30">
        <f>IF(M42+M46=0,0,IF(M42=M46,2,IF(M42&lt;M46,3,1)))</f>
        <v>0</v>
      </c>
      <c r="O46" s="15">
        <f>M46-M42</f>
        <v>0</v>
      </c>
    </row>
    <row r="47" spans="1:16" ht="16.5" thickBot="1">
      <c r="B47" s="14" t="str">
        <f>'1ère J.'!P19</f>
        <v>B10</v>
      </c>
      <c r="C47" s="17">
        <f>IF(ISTEXT(B47),C46,0)</f>
        <v>0</v>
      </c>
      <c r="D47" s="18">
        <f>IF(ISTEXT(B47),D46,0)</f>
        <v>0</v>
      </c>
      <c r="E47" s="19">
        <f>IF(ISTEXT(B47),E46,0)</f>
        <v>0</v>
      </c>
      <c r="F47" s="9"/>
      <c r="G47" s="14" t="str">
        <f>'1ère J.'!S19</f>
        <v>B12</v>
      </c>
      <c r="H47" s="17">
        <f>IF(ISTEXT(G47),H46,0)</f>
        <v>0</v>
      </c>
      <c r="I47" s="18">
        <f>IF(ISTEXT(G47),I46,0)</f>
        <v>0</v>
      </c>
      <c r="J47" s="19">
        <f>IF(ISTEXT(G47),J46,0)</f>
        <v>0</v>
      </c>
      <c r="K47" s="9"/>
      <c r="L47" s="14" t="str">
        <f>'1ère J.'!W19</f>
        <v>C16</v>
      </c>
      <c r="M47" s="17">
        <f>IF(ISTEXT(L47),M46,0)</f>
        <v>0</v>
      </c>
      <c r="N47" s="18">
        <f>IF(ISTEXT(L47),N46,0)</f>
        <v>0</v>
      </c>
      <c r="O47" s="19">
        <f>IF(ISTEXT(L47),O46,0)</f>
        <v>0</v>
      </c>
    </row>
    <row r="48" spans="1:16" ht="16.5" thickBot="1">
      <c r="B48" s="16" t="str">
        <f>'1ère J.'!Q19</f>
        <v>C10</v>
      </c>
      <c r="C48" s="17">
        <f>IF(ISTEXT(B48),C46,0)</f>
        <v>0</v>
      </c>
      <c r="D48" s="18">
        <f>IF(ISTEXT(B48),D46,0)</f>
        <v>0</v>
      </c>
      <c r="E48" s="19">
        <f>IF(ISTEXT(B48),E46,0)</f>
        <v>0</v>
      </c>
      <c r="F48" s="9"/>
      <c r="G48" s="16" t="str">
        <f>'1ère J.'!T19</f>
        <v>C13</v>
      </c>
      <c r="H48" s="17">
        <f>IF(ISTEXT(G48),H46,0)</f>
        <v>0</v>
      </c>
      <c r="I48" s="18">
        <f>IF(ISTEXT(G48),I46,0)</f>
        <v>0</v>
      </c>
      <c r="J48" s="19">
        <f>IF(ISTEXT(G48),J46,0)</f>
        <v>0</v>
      </c>
      <c r="K48" s="9"/>
      <c r="L48" s="16" t="str">
        <f>'1ère J.'!U20</f>
        <v>A13</v>
      </c>
      <c r="M48" s="17">
        <f>IF(ISTEXT(L48),M46,0)</f>
        <v>0</v>
      </c>
      <c r="N48" s="18">
        <f>IF(ISTEXT(L48),N46,0)</f>
        <v>0</v>
      </c>
      <c r="O48" s="19">
        <f>IF(ISTEXT(L48),O46,0)</f>
        <v>0</v>
      </c>
    </row>
    <row r="49" spans="1:16" ht="16.5" thickBot="1"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</row>
    <row r="50" spans="1:16" ht="17.25" thickTop="1" thickBot="1">
      <c r="B50" s="502" t="s">
        <v>1</v>
      </c>
      <c r="C50" s="503"/>
      <c r="D50" s="503"/>
      <c r="E50" s="504"/>
      <c r="F50" s="1"/>
      <c r="G50" s="505" t="s">
        <v>2</v>
      </c>
      <c r="H50" s="506"/>
      <c r="I50" s="506"/>
      <c r="J50" s="507"/>
      <c r="K50" s="1"/>
      <c r="L50" s="499" t="s">
        <v>3</v>
      </c>
      <c r="M50" s="500"/>
      <c r="N50" s="500"/>
      <c r="O50" s="501"/>
    </row>
    <row r="51" spans="1:16" ht="16.5" thickTop="1">
      <c r="B51" s="9"/>
      <c r="C51" s="9"/>
      <c r="D51" s="9"/>
      <c r="E51" s="9"/>
      <c r="F51" s="1"/>
      <c r="G51" s="9"/>
      <c r="H51" s="9"/>
      <c r="I51" s="9"/>
      <c r="J51" s="8"/>
      <c r="K51" s="9"/>
      <c r="L51" s="9"/>
      <c r="M51" s="1"/>
      <c r="N51" s="1"/>
      <c r="O51" s="9"/>
    </row>
    <row r="52" spans="1:16">
      <c r="B52" s="10" t="s">
        <v>4</v>
      </c>
      <c r="C52" s="10" t="s">
        <v>12</v>
      </c>
      <c r="D52" s="10" t="s">
        <v>10</v>
      </c>
      <c r="E52" s="10" t="s">
        <v>11</v>
      </c>
      <c r="F52" s="9"/>
      <c r="G52" s="10" t="s">
        <v>4</v>
      </c>
      <c r="H52" s="10" t="s">
        <v>12</v>
      </c>
      <c r="I52" s="10" t="s">
        <v>10</v>
      </c>
      <c r="J52" s="10" t="s">
        <v>11</v>
      </c>
      <c r="K52" s="9"/>
      <c r="L52" s="10" t="s">
        <v>4</v>
      </c>
      <c r="M52" s="10" t="s">
        <v>12</v>
      </c>
      <c r="N52" s="10" t="s">
        <v>10</v>
      </c>
      <c r="O52" s="10" t="s">
        <v>11</v>
      </c>
    </row>
    <row r="53" spans="1:16" ht="16.5" thickBot="1">
      <c r="B53" s="11"/>
      <c r="C53" s="9"/>
      <c r="D53" s="11"/>
      <c r="E53" s="9"/>
      <c r="F53" s="9"/>
      <c r="G53" s="11"/>
      <c r="H53" s="9"/>
      <c r="I53" s="11"/>
      <c r="J53" s="9"/>
      <c r="K53" s="9"/>
      <c r="L53" s="11"/>
      <c r="M53" s="9"/>
      <c r="N53" s="11"/>
      <c r="O53" s="9"/>
    </row>
    <row r="54" spans="1:16">
      <c r="B54" s="12" t="str">
        <f>'1ère J.'!O20</f>
        <v>A11</v>
      </c>
      <c r="C54" s="33">
        <v>0</v>
      </c>
      <c r="D54" s="48">
        <f>IF(C54+C58=0,0,IF(C54=C58,2,IF(C54&gt;C58,3,1)))</f>
        <v>0</v>
      </c>
      <c r="E54" s="13">
        <f>C54-C58</f>
        <v>0</v>
      </c>
      <c r="F54" s="9"/>
      <c r="G54" s="12" t="str">
        <f>'1ère J.'!R20</f>
        <v>A12</v>
      </c>
      <c r="H54" s="126">
        <v>0</v>
      </c>
      <c r="I54" s="48">
        <f>IF(H54+H58=0,0,IF(H54=H58,2,IF(H54&gt;H58,3,1)))</f>
        <v>0</v>
      </c>
      <c r="J54" s="13">
        <f>H54-H58</f>
        <v>0</v>
      </c>
      <c r="K54" s="9"/>
      <c r="L54" s="12" t="str">
        <f>'1ère J.'!V20</f>
        <v>B15</v>
      </c>
      <c r="M54" s="36">
        <v>0</v>
      </c>
      <c r="N54" s="48">
        <f>IF(M54+M58=0,0,IF(M54=M58,2,IF(M54&gt;M58,3,1)))</f>
        <v>0</v>
      </c>
      <c r="O54" s="13">
        <f>M54-M58</f>
        <v>0</v>
      </c>
    </row>
    <row r="55" spans="1:16" ht="16.5" thickBot="1">
      <c r="B55" s="14" t="str">
        <f>'1ère J.'!P20</f>
        <v>B11</v>
      </c>
      <c r="C55" s="17">
        <f>IF(ISTEXT(B55),C54,0)</f>
        <v>0</v>
      </c>
      <c r="D55" s="18">
        <f>IF(ISTEXT(B55),D54,0)</f>
        <v>0</v>
      </c>
      <c r="E55" s="19">
        <f>IF(ISTEXT(B55),E54,0)</f>
        <v>0</v>
      </c>
      <c r="F55" s="9"/>
      <c r="G55" s="14" t="str">
        <f>'1ère J.'!S20</f>
        <v>B13</v>
      </c>
      <c r="H55" s="17">
        <f>IF(ISTEXT(G55),H54,0)</f>
        <v>0</v>
      </c>
      <c r="I55" s="59">
        <f>IF(ISTEXT(G55),I54,0)</f>
        <v>0</v>
      </c>
      <c r="J55" s="19">
        <f>IF(ISTEXT(G55),J54,0)</f>
        <v>0</v>
      </c>
      <c r="K55" s="9"/>
      <c r="L55" s="14" t="str">
        <f>'1ère J.'!W20</f>
        <v>C1</v>
      </c>
      <c r="M55" s="17">
        <f>IF(ISTEXT(L55),M54,0)</f>
        <v>0</v>
      </c>
      <c r="N55" s="59">
        <f>IF(ISTEXT(L55),N54,0)</f>
        <v>0</v>
      </c>
      <c r="O55" s="19">
        <f>IF(ISTEXT(L55),O54,0)</f>
        <v>0</v>
      </c>
    </row>
    <row r="56" spans="1:16">
      <c r="B56" s="14" t="str">
        <f>'1ère J.'!Q20</f>
        <v>C11</v>
      </c>
      <c r="C56" s="71">
        <f>IF(ISTEXT(B56),C54,0)</f>
        <v>0</v>
      </c>
      <c r="D56" s="67">
        <f>IF(ISTEXT(B56),D54,0)</f>
        <v>0</v>
      </c>
      <c r="E56" s="72">
        <f>IF(ISTEXT(B56),E54,0)</f>
        <v>0</v>
      </c>
      <c r="F56" s="9"/>
      <c r="G56" s="14" t="str">
        <f>'1ère J.'!T20</f>
        <v>C14</v>
      </c>
      <c r="H56" s="71">
        <f>IF(ISTEXT(G56),H54,0)</f>
        <v>0</v>
      </c>
      <c r="I56" s="64">
        <f>IF(ISTEXT(G56),I54,0)</f>
        <v>0</v>
      </c>
      <c r="J56" s="72">
        <f>IF(ISTEXT(G56),J54,0)</f>
        <v>0</v>
      </c>
      <c r="K56" s="9"/>
      <c r="L56" s="14" t="str">
        <f>'1ère J.'!U21</f>
        <v>A14</v>
      </c>
      <c r="M56" s="71">
        <f>IF(ISTEXT(L56),M54,0)</f>
        <v>0</v>
      </c>
      <c r="N56" s="64">
        <f>IF(ISTEXT(L56),N54,0)</f>
        <v>0</v>
      </c>
      <c r="O56" s="72">
        <f>IF(ISTEXT(L56),O54,0)</f>
        <v>0</v>
      </c>
    </row>
    <row r="57" spans="1:16">
      <c r="A57" s="31">
        <v>6</v>
      </c>
      <c r="B57" s="32"/>
      <c r="C57" s="21" t="s">
        <v>5</v>
      </c>
      <c r="D57" s="21"/>
      <c r="E57" s="22"/>
      <c r="F57" s="1"/>
      <c r="G57" s="32"/>
      <c r="H57" s="21" t="s">
        <v>5</v>
      </c>
      <c r="I57" s="21"/>
      <c r="J57" s="22"/>
      <c r="K57" s="1"/>
      <c r="L57" s="32"/>
      <c r="M57" s="21" t="s">
        <v>5</v>
      </c>
      <c r="N57" s="21"/>
      <c r="O57" s="22"/>
      <c r="P57" s="29"/>
    </row>
    <row r="58" spans="1:16">
      <c r="B58" s="14" t="str">
        <f>'1ère J.'!O21</f>
        <v>A12</v>
      </c>
      <c r="C58" s="35">
        <v>0</v>
      </c>
      <c r="D58" s="30">
        <f>IF(C54+C58=0,0,IF(C54=C58,2,IF(C54&lt;C58,3,1)))</f>
        <v>0</v>
      </c>
      <c r="E58" s="15">
        <f>C58-C54</f>
        <v>0</v>
      </c>
      <c r="F58" s="9"/>
      <c r="G58" s="14" t="str">
        <f>'1ère J.'!R21</f>
        <v>A13</v>
      </c>
      <c r="H58" s="127">
        <v>0</v>
      </c>
      <c r="I58" s="30">
        <f>IF(H54+H58=0,0,IF(H54=H58,2,IF(H54&lt;H58,3,1)))</f>
        <v>0</v>
      </c>
      <c r="J58" s="15">
        <f>H58-H54</f>
        <v>0</v>
      </c>
      <c r="K58" s="9"/>
      <c r="L58" s="14" t="str">
        <f>'1ère J.'!V21</f>
        <v>B16</v>
      </c>
      <c r="M58" s="37">
        <v>0</v>
      </c>
      <c r="N58" s="30">
        <f>IF(M54+M58=0,0,IF(M54=M58,2,IF(M54&lt;M58,3,1)))</f>
        <v>0</v>
      </c>
      <c r="O58" s="15">
        <f>M58-M54</f>
        <v>0</v>
      </c>
    </row>
    <row r="59" spans="1:16" ht="16.5" thickBot="1">
      <c r="B59" s="14" t="str">
        <f>'1ère J.'!P21</f>
        <v>B12</v>
      </c>
      <c r="C59" s="17">
        <f>IF(ISTEXT(B59),C58,0)</f>
        <v>0</v>
      </c>
      <c r="D59" s="18">
        <f>IF(ISTEXT(B59),D58,0)</f>
        <v>0</v>
      </c>
      <c r="E59" s="19">
        <f>IF(ISTEXT(B59),E58,0)</f>
        <v>0</v>
      </c>
      <c r="F59" s="9"/>
      <c r="G59" s="14" t="str">
        <f>'1ère J.'!S21</f>
        <v>B14</v>
      </c>
      <c r="H59" s="17">
        <f>IF(ISTEXT(G59),H58,0)</f>
        <v>0</v>
      </c>
      <c r="I59" s="18">
        <f>IF(ISTEXT(G59),I58,0)</f>
        <v>0</v>
      </c>
      <c r="J59" s="19">
        <f>IF(ISTEXT(G59),J58,0)</f>
        <v>0</v>
      </c>
      <c r="K59" s="9"/>
      <c r="L59" s="14" t="str">
        <f>'1ère J.'!W21</f>
        <v>C2</v>
      </c>
      <c r="M59" s="17">
        <f>IF(ISTEXT(L59),M58,0)</f>
        <v>0</v>
      </c>
      <c r="N59" s="18">
        <f>IF(ISTEXT(L59),N58,0)</f>
        <v>0</v>
      </c>
      <c r="O59" s="19">
        <f>IF(ISTEXT(L59),O58,0)</f>
        <v>0</v>
      </c>
    </row>
    <row r="60" spans="1:16" ht="16.5" thickBot="1">
      <c r="B60" s="16" t="str">
        <f>'1ère J.'!Q21</f>
        <v>C12</v>
      </c>
      <c r="C60" s="17">
        <f>IF(ISTEXT(B60),C58,0)</f>
        <v>0</v>
      </c>
      <c r="D60" s="18">
        <f>IF(ISTEXT(B60),D58,0)</f>
        <v>0</v>
      </c>
      <c r="E60" s="19">
        <f>IF(ISTEXT(B60),E58,0)</f>
        <v>0</v>
      </c>
      <c r="F60" s="9"/>
      <c r="G60" s="16" t="str">
        <f>'1ère J.'!T21</f>
        <v>C15</v>
      </c>
      <c r="H60" s="17">
        <f>IF(ISTEXT(G60),H58,0)</f>
        <v>0</v>
      </c>
      <c r="I60" s="18">
        <f>IF(ISTEXT(G60),I58,0)</f>
        <v>0</v>
      </c>
      <c r="J60" s="19">
        <f>IF(ISTEXT(G60),J58,0)</f>
        <v>0</v>
      </c>
      <c r="K60" s="9"/>
      <c r="L60" s="16" t="str">
        <f>'1ère J.'!U22</f>
        <v>A15</v>
      </c>
      <c r="M60" s="17">
        <f>IF(ISTEXT(L60),M58,0)</f>
        <v>0</v>
      </c>
      <c r="N60" s="18">
        <f>IF(ISTEXT(L60),N58,0)</f>
        <v>0</v>
      </c>
      <c r="O60" s="19">
        <f>IF(ISTEXT(L60),O58,0)</f>
        <v>0</v>
      </c>
    </row>
    <row r="61" spans="1:16" ht="16.5" thickBot="1">
      <c r="B61" s="70"/>
      <c r="C61" s="70"/>
      <c r="D61" s="70"/>
      <c r="E61" s="70"/>
      <c r="F61" s="73"/>
      <c r="G61" s="73"/>
      <c r="H61" s="73"/>
      <c r="I61" s="70"/>
      <c r="J61" s="70"/>
      <c r="K61" s="73"/>
      <c r="L61" s="73"/>
      <c r="M61" s="70"/>
      <c r="N61" s="70"/>
      <c r="O61" s="70"/>
    </row>
    <row r="62" spans="1:16">
      <c r="B62" s="12" t="str">
        <f>'1ère J.'!O22</f>
        <v>A13</v>
      </c>
      <c r="C62" s="33">
        <v>0</v>
      </c>
      <c r="D62" s="48">
        <f>IF(C62+C66=0,0,IF(C62=C66,2,IF(C62&gt;C66,3,1)))</f>
        <v>0</v>
      </c>
      <c r="E62" s="13">
        <f>C62-C66</f>
        <v>0</v>
      </c>
      <c r="F62" s="9"/>
      <c r="G62" s="12" t="str">
        <f>'1ère J.'!R22</f>
        <v>A14</v>
      </c>
      <c r="H62" s="126">
        <v>0</v>
      </c>
      <c r="I62" s="48">
        <f>IF(H62+H66=0,0,IF(H62=H66,2,IF(H62&gt;H66,3,1)))</f>
        <v>0</v>
      </c>
      <c r="J62" s="13">
        <f>H62-H66</f>
        <v>0</v>
      </c>
      <c r="K62" s="9"/>
      <c r="L62" s="12" t="str">
        <f>'1ère J.'!V22</f>
        <v>B1</v>
      </c>
      <c r="M62" s="36">
        <v>0</v>
      </c>
      <c r="N62" s="48">
        <f>IF(M62+M66=0,0,IF(M62=M66,2,IF(M62&gt;M66,3,1)))</f>
        <v>0</v>
      </c>
      <c r="O62" s="13">
        <f>M62-M66</f>
        <v>0</v>
      </c>
    </row>
    <row r="63" spans="1:16" ht="16.5" thickBot="1">
      <c r="B63" s="14" t="str">
        <f>'1ère J.'!P22</f>
        <v>B13</v>
      </c>
      <c r="C63" s="17">
        <f>IF(ISTEXT(B63),C62,0)</f>
        <v>0</v>
      </c>
      <c r="D63" s="18">
        <f>IF(ISTEXT(B63),D62,0)</f>
        <v>0</v>
      </c>
      <c r="E63" s="19">
        <f>IF(ISTEXT(B63),E62,0)</f>
        <v>0</v>
      </c>
      <c r="F63" s="9"/>
      <c r="G63" s="14" t="str">
        <f>'1ère J.'!S22</f>
        <v>B15</v>
      </c>
      <c r="H63" s="17">
        <f>IF(ISTEXT(G63),H62,0)</f>
        <v>0</v>
      </c>
      <c r="I63" s="59">
        <f>IF(ISTEXT(G63),I62,0)</f>
        <v>0</v>
      </c>
      <c r="J63" s="19">
        <f>IF(ISTEXT(G63),J62,0)</f>
        <v>0</v>
      </c>
      <c r="K63" s="9"/>
      <c r="L63" s="14" t="str">
        <f>'1ère J.'!W22</f>
        <v>C3</v>
      </c>
      <c r="M63" s="17">
        <f>IF(ISTEXT(L63),M62,0)</f>
        <v>0</v>
      </c>
      <c r="N63" s="59">
        <f>IF(ISTEXT(L63),N62,0)</f>
        <v>0</v>
      </c>
      <c r="O63" s="19">
        <f>IF(ISTEXT(L63),O62,0)</f>
        <v>0</v>
      </c>
    </row>
    <row r="64" spans="1:16">
      <c r="B64" s="14" t="str">
        <f>'1ère J.'!Q22</f>
        <v>C13</v>
      </c>
      <c r="C64" s="71">
        <f>IF(ISTEXT(B64),C62,0)</f>
        <v>0</v>
      </c>
      <c r="D64" s="67">
        <f>IF(ISTEXT(B64),D62,0)</f>
        <v>0</v>
      </c>
      <c r="E64" s="72">
        <f>IF(ISTEXT(B64),E62,0)</f>
        <v>0</v>
      </c>
      <c r="F64" s="9"/>
      <c r="G64" s="14" t="str">
        <f>'1ère J.'!T22</f>
        <v>C16</v>
      </c>
      <c r="H64" s="71">
        <f>IF(ISTEXT(G64),H62,0)</f>
        <v>0</v>
      </c>
      <c r="I64" s="64">
        <f>IF(ISTEXT(G64),I62,0)</f>
        <v>0</v>
      </c>
      <c r="J64" s="72">
        <f>IF(ISTEXT(G64),J62,0)</f>
        <v>0</v>
      </c>
      <c r="K64" s="9"/>
      <c r="L64" s="14" t="str">
        <f>'1ère J.'!U23</f>
        <v>A16</v>
      </c>
      <c r="M64" s="71">
        <f>IF(ISTEXT(L64),M62,0)</f>
        <v>0</v>
      </c>
      <c r="N64" s="64">
        <f>IF(ISTEXT(L64),N62,0)</f>
        <v>0</v>
      </c>
      <c r="O64" s="72">
        <f>IF(ISTEXT(L64),O62,0)</f>
        <v>0</v>
      </c>
    </row>
    <row r="65" spans="1:16">
      <c r="A65" s="31">
        <v>7</v>
      </c>
      <c r="B65" s="32"/>
      <c r="C65" s="21" t="s">
        <v>5</v>
      </c>
      <c r="D65" s="21"/>
      <c r="E65" s="22"/>
      <c r="F65" s="1"/>
      <c r="G65" s="32"/>
      <c r="H65" s="21" t="s">
        <v>5</v>
      </c>
      <c r="I65" s="21"/>
      <c r="J65" s="22"/>
      <c r="K65" s="1"/>
      <c r="L65" s="32"/>
      <c r="M65" s="21" t="s">
        <v>5</v>
      </c>
      <c r="N65" s="21"/>
      <c r="O65" s="22"/>
      <c r="P65" s="29"/>
    </row>
    <row r="66" spans="1:16">
      <c r="B66" s="14" t="str">
        <f>'1ère J.'!O23</f>
        <v>A14</v>
      </c>
      <c r="C66" s="35">
        <v>0</v>
      </c>
      <c r="D66" s="30">
        <f>IF(C62+C66=0,0,IF(C62=C66,2,IF(C62&lt;C66,3,1)))</f>
        <v>0</v>
      </c>
      <c r="E66" s="15">
        <f>C66-C62</f>
        <v>0</v>
      </c>
      <c r="F66" s="9"/>
      <c r="G66" s="14" t="str">
        <f>'1ère J.'!R23</f>
        <v>A15</v>
      </c>
      <c r="H66" s="127">
        <v>0</v>
      </c>
      <c r="I66" s="30">
        <f>IF(H62+H66=0,0,IF(H62=H66,2,IF(H62&lt;H66,3,1)))</f>
        <v>0</v>
      </c>
      <c r="J66" s="15">
        <f>H66-H62</f>
        <v>0</v>
      </c>
      <c r="K66" s="9"/>
      <c r="L66" s="14" t="str">
        <f>'1ère J.'!V23</f>
        <v>B2</v>
      </c>
      <c r="M66" s="37">
        <v>0</v>
      </c>
      <c r="N66" s="30">
        <f>IF(M62+M66=0,0,IF(M62=M66,2,IF(M62&lt;M66,3,1)))</f>
        <v>0</v>
      </c>
      <c r="O66" s="15">
        <f>M66-M62</f>
        <v>0</v>
      </c>
    </row>
    <row r="67" spans="1:16" ht="16.5" thickBot="1">
      <c r="B67" s="14" t="str">
        <f>'1ère J.'!P23</f>
        <v>B14</v>
      </c>
      <c r="C67" s="17">
        <f>IF(ISTEXT(B67),C66,0)</f>
        <v>0</v>
      </c>
      <c r="D67" s="18">
        <f>IF(ISTEXT(B67),D66,0)</f>
        <v>0</v>
      </c>
      <c r="E67" s="19">
        <f>IF(ISTEXT(B67),E66,0)</f>
        <v>0</v>
      </c>
      <c r="F67" s="9"/>
      <c r="G67" s="14" t="str">
        <f>'1ère J.'!S23</f>
        <v>B16</v>
      </c>
      <c r="H67" s="17">
        <f>IF(ISTEXT(G67),H66,0)</f>
        <v>0</v>
      </c>
      <c r="I67" s="18">
        <f>IF(ISTEXT(G67),I66,0)</f>
        <v>0</v>
      </c>
      <c r="J67" s="19">
        <f>IF(ISTEXT(G67),J66,0)</f>
        <v>0</v>
      </c>
      <c r="K67" s="9"/>
      <c r="L67" s="14" t="str">
        <f>'1ère J.'!W23</f>
        <v>C4</v>
      </c>
      <c r="M67" s="17">
        <f>IF(ISTEXT(L67),M66,0)</f>
        <v>0</v>
      </c>
      <c r="N67" s="18">
        <f>IF(ISTEXT(L67),N66,0)</f>
        <v>0</v>
      </c>
      <c r="O67" s="19">
        <f>IF(ISTEXT(L67),O66,0)</f>
        <v>0</v>
      </c>
    </row>
    <row r="68" spans="1:16" ht="16.5" thickBot="1">
      <c r="B68" s="16" t="str">
        <f>'1ère J.'!Q23</f>
        <v>C14</v>
      </c>
      <c r="C68" s="17">
        <f>IF(ISTEXT(B68),C66,0)</f>
        <v>0</v>
      </c>
      <c r="D68" s="18">
        <f>IF(ISTEXT(B68),D66,0)</f>
        <v>0</v>
      </c>
      <c r="E68" s="19">
        <f>IF(ISTEXT(B68),E66,0)</f>
        <v>0</v>
      </c>
      <c r="F68" s="9"/>
      <c r="G68" s="16" t="str">
        <f>'1ère J.'!T23</f>
        <v>C1</v>
      </c>
      <c r="H68" s="17">
        <f>IF(ISTEXT(G68),H66,0)</f>
        <v>0</v>
      </c>
      <c r="I68" s="18">
        <f>IF(ISTEXT(G68),I66,0)</f>
        <v>0</v>
      </c>
      <c r="J68" s="19">
        <f>IF(ISTEXT(G68),J66,0)</f>
        <v>0</v>
      </c>
      <c r="K68" s="9"/>
      <c r="L68" s="16" t="str">
        <f>'1ère J.'!U24</f>
        <v>A1</v>
      </c>
      <c r="M68" s="17">
        <f>IF(ISTEXT(L68),M66,0)</f>
        <v>0</v>
      </c>
      <c r="N68" s="18">
        <f>IF(ISTEXT(L68),N66,0)</f>
        <v>0</v>
      </c>
      <c r="O68" s="19">
        <f>IF(ISTEXT(L68),O66,0)</f>
        <v>0</v>
      </c>
    </row>
    <row r="69" spans="1:16" ht="16.5" thickBot="1"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</row>
    <row r="70" spans="1:16">
      <c r="B70" s="12" t="str">
        <f>'1ère J.'!O24</f>
        <v>A15</v>
      </c>
      <c r="C70" s="33">
        <v>0</v>
      </c>
      <c r="D70" s="48">
        <f>IF(C70+C74=0,0,IF(C70=C74,2,IF(C70&gt;C74,3,1)))</f>
        <v>0</v>
      </c>
      <c r="E70" s="13">
        <f>C70-C74</f>
        <v>0</v>
      </c>
      <c r="F70" s="9"/>
      <c r="G70" s="12" t="str">
        <f>'1ère J.'!R24</f>
        <v>A16</v>
      </c>
      <c r="H70" s="126">
        <v>0</v>
      </c>
      <c r="I70" s="48">
        <f>IF(H70+H74=0,0,IF(H70=H74,2,IF(H70&gt;H74,3,1)))</f>
        <v>0</v>
      </c>
      <c r="J70" s="13">
        <f>H70-H74</f>
        <v>0</v>
      </c>
      <c r="K70" s="9"/>
      <c r="L70" s="12" t="str">
        <f>'1ère J.'!V24</f>
        <v>B3</v>
      </c>
      <c r="M70" s="36">
        <v>0</v>
      </c>
      <c r="N70" s="48">
        <f>IF(M70+M74=0,0,IF(M70=M74,2,IF(M70&gt;M74,3,1)))</f>
        <v>0</v>
      </c>
      <c r="O70" s="13">
        <f>M70-M74</f>
        <v>0</v>
      </c>
    </row>
    <row r="71" spans="1:16" ht="16.5" thickBot="1">
      <c r="B71" s="14" t="str">
        <f>'1ère J.'!P24</f>
        <v>B15</v>
      </c>
      <c r="C71" s="17">
        <f>IF(ISTEXT(B71),C70,0)</f>
        <v>0</v>
      </c>
      <c r="D71" s="18">
        <f>IF(ISTEXT(B71),D70,0)</f>
        <v>0</v>
      </c>
      <c r="E71" s="19">
        <f>IF(ISTEXT(B71),E70,0)</f>
        <v>0</v>
      </c>
      <c r="F71" s="9"/>
      <c r="G71" s="14" t="str">
        <f>'1ère J.'!S24</f>
        <v>B1</v>
      </c>
      <c r="H71" s="17">
        <f>IF(ISTEXT(G71),H70,0)</f>
        <v>0</v>
      </c>
      <c r="I71" s="59">
        <f>IF(ISTEXT(G71),I70,0)</f>
        <v>0</v>
      </c>
      <c r="J71" s="19">
        <f>IF(ISTEXT(G71),J70,0)</f>
        <v>0</v>
      </c>
      <c r="K71" s="9"/>
      <c r="L71" s="14" t="str">
        <f>'1ère J.'!W24</f>
        <v>C5</v>
      </c>
      <c r="M71" s="17">
        <f>IF(ISTEXT(L71),M70,0)</f>
        <v>0</v>
      </c>
      <c r="N71" s="59">
        <f>IF(ISTEXT(L71),N70,0)</f>
        <v>0</v>
      </c>
      <c r="O71" s="19">
        <f>IF(ISTEXT(L71),O70,0)</f>
        <v>0</v>
      </c>
    </row>
    <row r="72" spans="1:16">
      <c r="B72" s="14" t="str">
        <f>'1ère J.'!Q24</f>
        <v>C15</v>
      </c>
      <c r="C72" s="71">
        <f>IF(ISTEXT(B72),C70,0)</f>
        <v>0</v>
      </c>
      <c r="D72" s="67">
        <f>IF(ISTEXT(B72),D70,0)</f>
        <v>0</v>
      </c>
      <c r="E72" s="72">
        <f>IF(ISTEXT(B72),E70,0)</f>
        <v>0</v>
      </c>
      <c r="F72" s="9"/>
      <c r="G72" s="14" t="str">
        <f>'1ère J.'!T24</f>
        <v>C2</v>
      </c>
      <c r="H72" s="71">
        <f>IF(ISTEXT(G72),H70,0)</f>
        <v>0</v>
      </c>
      <c r="I72" s="64">
        <f>IF(ISTEXT(G72),I70,0)</f>
        <v>0</v>
      </c>
      <c r="J72" s="72">
        <f>IF(ISTEXT(G72),J70,0)</f>
        <v>0</v>
      </c>
      <c r="K72" s="9"/>
      <c r="L72" s="14" t="str">
        <f>'1ère J.'!U25</f>
        <v>A2</v>
      </c>
      <c r="M72" s="71">
        <f>IF(ISTEXT(L72),M70,0)</f>
        <v>0</v>
      </c>
      <c r="N72" s="64">
        <f>IF(ISTEXT(L72),N70,0)</f>
        <v>0</v>
      </c>
      <c r="O72" s="72">
        <f>IF(ISTEXT(L72),O70,0)</f>
        <v>0</v>
      </c>
    </row>
    <row r="73" spans="1:16">
      <c r="A73" s="31">
        <v>8</v>
      </c>
      <c r="B73" s="32"/>
      <c r="C73" s="21" t="s">
        <v>5</v>
      </c>
      <c r="D73" s="21"/>
      <c r="E73" s="22"/>
      <c r="F73" s="1"/>
      <c r="G73" s="32"/>
      <c r="H73" s="21" t="s">
        <v>5</v>
      </c>
      <c r="I73" s="21"/>
      <c r="J73" s="22"/>
      <c r="K73" s="1"/>
      <c r="L73" s="32"/>
      <c r="M73" s="21" t="s">
        <v>5</v>
      </c>
      <c r="N73" s="21"/>
      <c r="O73" s="22"/>
      <c r="P73" s="29"/>
    </row>
    <row r="74" spans="1:16">
      <c r="B74" s="14" t="str">
        <f>'1ère J.'!O25</f>
        <v>A16</v>
      </c>
      <c r="C74" s="35">
        <v>0</v>
      </c>
      <c r="D74" s="30">
        <f>IF(C70+C74=0,0,IF(C70=C74,2,IF(C70&lt;C74,3,1)))</f>
        <v>0</v>
      </c>
      <c r="E74" s="15">
        <f>C74-C70</f>
        <v>0</v>
      </c>
      <c r="F74" s="9"/>
      <c r="G74" s="14" t="str">
        <f>'1ère J.'!R25</f>
        <v>A1</v>
      </c>
      <c r="H74" s="127">
        <v>0</v>
      </c>
      <c r="I74" s="30">
        <f>IF(H70+H74=0,0,IF(H70=H74,2,IF(H70&lt;H74,3,1)))</f>
        <v>0</v>
      </c>
      <c r="J74" s="15">
        <f>H74-H70</f>
        <v>0</v>
      </c>
      <c r="K74" s="9"/>
      <c r="L74" s="14" t="str">
        <f>'1ère J.'!V25</f>
        <v>B4</v>
      </c>
      <c r="M74" s="37">
        <v>0</v>
      </c>
      <c r="N74" s="30">
        <f>IF(M70+M74=0,0,IF(M70=M74,2,IF(M70&lt;M74,3,1)))</f>
        <v>0</v>
      </c>
      <c r="O74" s="15">
        <f>M74-M70</f>
        <v>0</v>
      </c>
    </row>
    <row r="75" spans="1:16" ht="16.5" thickBot="1">
      <c r="B75" s="14" t="str">
        <f>'1ère J.'!P25</f>
        <v>B16</v>
      </c>
      <c r="C75" s="17">
        <f>IF(ISTEXT(B75),C74,0)</f>
        <v>0</v>
      </c>
      <c r="D75" s="18">
        <f>IF(ISTEXT(B75),D74,0)</f>
        <v>0</v>
      </c>
      <c r="E75" s="19">
        <f>IF(ISTEXT(B75),E74,0)</f>
        <v>0</v>
      </c>
      <c r="F75" s="9"/>
      <c r="G75" s="14" t="str">
        <f>'1ère J.'!S25</f>
        <v>B2</v>
      </c>
      <c r="H75" s="17">
        <f>IF(ISTEXT(G75),H74,0)</f>
        <v>0</v>
      </c>
      <c r="I75" s="18">
        <f>IF(ISTEXT(G75),I74,0)</f>
        <v>0</v>
      </c>
      <c r="J75" s="19">
        <f>IF(ISTEXT(G75),J74,0)</f>
        <v>0</v>
      </c>
      <c r="K75" s="9"/>
      <c r="L75" s="14" t="str">
        <f>'1ère J.'!W25</f>
        <v>C6</v>
      </c>
      <c r="M75" s="17">
        <f>IF(ISTEXT(L75),M74,0)</f>
        <v>0</v>
      </c>
      <c r="N75" s="18">
        <f>IF(ISTEXT(L75),N74,0)</f>
        <v>0</v>
      </c>
      <c r="O75" s="19">
        <f>IF(ISTEXT(L75),O74,0)</f>
        <v>0</v>
      </c>
    </row>
    <row r="76" spans="1:16" ht="16.5" thickBot="1">
      <c r="B76" s="16" t="str">
        <f>'1ère J.'!Q25</f>
        <v>C16</v>
      </c>
      <c r="C76" s="17">
        <f>IF(ISTEXT(B76),C74,0)</f>
        <v>0</v>
      </c>
      <c r="D76" s="18">
        <f>IF(ISTEXT(B76),D74,0)</f>
        <v>0</v>
      </c>
      <c r="E76" s="19">
        <f>IF(ISTEXT(B76),E74,0)</f>
        <v>0</v>
      </c>
      <c r="F76" s="9"/>
      <c r="G76" s="16" t="str">
        <f>'1ère J.'!T25</f>
        <v>C3</v>
      </c>
      <c r="H76" s="17">
        <f>IF(ISTEXT(G76),H74,0)</f>
        <v>0</v>
      </c>
      <c r="I76" s="18">
        <f>IF(ISTEXT(G76),I74,0)</f>
        <v>0</v>
      </c>
      <c r="J76" s="19">
        <f>IF(ISTEXT(G76),J74,0)</f>
        <v>0</v>
      </c>
      <c r="K76" s="9"/>
      <c r="L76" s="16" t="str">
        <f>'1ère J.'!U10</f>
        <v>A3</v>
      </c>
      <c r="M76" s="17">
        <f>IF(ISTEXT(L76),M74,0)</f>
        <v>0</v>
      </c>
      <c r="N76" s="18">
        <f>IF(ISTEXT(L76),N74,0)</f>
        <v>0</v>
      </c>
      <c r="O76" s="19">
        <f>IF(ISTEXT(L76),O74,0)</f>
        <v>0</v>
      </c>
    </row>
    <row r="77" spans="1:16" ht="16.5" thickBot="1">
      <c r="A77" s="128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</row>
    <row r="78" spans="1:16">
      <c r="A78" s="128"/>
      <c r="B78" s="12">
        <f>'1ère J.'!O32</f>
        <v>0</v>
      </c>
      <c r="C78" s="33">
        <v>0</v>
      </c>
      <c r="D78" s="48">
        <f>IF(C78+C82=0,0,IF(C78=C82,2,IF(C78&gt;C82,3,1)))</f>
        <v>0</v>
      </c>
      <c r="E78" s="13">
        <f>C78-C82</f>
        <v>0</v>
      </c>
      <c r="F78" s="9"/>
      <c r="G78" s="12">
        <f>'1ère J.'!R32</f>
        <v>0</v>
      </c>
      <c r="H78" s="126">
        <v>0</v>
      </c>
      <c r="I78" s="48">
        <f>IF(H78+H82=0,0,IF(H78=H82,2,IF(H78&gt;H82,3,1)))</f>
        <v>0</v>
      </c>
      <c r="J78" s="13">
        <f>H78-H82</f>
        <v>0</v>
      </c>
      <c r="K78" s="9"/>
      <c r="L78" s="12">
        <f>'1ère J.'!V32</f>
        <v>0</v>
      </c>
      <c r="M78" s="36">
        <v>0</v>
      </c>
      <c r="N78" s="48">
        <f>IF(M78+M82=0,0,IF(M78=M82,2,IF(M78&gt;M82,3,1)))</f>
        <v>0</v>
      </c>
      <c r="O78" s="13">
        <f>M78-M82</f>
        <v>0</v>
      </c>
    </row>
    <row r="79" spans="1:16" ht="16.5" thickBot="1">
      <c r="A79" s="128"/>
      <c r="B79" s="14">
        <f>'1ère J.'!P32</f>
        <v>0</v>
      </c>
      <c r="C79" s="17">
        <f>IF(ISTEXT(B79),C78,0)</f>
        <v>0</v>
      </c>
      <c r="D79" s="18">
        <f>IF(ISTEXT(B79),D78,0)</f>
        <v>0</v>
      </c>
      <c r="E79" s="19">
        <f>IF(ISTEXT(B79),E78,0)</f>
        <v>0</v>
      </c>
      <c r="F79" s="9"/>
      <c r="G79" s="14">
        <f>'1ère J.'!S32</f>
        <v>0</v>
      </c>
      <c r="H79" s="17">
        <f>IF(ISTEXT(G79),H78,0)</f>
        <v>0</v>
      </c>
      <c r="I79" s="59">
        <f>IF(ISTEXT(G79),I78,0)</f>
        <v>0</v>
      </c>
      <c r="J79" s="19">
        <f>IF(ISTEXT(G79),J78,0)</f>
        <v>0</v>
      </c>
      <c r="K79" s="9"/>
      <c r="L79" s="14">
        <f>'1ère J.'!W32</f>
        <v>0</v>
      </c>
      <c r="M79" s="17">
        <f>IF(ISTEXT(L79),M78,0)</f>
        <v>0</v>
      </c>
      <c r="N79" s="59">
        <f>IF(ISTEXT(L79),N78,0)</f>
        <v>0</v>
      </c>
      <c r="O79" s="19">
        <f>IF(ISTEXT(L79),O78,0)</f>
        <v>0</v>
      </c>
    </row>
    <row r="80" spans="1:16">
      <c r="A80" s="128"/>
      <c r="B80" s="14">
        <f>'1ère J.'!Q32</f>
        <v>0</v>
      </c>
      <c r="C80" s="71">
        <f>IF(ISTEXT(B80),C78,0)</f>
        <v>0</v>
      </c>
      <c r="D80" s="67">
        <f>IF(ISTEXT(B80),D78,0)</f>
        <v>0</v>
      </c>
      <c r="E80" s="72">
        <f>IF(ISTEXT(B80),E78,0)</f>
        <v>0</v>
      </c>
      <c r="F80" s="9"/>
      <c r="G80" s="14">
        <f>'1ère J.'!T32</f>
        <v>0</v>
      </c>
      <c r="H80" s="71">
        <f>IF(ISTEXT(G80),H78,0)</f>
        <v>0</v>
      </c>
      <c r="I80" s="64">
        <f>IF(ISTEXT(G80),I78,0)</f>
        <v>0</v>
      </c>
      <c r="J80" s="72">
        <f>IF(ISTEXT(G80),J78,0)</f>
        <v>0</v>
      </c>
      <c r="K80" s="9"/>
      <c r="L80" s="14">
        <f>'1ère J.'!U33</f>
        <v>0</v>
      </c>
      <c r="M80" s="71">
        <f>IF(ISTEXT(L80),M78,0)</f>
        <v>0</v>
      </c>
      <c r="N80" s="64">
        <f>IF(ISTEXT(L80),N78,0)</f>
        <v>0</v>
      </c>
      <c r="O80" s="72">
        <f>IF(ISTEXT(L80),O78,0)</f>
        <v>0</v>
      </c>
    </row>
    <row r="81" spans="1:15">
      <c r="A81" s="128">
        <v>9</v>
      </c>
      <c r="B81" s="32"/>
      <c r="C81" s="21" t="s">
        <v>5</v>
      </c>
      <c r="D81" s="21"/>
      <c r="E81" s="22"/>
      <c r="F81" s="1"/>
      <c r="G81" s="32"/>
      <c r="H81" s="21" t="s">
        <v>5</v>
      </c>
      <c r="I81" s="21"/>
      <c r="J81" s="22"/>
      <c r="K81" s="1"/>
      <c r="L81" s="32"/>
      <c r="M81" s="21" t="s">
        <v>5</v>
      </c>
      <c r="N81" s="21"/>
      <c r="O81" s="22"/>
    </row>
    <row r="82" spans="1:15">
      <c r="A82" s="128"/>
      <c r="B82" s="14">
        <f>'1ère J.'!O33</f>
        <v>0</v>
      </c>
      <c r="C82" s="35">
        <v>0</v>
      </c>
      <c r="D82" s="30">
        <f>IF(C78+C82=0,0,IF(C78=C82,2,IF(C78&lt;C82,3,1)))</f>
        <v>0</v>
      </c>
      <c r="E82" s="15">
        <f>C82-C78</f>
        <v>0</v>
      </c>
      <c r="F82" s="9"/>
      <c r="G82" s="14">
        <f>'1ère J.'!R33</f>
        <v>0</v>
      </c>
      <c r="H82" s="127">
        <v>0</v>
      </c>
      <c r="I82" s="30">
        <f>IF(H78+H82=0,0,IF(H78=H82,2,IF(H78&lt;H82,3,1)))</f>
        <v>0</v>
      </c>
      <c r="J82" s="15">
        <f>H82-H78</f>
        <v>0</v>
      </c>
      <c r="K82" s="9"/>
      <c r="L82" s="14">
        <f>'1ère J.'!V33</f>
        <v>0</v>
      </c>
      <c r="M82" s="37">
        <v>0</v>
      </c>
      <c r="N82" s="30">
        <f>IF(M78+M82=0,0,IF(M78=M82,2,IF(M78&lt;M82,3,1)))</f>
        <v>0</v>
      </c>
      <c r="O82" s="15">
        <f>M82-M78</f>
        <v>0</v>
      </c>
    </row>
    <row r="83" spans="1:15" ht="16.5" thickBot="1">
      <c r="A83" s="128"/>
      <c r="B83" s="14">
        <f>'1ère J.'!P33</f>
        <v>0</v>
      </c>
      <c r="C83" s="17">
        <f>IF(ISTEXT(B83),C82,0)</f>
        <v>0</v>
      </c>
      <c r="D83" s="18">
        <f>IF(ISTEXT(B83),D82,0)</f>
        <v>0</v>
      </c>
      <c r="E83" s="19">
        <f>IF(ISTEXT(B83),E82,0)</f>
        <v>0</v>
      </c>
      <c r="F83" s="9"/>
      <c r="G83" s="14">
        <f>'1ère J.'!S33</f>
        <v>0</v>
      </c>
      <c r="H83" s="17">
        <f>IF(ISTEXT(G83),H82,0)</f>
        <v>0</v>
      </c>
      <c r="I83" s="18">
        <f>IF(ISTEXT(G83),I82,0)</f>
        <v>0</v>
      </c>
      <c r="J83" s="19">
        <f>IF(ISTEXT(G83),J82,0)</f>
        <v>0</v>
      </c>
      <c r="K83" s="9"/>
      <c r="L83" s="14">
        <f>'1ère J.'!W33</f>
        <v>0</v>
      </c>
      <c r="M83" s="17">
        <f>IF(ISTEXT(L83),M82,0)</f>
        <v>0</v>
      </c>
      <c r="N83" s="18">
        <f>IF(ISTEXT(L83),N82,0)</f>
        <v>0</v>
      </c>
      <c r="O83" s="19">
        <f>IF(ISTEXT(L83),O82,0)</f>
        <v>0</v>
      </c>
    </row>
    <row r="84" spans="1:15" ht="16.5" thickBot="1">
      <c r="A84" s="128"/>
      <c r="B84" s="16">
        <f>'1ère J.'!Q33</f>
        <v>0</v>
      </c>
      <c r="C84" s="17">
        <f>IF(ISTEXT(B84),C82,0)</f>
        <v>0</v>
      </c>
      <c r="D84" s="18">
        <f>IF(ISTEXT(B84),D82,0)</f>
        <v>0</v>
      </c>
      <c r="E84" s="19">
        <f>IF(ISTEXT(B84),E82,0)</f>
        <v>0</v>
      </c>
      <c r="F84" s="9"/>
      <c r="G84" s="16">
        <f>'1ère J.'!T33</f>
        <v>0</v>
      </c>
      <c r="H84" s="17">
        <f>IF(ISTEXT(G84),H82,0)</f>
        <v>0</v>
      </c>
      <c r="I84" s="18">
        <f>IF(ISTEXT(G84),I82,0)</f>
        <v>0</v>
      </c>
      <c r="J84" s="19">
        <f>IF(ISTEXT(G84),J82,0)</f>
        <v>0</v>
      </c>
      <c r="K84" s="9"/>
      <c r="L84" s="16" t="str">
        <f>'1ère J.'!U18</f>
        <v>A11</v>
      </c>
      <c r="M84" s="17">
        <f>IF(ISTEXT(L84),M82,0)</f>
        <v>0</v>
      </c>
      <c r="N84" s="18">
        <f>IF(ISTEXT(L84),N82,0)</f>
        <v>0</v>
      </c>
      <c r="O84" s="19">
        <f>IF(ISTEXT(L84),O82,0)</f>
        <v>0</v>
      </c>
    </row>
    <row r="85" spans="1:15"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</row>
    <row r="86" spans="1:15">
      <c r="B86" s="8"/>
      <c r="C86" s="8"/>
      <c r="D86" s="79">
        <f>SUM(D10:D76)</f>
        <v>24</v>
      </c>
      <c r="E86" s="79">
        <f>SUM(E10:E76)</f>
        <v>0</v>
      </c>
      <c r="F86" s="8"/>
      <c r="G86" s="8"/>
      <c r="H86" s="8"/>
      <c r="I86" s="79">
        <f>SUM(I10:I76)</f>
        <v>24</v>
      </c>
      <c r="J86" s="79">
        <f>SUM(J10:J76)</f>
        <v>0</v>
      </c>
      <c r="K86" s="8"/>
      <c r="L86" s="8"/>
      <c r="M86" s="8"/>
      <c r="N86" s="79">
        <f>SUM(N10:N76)</f>
        <v>24</v>
      </c>
      <c r="O86" s="79">
        <f>SUM(O10:O76)</f>
        <v>0</v>
      </c>
    </row>
    <row r="87" spans="1:15">
      <c r="B87" s="8"/>
      <c r="C87" s="8"/>
      <c r="D87" s="8"/>
      <c r="E87" s="79" t="str">
        <f>IF(E86=0,"OK","ERREUR")</f>
        <v>OK</v>
      </c>
      <c r="F87" s="8"/>
      <c r="G87" s="8"/>
      <c r="H87" s="8"/>
      <c r="I87" s="8"/>
      <c r="J87" s="79" t="str">
        <f>IF(J86=0,"OK","ERREUR")</f>
        <v>OK</v>
      </c>
      <c r="K87" s="8"/>
      <c r="L87" s="8"/>
      <c r="M87" s="8"/>
      <c r="N87" s="8"/>
      <c r="O87" s="79" t="str">
        <f>IF(O86=0,"OK","ERREUR")</f>
        <v>OK</v>
      </c>
    </row>
    <row r="88" spans="1:15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</row>
  </sheetData>
  <sheetProtection formatCells="0" formatColumns="0" formatRows="0" insertColumns="0" insertRows="0" insertHyperlinks="0" deleteColumns="0" deleteRows="0" sort="0"/>
  <mergeCells count="6">
    <mergeCell ref="L50:O50"/>
    <mergeCell ref="B6:E6"/>
    <mergeCell ref="G6:J6"/>
    <mergeCell ref="L6:O6"/>
    <mergeCell ref="B50:E50"/>
    <mergeCell ref="G50:J50"/>
  </mergeCells>
  <phoneticPr fontId="1" type="noConversion"/>
  <conditionalFormatting sqref="E10:E11 J10:J11 O10:O12 E14:E16 J14:J16 O14:O16 E18:E20 J18:J20 O18:O20 E22:E24 J22:J24 O22:O24 E26:E28 J26:J28 O26:O28 E30:E36 J30:J36 O30:O36 E38:E44 J38:J44 O38:O44 E46:E49 J46:J49 O46:O49 E53:E56 J53:J56 O53:O56 E58:E60 J58:J60 O58:O60 E62:E64 J62:J64 O62:O64 E66:E72 J66:J72 O66:O72 E74:E84 J74:J84 O74:O84">
    <cfRule type="cellIs" dxfId="5" priority="22" stopIfTrue="1" operator="lessThan">
      <formula>0</formula>
    </cfRule>
  </conditionalFormatting>
  <conditionalFormatting sqref="J87">
    <cfRule type="colorScale" priority="12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O87">
    <cfRule type="colorScale" priority="11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E87">
    <cfRule type="colorScale" priority="10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O86">
    <cfRule type="colorScale" priority="8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J86">
    <cfRule type="colorScale" priority="7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E86">
    <cfRule type="colorScale" priority="6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O87">
    <cfRule type="containsText" dxfId="4" priority="4" operator="containsText" text="ERREUR">
      <formula>NOT(ISERROR(SEARCH("ERREUR",O87)))</formula>
    </cfRule>
    <cfRule type="containsText" dxfId="3" priority="5" operator="containsText" text="OK">
      <formula>NOT(ISERROR(SEARCH("OK",O87)))</formula>
    </cfRule>
  </conditionalFormatting>
  <conditionalFormatting sqref="J87">
    <cfRule type="containsText" dxfId="2" priority="3" operator="containsText" text="OK">
      <formula>NOT(ISERROR(SEARCH("OK",J87)))</formula>
    </cfRule>
  </conditionalFormatting>
  <conditionalFormatting sqref="E87">
    <cfRule type="containsText" dxfId="1" priority="2" operator="containsText" text="OK">
      <formula>NOT(ISERROR(SEARCH("OK",E87)))</formula>
    </cfRule>
  </conditionalFormatting>
  <pageMargins left="0.17" right="0.17" top="0.43307086614173229" bottom="0.54" header="0.23622047244094491" footer="0.3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AO71"/>
  <sheetViews>
    <sheetView zoomScale="80" zoomScaleNormal="80" workbookViewId="0">
      <selection activeCell="AE1" sqref="AE1:AF1048576"/>
    </sheetView>
  </sheetViews>
  <sheetFormatPr baseColWidth="10" defaultRowHeight="18.75"/>
  <cols>
    <col min="1" max="1" width="7.140625" style="84" customWidth="1"/>
    <col min="2" max="2" width="25.85546875" style="84" customWidth="1"/>
    <col min="3" max="3" width="7.5703125" style="84" customWidth="1"/>
    <col min="4" max="4" width="6.85546875" style="84" customWidth="1"/>
    <col min="5" max="5" width="7.28515625" style="84" customWidth="1"/>
    <col min="6" max="6" width="2.7109375" style="84" customWidth="1"/>
    <col min="7" max="7" width="7.5703125" style="84" customWidth="1"/>
    <col min="8" max="8" width="7.140625" style="84" customWidth="1"/>
    <col min="9" max="9" width="7.42578125" style="84" customWidth="1"/>
    <col min="10" max="10" width="2.7109375" style="296" customWidth="1"/>
    <col min="11" max="11" width="7" style="84" customWidth="1"/>
    <col min="12" max="12" width="6.28515625" style="84" customWidth="1"/>
    <col min="13" max="13" width="7.140625" style="84" customWidth="1"/>
    <col min="14" max="14" width="2.7109375" style="84" customWidth="1"/>
    <col min="15" max="15" width="7.7109375" style="84" customWidth="1"/>
    <col min="16" max="16" width="7.28515625" style="84" customWidth="1"/>
    <col min="17" max="17" width="7.140625" style="84" customWidth="1"/>
    <col min="18" max="18" width="2.5703125" style="84" customWidth="1"/>
    <col min="19" max="19" width="8.7109375" style="84" customWidth="1"/>
    <col min="20" max="20" width="7.28515625" style="84" customWidth="1"/>
    <col min="21" max="21" width="8.28515625" style="84" customWidth="1"/>
    <col min="22" max="22" width="2.5703125" style="84" customWidth="1"/>
    <col min="23" max="23" width="8.7109375" style="84" customWidth="1"/>
    <col min="24" max="24" width="7.140625" style="84" customWidth="1"/>
    <col min="25" max="25" width="9" style="84" customWidth="1"/>
    <col min="26" max="26" width="4.85546875" style="84" customWidth="1"/>
    <col min="27" max="27" width="25.42578125" style="84" customWidth="1"/>
    <col min="28" max="28" width="8.28515625" style="84" customWidth="1"/>
    <col min="29" max="29" width="9" style="84" customWidth="1"/>
    <col min="30" max="30" width="10.140625" style="84" customWidth="1"/>
    <col min="31" max="31" width="17.28515625" style="84" hidden="1" customWidth="1"/>
    <col min="32" max="32" width="7" style="84" hidden="1" customWidth="1"/>
    <col min="33" max="33" width="4" style="84" customWidth="1"/>
    <col min="34" max="34" width="10" style="84" customWidth="1"/>
    <col min="35" max="35" width="20.140625" style="84" customWidth="1"/>
    <col min="36" max="36" width="9.28515625" style="84" customWidth="1"/>
    <col min="37" max="37" width="10" style="84" customWidth="1"/>
    <col min="38" max="38" width="10.5703125" style="84" customWidth="1"/>
    <col min="39" max="39" width="7.28515625" customWidth="1"/>
    <col min="40" max="40" width="14.42578125" style="45" hidden="1" customWidth="1"/>
    <col min="41" max="16384" width="11.42578125" style="84"/>
  </cols>
  <sheetData>
    <row r="1" spans="1:41" s="300" customFormat="1" ht="21.75" customHeight="1">
      <c r="J1" s="301"/>
      <c r="K1" s="300" t="s">
        <v>65</v>
      </c>
      <c r="AM1" s="302"/>
    </row>
    <row r="2" spans="1:41" ht="21.75" customHeight="1" thickBot="1"/>
    <row r="3" spans="1:41" ht="19.5" thickBot="1">
      <c r="A3" s="237"/>
      <c r="C3" s="508" t="s">
        <v>48</v>
      </c>
      <c r="D3" s="509"/>
      <c r="E3" s="510"/>
      <c r="F3" s="238"/>
      <c r="G3" s="508" t="s">
        <v>49</v>
      </c>
      <c r="H3" s="509"/>
      <c r="I3" s="510"/>
      <c r="J3" s="297"/>
      <c r="K3" s="508" t="s">
        <v>50</v>
      </c>
      <c r="L3" s="509"/>
      <c r="M3" s="510"/>
      <c r="N3" s="238"/>
      <c r="O3" s="508" t="s">
        <v>51</v>
      </c>
      <c r="P3" s="509"/>
      <c r="Q3" s="510"/>
      <c r="R3" s="238"/>
      <c r="S3" s="508" t="s">
        <v>52</v>
      </c>
      <c r="T3" s="509"/>
      <c r="U3" s="510"/>
      <c r="V3" s="238"/>
      <c r="W3" s="508" t="s">
        <v>53</v>
      </c>
      <c r="X3" s="509"/>
      <c r="Y3" s="510"/>
      <c r="Z3" s="239"/>
      <c r="AA3" s="240" t="s">
        <v>40</v>
      </c>
      <c r="AB3" s="514" t="s">
        <v>54</v>
      </c>
      <c r="AC3" s="515"/>
      <c r="AD3" s="516"/>
      <c r="AE3" s="239"/>
      <c r="AF3" s="239"/>
      <c r="AG3" s="239"/>
      <c r="AH3" s="511" t="s">
        <v>21</v>
      </c>
      <c r="AI3" s="512"/>
      <c r="AJ3" s="512"/>
      <c r="AK3" s="512"/>
      <c r="AL3" s="513"/>
      <c r="AN3"/>
      <c r="AO3" s="239"/>
    </row>
    <row r="4" spans="1:41" ht="19.5" thickBot="1">
      <c r="A4" s="238"/>
      <c r="B4" s="238"/>
      <c r="C4" s="238"/>
      <c r="D4" s="238"/>
      <c r="E4" s="238"/>
      <c r="F4" s="241"/>
      <c r="G4" s="238"/>
      <c r="H4" s="238"/>
      <c r="I4" s="238"/>
      <c r="J4" s="297"/>
      <c r="K4" s="238"/>
      <c r="L4" s="238"/>
      <c r="M4" s="238"/>
      <c r="N4" s="238"/>
      <c r="O4" s="241"/>
      <c r="P4" s="241"/>
      <c r="Q4" s="241"/>
      <c r="R4" s="238"/>
      <c r="S4" s="241"/>
      <c r="T4" s="241"/>
      <c r="U4" s="241"/>
      <c r="V4" s="241"/>
      <c r="W4" s="241"/>
      <c r="X4" s="241"/>
      <c r="Y4" s="241"/>
      <c r="AA4" s="241"/>
      <c r="AE4" s="241"/>
      <c r="AF4" s="241"/>
      <c r="AG4" s="241"/>
      <c r="AH4" s="241"/>
      <c r="AI4" s="241"/>
      <c r="AJ4" s="241"/>
      <c r="AK4" s="241"/>
      <c r="AL4" s="241"/>
      <c r="AN4" s="43"/>
    </row>
    <row r="5" spans="1:41" ht="32.25" thickBot="1">
      <c r="A5" s="242"/>
      <c r="B5" s="358" t="s">
        <v>40</v>
      </c>
      <c r="C5" s="243" t="s">
        <v>10</v>
      </c>
      <c r="D5" s="244" t="s">
        <v>11</v>
      </c>
      <c r="E5" s="245" t="s">
        <v>12</v>
      </c>
      <c r="F5" s="313"/>
      <c r="G5" s="243" t="s">
        <v>10</v>
      </c>
      <c r="H5" s="244" t="s">
        <v>11</v>
      </c>
      <c r="I5" s="245" t="s">
        <v>12</v>
      </c>
      <c r="J5" s="314"/>
      <c r="K5" s="243" t="s">
        <v>10</v>
      </c>
      <c r="L5" s="244" t="s">
        <v>11</v>
      </c>
      <c r="M5" s="245" t="s">
        <v>12</v>
      </c>
      <c r="N5" s="314"/>
      <c r="O5" s="243" t="s">
        <v>10</v>
      </c>
      <c r="P5" s="244" t="s">
        <v>11</v>
      </c>
      <c r="Q5" s="245" t="s">
        <v>12</v>
      </c>
      <c r="R5" s="314"/>
      <c r="S5" s="243" t="s">
        <v>10</v>
      </c>
      <c r="T5" s="244" t="s">
        <v>11</v>
      </c>
      <c r="U5" s="245" t="s">
        <v>12</v>
      </c>
      <c r="V5" s="314"/>
      <c r="W5" s="243" t="s">
        <v>10</v>
      </c>
      <c r="X5" s="244" t="s">
        <v>11</v>
      </c>
      <c r="Y5" s="245" t="s">
        <v>12</v>
      </c>
      <c r="AA5" s="318" t="s">
        <v>40</v>
      </c>
      <c r="AB5" s="317" t="s">
        <v>10</v>
      </c>
      <c r="AC5" s="244" t="s">
        <v>11</v>
      </c>
      <c r="AD5" s="245" t="s">
        <v>12</v>
      </c>
      <c r="AE5" s="246" t="s">
        <v>14</v>
      </c>
      <c r="AF5" s="246" t="s">
        <v>55</v>
      </c>
      <c r="AG5" s="246"/>
      <c r="AH5" s="269" t="s">
        <v>18</v>
      </c>
      <c r="AI5" s="358" t="s">
        <v>40</v>
      </c>
      <c r="AJ5" s="267" t="s">
        <v>10</v>
      </c>
      <c r="AK5" s="247" t="s">
        <v>11</v>
      </c>
      <c r="AL5" s="266" t="s">
        <v>12</v>
      </c>
      <c r="AN5" s="260" t="s">
        <v>16</v>
      </c>
    </row>
    <row r="6" spans="1:41">
      <c r="A6" s="353">
        <v>1</v>
      </c>
      <c r="B6" s="357" t="str">
        <f>+Inscrits!B3</f>
        <v>A1</v>
      </c>
      <c r="C6" s="248">
        <f>IF(ISNA(VLOOKUP(B6,'1ère J.'!$BH$9:$BK$62,2,0))," ",IF(VLOOKUP(B6,'1ère J.'!$BH$9:$BK$62,2,0)=0,"0",VLOOKUP(B6,'1ère J.'!$BH$9:$BK$62,2,0)))</f>
        <v>1</v>
      </c>
      <c r="D6" s="248">
        <f>IF(ISNA(VLOOKUP(B6,'1ère J.'!$BH$9:$BK$62,3,0))," ",IF(VLOOKUP(B6,'1ère J.'!$BH$9:$BK$62,3,0)=0,"0",VLOOKUP(B6,'1ère J.'!$BH$9:$BK$62,3,0)))</f>
        <v>-1</v>
      </c>
      <c r="E6" s="248">
        <f>IF(ISNA(VLOOKUP(B6,'1ère J.'!$BH$9:$BK$62,4,0))," ",IF(VLOOKUP(B6,'1ère J.'!$BH$9:$BK$62,4,0)=0,"0",VLOOKUP(B6,'1ère J.'!$BH$9:$BK$62,4,0)))</f>
        <v>5</v>
      </c>
      <c r="F6" s="299"/>
      <c r="G6" s="248">
        <f>IF(ISNA(VLOOKUP(B6,'2ème J.'!$BH$9:$BK$62,2,0))," ",IF(VLOOKUP(B6,'2ème J.'!$BH$9:$BK$62,2,0)=0,"0",VLOOKUP(B6,'2ème J.'!$BH$9:$BK$62,2,0)))</f>
        <v>4</v>
      </c>
      <c r="H6" s="248">
        <f>IF(ISNA(VLOOKUP(B6,'2ème J.'!$BH$9:$BK$62,3,0))," ",IF(VLOOKUP(B6,'2ème J.'!$BH$9:$BK$62,3,0)=0,"0",VLOOKUP(B6,'2ème J.'!$BH$9:$BK$62,3,0)))</f>
        <v>9</v>
      </c>
      <c r="I6" s="248">
        <f>IF(ISNA(VLOOKUP(B6,'2ème J.'!$BH$9:$BK$62,4,0))," ",IF(VLOOKUP(B6,'2ème J.'!$BH$9:$BK$62,4,0)=0,"0",VLOOKUP(B6,'2ème J.'!$BH$9:$BK$62,4,0)))</f>
        <v>21</v>
      </c>
      <c r="J6" s="315"/>
      <c r="K6" s="248">
        <f>IF(ISNA(VLOOKUP(B6,'3ème J.'!$BH$9:$BK$62,2,0))," ",IF(VLOOKUP(B6,'3ème J.'!$BH$9:$BK$62,2,0)=0,"0",VLOOKUP(B6,'3ème J.'!$BH$9:$BK$62,2,0)))</f>
        <v>5</v>
      </c>
      <c r="L6" s="248">
        <f>IF(ISNA(VLOOKUP(B6,'3ème J.'!$BH$9:$BK$62,3,0))," ",IF(VLOOKUP(B6,'3ème J.'!$BH$9:$BK$62,3,0)=0,"0",VLOOKUP(B6,'3ème J.'!$BH$9:$BK$62,3,0)))</f>
        <v>-7</v>
      </c>
      <c r="M6" s="248">
        <f>IF(ISNA(VLOOKUP(B6,'3ème J.'!$BH$9:$BK$62,4,0))," ",IF(VLOOKUP(B6,'3ème J.'!$BH$9:$BK$62,4,0)=0,"0",VLOOKUP(B6,'3ème J.'!$BH$9:$BK$62,4,0)))</f>
        <v>21</v>
      </c>
      <c r="N6" s="315"/>
      <c r="O6" s="248">
        <f>IF(ISNA(VLOOKUP(B6,'4ème J.'!$BH$9:$BK$62,2,0))," ",IF(VLOOKUP(B6,'4ème J.'!$BH$9:$BK$62,2,0)=0,"0",VLOOKUP(B6,'4ème J.'!$BH$9:$BK$62,2,0)))</f>
        <v>4</v>
      </c>
      <c r="P6" s="248">
        <f>IF(ISNA(VLOOKUP(B6,'4ème J.'!$BH$9:$BK$62,3,0))," ",IF(VLOOKUP(B6,'4ème J.'!$BH$9:$BK$62,3,0)=0,"0",VLOOKUP(B6,'4ème J.'!$BH$9:$BK$62,3,0)))</f>
        <v>-2</v>
      </c>
      <c r="Q6" s="248">
        <f>IF(ISNA(VLOOKUP(B6,'4ème J.'!$BH$9:$BK$62,4,0))," ",IF(VLOOKUP(B6,'4ème J.'!$BH$9:$BK$62,4,0)=0,"0",VLOOKUP(B6,'4ème J.'!$BH$9:$BK$62,4,0)))</f>
        <v>10</v>
      </c>
      <c r="R6" s="299"/>
      <c r="S6" s="248">
        <f>IF(ISNA(VLOOKUP(B6,'5ème J.'!$BH$9:$BK$62,2,0))," ",IF(VLOOKUP(B6,'5ème J.'!$BH$9:$BK$62,2,0)=0,"0",VLOOKUP(B6,'5ème J.'!$BH$9:$BK$62,2,0)))</f>
        <v>7</v>
      </c>
      <c r="T6" s="248">
        <f>IF(ISNA(VLOOKUP(B6,'5ème J.'!$BH$9:$BK$62,3,0))," ",IF(VLOOKUP(B6,'5ème J.'!$BH$9:$BK$62,3,0)=0,"0",VLOOKUP(B6,'5ème J.'!$BH$9:$BK$62,3,0)))</f>
        <v>-1</v>
      </c>
      <c r="U6" s="248">
        <f>IF(ISNA(VLOOKUP(B6,'5ème J.'!$BH$9:$BK$62,4,0))," ",IF(VLOOKUP(B6,'5ème J.'!$BH$9:$BK$62,4,0)=0,"0",VLOOKUP(B6,'5ème J.'!$BH$9:$BK$62,4,0)))</f>
        <v>19</v>
      </c>
      <c r="V6" s="299"/>
      <c r="W6" s="248">
        <f>IF(ISNA(VLOOKUP(B6,'6ème J.'!$BH$9:$BK$62,2,0))," ",IF(VLOOKUP(B6,'6ème J.'!$BH$9:$BK$62,2,0)=0,"0",VLOOKUP(B6,'6ème J.'!$BH$9:$BK$62,2,0)))</f>
        <v>7</v>
      </c>
      <c r="X6" s="248">
        <f>IF(ISNA(VLOOKUP(B6,'6ème J.'!$BH$9:$BK$62,3,0))," ",IF(VLOOKUP(B6,'6ème J.'!$BH$9:$BK$62,3,0)=0,"0",VLOOKUP(B6,'6ème J.'!$BH$9:$BK$62,3,0)))</f>
        <v>10</v>
      </c>
      <c r="Y6" s="248">
        <f>IF(ISNA(VLOOKUP(B6,'6ème J.'!$BH$9:$BK$62,4,0))," ",IF(VLOOKUP(B6,'6ème J.'!$BH$9:$BK$62,4,0)=0,"0",VLOOKUP(B6,'6ème J.'!$BH$9:$BK$62,4,0)))</f>
        <v>31</v>
      </c>
      <c r="Z6" s="88"/>
      <c r="AA6" s="341" t="str">
        <f t="shared" ref="AA6:AA37" si="0">VLOOKUP(A6,$A$6:$B$59,2,0)</f>
        <v>A1</v>
      </c>
      <c r="AB6" s="342">
        <f>SUMIFS(C6:W6,$C$5:$W$5,"Pts",C6:W6,"&lt;&gt;#N/A")</f>
        <v>28</v>
      </c>
      <c r="AC6" s="389">
        <f>SUMIFS(D6:X6,$D$5:$X$5,"GA",D6:X6,"&lt;&gt;#N/A")</f>
        <v>8</v>
      </c>
      <c r="AD6" s="343">
        <f>SUMIFS(E6:Y6,$E$5:$Y$5,"Score",E6:Y6,"&lt;&gt;#N/A")</f>
        <v>107</v>
      </c>
      <c r="AE6" s="250">
        <f>IF(OR(AA6="",AB6=""),"",RANK(AB6,$AB$6:$AB$59)+SUM(-AC6/100)-(+AD6/10000)+COUNTIF(AA$6:AA$59,"&lt;="&amp;AA6+1)/1000000+ROW()/100000000)</f>
        <v>19.909300060000003</v>
      </c>
      <c r="AF6" s="251">
        <f>IF(AB6="","",SMALL(AE$6:AE$59,ROWS(AB$6:AB6)))</f>
        <v>0.72470009999999996</v>
      </c>
      <c r="AG6" s="251"/>
      <c r="AH6" s="303">
        <f>IF(AF6="","",1)</f>
        <v>1</v>
      </c>
      <c r="AI6" s="249" t="str">
        <f t="shared" ref="AI6:AI37" si="1">IF(OR(AA6="",AB6=""),"",INDEX($AA$6:$AA$59,MATCH(AF6,$AE$6:$AE$59,0)))</f>
        <v>A5</v>
      </c>
      <c r="AJ6" s="268">
        <f t="shared" ref="AJ6:AJ37" si="2">IF(AA6="","",INDEX($AB$6:$AB$59,MATCH(AF6,$AE$6:$AE$59,0)))</f>
        <v>39</v>
      </c>
      <c r="AK6" s="332">
        <f t="shared" ref="AK6:AK37" si="3">IF(AA6="","",INDEX($AC$6:$AC$59,MATCH(AF6,$AE$6:$AE$59,0)))</f>
        <v>26</v>
      </c>
      <c r="AL6" s="308">
        <f t="shared" ref="AL6:AL37" si="4">IF(AA6="","",INDEX($AD$6:$AD$59,MATCH(AF6,$AE$6:$AE$59,0)))</f>
        <v>153</v>
      </c>
      <c r="AN6" s="253">
        <v>1</v>
      </c>
    </row>
    <row r="7" spans="1:41">
      <c r="A7" s="354">
        <v>2</v>
      </c>
      <c r="B7" s="351" t="str">
        <f>+Inscrits!B4</f>
        <v>A2</v>
      </c>
      <c r="C7" s="248">
        <f>IF(ISNA(VLOOKUP(B7,'1ère J.'!$BH$9:$BK$62,2,0))," ",IF(VLOOKUP(B7,'1ère J.'!$BH$9:$BK$62,2,0)=0,"0",VLOOKUP(B7,'1ère J.'!$BH$9:$BK$62,2,0)))</f>
        <v>4</v>
      </c>
      <c r="D7" s="248">
        <f>IF(ISNA(VLOOKUP(B7,'1ère J.'!$BH$9:$BK$62,3,0))," ",IF(VLOOKUP(B7,'1ère J.'!$BH$9:$BK$62,3,0)=0,"0",VLOOKUP(B7,'1ère J.'!$BH$9:$BK$62,3,0)))</f>
        <v>-4</v>
      </c>
      <c r="E7" s="248">
        <f>IF(ISNA(VLOOKUP(B7,'1ère J.'!$BH$9:$BK$62,4,0))," ",IF(VLOOKUP(B7,'1ère J.'!$BH$9:$BK$62,4,0)=0,"0",VLOOKUP(B7,'1ère J.'!$BH$9:$BK$62,4,0)))</f>
        <v>11</v>
      </c>
      <c r="F7" s="299"/>
      <c r="G7" s="248">
        <f>IF(ISNA(VLOOKUP(B7,'2ème J.'!$BH$9:$BK$62,2,0))," ",IF(VLOOKUP(B7,'2ème J.'!$BH$9:$BK$62,2,0)=0,"0",VLOOKUP(B7,'2ème J.'!$BH$9:$BK$62,2,0)))</f>
        <v>5</v>
      </c>
      <c r="H7" s="248">
        <f>IF(ISNA(VLOOKUP(B7,'2ème J.'!$BH$9:$BK$62,3,0))," ",IF(VLOOKUP(B7,'2ème J.'!$BH$9:$BK$62,3,0)=0,"0",VLOOKUP(B7,'2ème J.'!$BH$9:$BK$62,3,0)))</f>
        <v>-5</v>
      </c>
      <c r="I7" s="248">
        <f>IF(ISNA(VLOOKUP(B7,'2ème J.'!$BH$9:$BK$62,4,0))," ",IF(VLOOKUP(B7,'2ème J.'!$BH$9:$BK$62,4,0)=0,"0",VLOOKUP(B7,'2ème J.'!$BH$9:$BK$62,4,0)))</f>
        <v>21</v>
      </c>
      <c r="J7" s="315"/>
      <c r="K7" s="248">
        <f>IF(ISNA(VLOOKUP(B7,'3ème J.'!$BH$9:$BK$62,2,0))," ",IF(VLOOKUP(B7,'3ème J.'!$BH$9:$BK$62,2,0)=0,"0",VLOOKUP(B7,'3ème J.'!$BH$9:$BK$62,2,0)))</f>
        <v>7</v>
      </c>
      <c r="L7" s="248">
        <f>IF(ISNA(VLOOKUP(B7,'3ème J.'!$BH$9:$BK$62,3,0))," ",IF(VLOOKUP(B7,'3ème J.'!$BH$9:$BK$62,3,0)=0,"0",VLOOKUP(B7,'3ème J.'!$BH$9:$BK$62,3,0)))</f>
        <v>4</v>
      </c>
      <c r="M7" s="248">
        <f>IF(ISNA(VLOOKUP(B7,'3ème J.'!$BH$9:$BK$62,4,0))," ",IF(VLOOKUP(B7,'3ème J.'!$BH$9:$BK$62,4,0)=0,"0",VLOOKUP(B7,'3ème J.'!$BH$9:$BK$62,4,0)))</f>
        <v>26</v>
      </c>
      <c r="N7" s="315"/>
      <c r="O7" s="248">
        <f>IF(ISNA(VLOOKUP(B7,'4ème J.'!$BH$9:$BK$62,2,0))," ",IF(VLOOKUP(B7,'4ème J.'!$BH$9:$BK$62,2,0)=0,"0",VLOOKUP(B7,'4ème J.'!$BH$9:$BK$62,2,0)))</f>
        <v>4</v>
      </c>
      <c r="P7" s="248">
        <f>IF(ISNA(VLOOKUP(B7,'4ème J.'!$BH$9:$BK$62,3,0))," ",IF(VLOOKUP(B7,'4ème J.'!$BH$9:$BK$62,3,0)=0,"0",VLOOKUP(B7,'4ème J.'!$BH$9:$BK$62,3,0)))</f>
        <v>-6</v>
      </c>
      <c r="Q7" s="248">
        <f>IF(ISNA(VLOOKUP(B7,'4ème J.'!$BH$9:$BK$62,4,0))," ",IF(VLOOKUP(B7,'4ème J.'!$BH$9:$BK$62,4,0)=0,"0",VLOOKUP(B7,'4ème J.'!$BH$9:$BK$62,4,0)))</f>
        <v>11</v>
      </c>
      <c r="R7" s="299"/>
      <c r="S7" s="248">
        <f>IF(ISNA(VLOOKUP(B7,'5ème J.'!$BH$9:$BK$62,2,0))," ",IF(VLOOKUP(B7,'5ème J.'!$BH$9:$BK$62,2,0)=0,"0",VLOOKUP(B7,'5ème J.'!$BH$9:$BK$62,2,0)))</f>
        <v>5</v>
      </c>
      <c r="T7" s="248">
        <f>IF(ISNA(VLOOKUP(B7,'5ème J.'!$BH$9:$BK$62,3,0))," ",IF(VLOOKUP(B7,'5ème J.'!$BH$9:$BK$62,3,0)=0,"0",VLOOKUP(B7,'5ème J.'!$BH$9:$BK$62,3,0)))</f>
        <v>3</v>
      </c>
      <c r="U7" s="248">
        <f>IF(ISNA(VLOOKUP(B7,'5ème J.'!$BH$9:$BK$62,4,0))," ",IF(VLOOKUP(B7,'5ème J.'!$BH$9:$BK$62,4,0)=0,"0",VLOOKUP(B7,'5ème J.'!$BH$9:$BK$62,4,0)))</f>
        <v>24</v>
      </c>
      <c r="V7" s="299"/>
      <c r="W7" s="248">
        <f>IF(ISNA(VLOOKUP(B7,'6ème J.'!$BH$9:$BK$62,2,0))," ",IF(VLOOKUP(B7,'6ème J.'!$BH$9:$BK$62,2,0)=0,"0",VLOOKUP(B7,'6ème J.'!$BH$9:$BK$62,2,0)))</f>
        <v>7</v>
      </c>
      <c r="X7" s="248" t="str">
        <f>IF(ISNA(VLOOKUP(B7,'6ème J.'!$BH$9:$BK$62,3,0))," ",IF(VLOOKUP(B7,'6ème J.'!$BH$9:$BK$62,3,0)=0,"0",VLOOKUP(B7,'6ème J.'!$BH$9:$BK$62,3,0)))</f>
        <v>0</v>
      </c>
      <c r="Y7" s="248">
        <f>IF(ISNA(VLOOKUP(B7,'6ème J.'!$BH$9:$BK$62,4,0))," ",IF(VLOOKUP(B7,'6ème J.'!$BH$9:$BK$62,4,0)=0,"0",VLOOKUP(B7,'6ème J.'!$BH$9:$BK$62,4,0)))</f>
        <v>28</v>
      </c>
      <c r="Z7" s="88"/>
      <c r="AA7" s="344" t="str">
        <f t="shared" si="0"/>
        <v>A2</v>
      </c>
      <c r="AB7" s="252">
        <f t="shared" ref="AB7:AB37" si="5">SUMIFS(C7:W7,$C$5:$W$5,"Pts",C7:W7,"&lt;&gt;#N/A")</f>
        <v>32</v>
      </c>
      <c r="AC7" s="390">
        <f t="shared" ref="AC7:AC59" si="6">SUMIFS(D7:X7,$D$5:$X$5,"GA",D7:X7,"&lt;&gt;#N/A")</f>
        <v>-8</v>
      </c>
      <c r="AD7" s="345">
        <f t="shared" ref="AD7:AD59" si="7">SUMIFS(E7:Y7,$E$5:$Y$5,"Score",E7:Y7,"&lt;&gt;#N/A")</f>
        <v>121</v>
      </c>
      <c r="AE7" s="250">
        <f t="shared" ref="AE7:AE59" si="8">IF(OR(AA7="",AB7=""),"",RANK(AB7,$AB$6:$AB$59)+SUM(-AC7/100)-(+AD7/10000)+COUNTIF(AA$6:AA$59,"&lt;="&amp;AA7+1)/1000000+ROW()/100000000)</f>
        <v>10.06790007</v>
      </c>
      <c r="AF7" s="251">
        <f>IF(AB7="","",SMALL(AE$6:AE$59,ROWS(AB$6:AB7)))</f>
        <v>0.76710029000000002</v>
      </c>
      <c r="AG7" s="251"/>
      <c r="AH7" s="304">
        <f>IF(AF7="","",IF(AND(AJ6=AJ7,AK6=AK7,AL6=AL7),AH6,$AH$6+1))</f>
        <v>2</v>
      </c>
      <c r="AI7" s="252" t="str">
        <f t="shared" si="1"/>
        <v>B6</v>
      </c>
      <c r="AJ7" s="252">
        <f t="shared" si="2"/>
        <v>39</v>
      </c>
      <c r="AK7" s="333">
        <f t="shared" si="3"/>
        <v>22</v>
      </c>
      <c r="AL7" s="309">
        <f t="shared" si="4"/>
        <v>129</v>
      </c>
      <c r="AN7" s="254">
        <v>2</v>
      </c>
    </row>
    <row r="8" spans="1:41">
      <c r="A8" s="354">
        <v>3</v>
      </c>
      <c r="B8" s="351" t="str">
        <f>+Inscrits!B5</f>
        <v>A3</v>
      </c>
      <c r="C8" s="248">
        <f>IF(ISNA(VLOOKUP(B8,'1ère J.'!$BH$9:$BK$62,2,0))," ",IF(VLOOKUP(B8,'1ère J.'!$BH$9:$BK$62,2,0)=0,"0",VLOOKUP(B8,'1ère J.'!$BH$9:$BK$62,2,0)))</f>
        <v>7</v>
      </c>
      <c r="D8" s="248">
        <f>IF(ISNA(VLOOKUP(B8,'1ère J.'!$BH$9:$BK$62,3,0))," ",IF(VLOOKUP(B8,'1ère J.'!$BH$9:$BK$62,3,0)=0,"0",VLOOKUP(B8,'1ère J.'!$BH$9:$BK$62,3,0)))</f>
        <v>10</v>
      </c>
      <c r="E8" s="248">
        <f>IF(ISNA(VLOOKUP(B8,'1ère J.'!$BH$9:$BK$62,4,0))," ",IF(VLOOKUP(B8,'1ère J.'!$BH$9:$BK$62,4,0)=0,"0",VLOOKUP(B8,'1ère J.'!$BH$9:$BK$62,4,0)))</f>
        <v>26</v>
      </c>
      <c r="F8" s="299"/>
      <c r="G8" s="248">
        <f>IF(ISNA(VLOOKUP(B8,'2ème J.'!$BH$9:$BK$62,2,0))," ",IF(VLOOKUP(B8,'2ème J.'!$BH$9:$BK$62,2,0)=0,"0",VLOOKUP(B8,'2ème J.'!$BH$9:$BK$62,2,0)))</f>
        <v>7</v>
      </c>
      <c r="H8" s="248">
        <f>IF(ISNA(VLOOKUP(B8,'2ème J.'!$BH$9:$BK$62,3,0))," ",IF(VLOOKUP(B8,'2ème J.'!$BH$9:$BK$62,3,0)=0,"0",VLOOKUP(B8,'2ème J.'!$BH$9:$BK$62,3,0)))</f>
        <v>6</v>
      </c>
      <c r="I8" s="248">
        <f>IF(ISNA(VLOOKUP(B8,'2ème J.'!$BH$9:$BK$62,4,0))," ",IF(VLOOKUP(B8,'2ème J.'!$BH$9:$BK$62,4,0)=0,"0",VLOOKUP(B8,'2ème J.'!$BH$9:$BK$62,4,0)))</f>
        <v>27</v>
      </c>
      <c r="J8" s="315"/>
      <c r="K8" s="248">
        <f>IF(ISNA(VLOOKUP(B8,'3ème J.'!$BH$9:$BK$62,2,0))," ",IF(VLOOKUP(B8,'3ème J.'!$BH$9:$BK$62,2,0)=0,"0",VLOOKUP(B8,'3ème J.'!$BH$9:$BK$62,2,0)))</f>
        <v>7</v>
      </c>
      <c r="L8" s="248">
        <f>IF(ISNA(VLOOKUP(B8,'3ème J.'!$BH$9:$BK$62,3,0))," ",IF(VLOOKUP(B8,'3ème J.'!$BH$9:$BK$62,3,0)=0,"0",VLOOKUP(B8,'3ème J.'!$BH$9:$BK$62,3,0)))</f>
        <v>4</v>
      </c>
      <c r="M8" s="248">
        <f>IF(ISNA(VLOOKUP(B8,'3ème J.'!$BH$9:$BK$62,4,0))," ",IF(VLOOKUP(B8,'3ème J.'!$BH$9:$BK$62,4,0)=0,"0",VLOOKUP(B8,'3ème J.'!$BH$9:$BK$62,4,0)))</f>
        <v>26</v>
      </c>
      <c r="N8" s="315"/>
      <c r="O8" s="248">
        <f>IF(ISNA(VLOOKUP(B8,'4ème J.'!$BH$9:$BK$62,2,0))," ",IF(VLOOKUP(B8,'4ème J.'!$BH$9:$BK$62,2,0)=0,"0",VLOOKUP(B8,'4ème J.'!$BH$9:$BK$62,2,0)))</f>
        <v>7</v>
      </c>
      <c r="P8" s="248">
        <f>IF(ISNA(VLOOKUP(B8,'4ème J.'!$BH$9:$BK$62,3,0))," ",IF(VLOOKUP(B8,'4ème J.'!$BH$9:$BK$62,3,0)=0,"0",VLOOKUP(B8,'4ème J.'!$BH$9:$BK$62,3,0)))</f>
        <v>5</v>
      </c>
      <c r="Q8" s="248">
        <f>IF(ISNA(VLOOKUP(B8,'4ème J.'!$BH$9:$BK$62,4,0))," ",IF(VLOOKUP(B8,'4ème J.'!$BH$9:$BK$62,4,0)=0,"0",VLOOKUP(B8,'4ème J.'!$BH$9:$BK$62,4,0)))</f>
        <v>29</v>
      </c>
      <c r="R8" s="299"/>
      <c r="S8" s="248">
        <f>IF(ISNA(VLOOKUP(B8,'5ème J.'!$BH$9:$BK$62,2,0))," ",IF(VLOOKUP(B8,'5ème J.'!$BH$9:$BK$62,2,0)=0,"0",VLOOKUP(B8,'5ème J.'!$BH$9:$BK$62,2,0)))</f>
        <v>5</v>
      </c>
      <c r="T8" s="248">
        <f>IF(ISNA(VLOOKUP(B8,'5ème J.'!$BH$9:$BK$62,3,0))," ",IF(VLOOKUP(B8,'5ème J.'!$BH$9:$BK$62,3,0)=0,"0",VLOOKUP(B8,'5ème J.'!$BH$9:$BK$62,3,0)))</f>
        <v>-1</v>
      </c>
      <c r="U8" s="248">
        <f>IF(ISNA(VLOOKUP(B8,'5ème J.'!$BH$9:$BK$62,4,0))," ",IF(VLOOKUP(B8,'5ème J.'!$BH$9:$BK$62,4,0)=0,"0",VLOOKUP(B8,'5ème J.'!$BH$9:$BK$62,4,0)))</f>
        <v>19</v>
      </c>
      <c r="V8" s="299"/>
      <c r="W8" s="248">
        <f>IF(ISNA(VLOOKUP(B8,'6ème J.'!$BH$9:$BK$62,2,0))," ",IF(VLOOKUP(B8,'6ème J.'!$BH$9:$BK$62,2,0)=0,"0",VLOOKUP(B8,'6ème J.'!$BH$9:$BK$62,2,0)))</f>
        <v>5</v>
      </c>
      <c r="X8" s="248">
        <f>IF(ISNA(VLOOKUP(B8,'6ème J.'!$BH$9:$BK$62,3,0))," ",IF(VLOOKUP(B8,'6ème J.'!$BH$9:$BK$62,3,0)=0,"0",VLOOKUP(B8,'6ème J.'!$BH$9:$BK$62,3,0)))</f>
        <v>-6</v>
      </c>
      <c r="Y8" s="248">
        <f>IF(ISNA(VLOOKUP(B8,'6ème J.'!$BH$9:$BK$62,4,0))," ",IF(VLOOKUP(B8,'6ème J.'!$BH$9:$BK$62,4,0)=0,"0",VLOOKUP(B8,'6ème J.'!$BH$9:$BK$62,4,0)))</f>
        <v>22</v>
      </c>
      <c r="Z8" s="88"/>
      <c r="AA8" s="344" t="str">
        <f t="shared" si="0"/>
        <v>A3</v>
      </c>
      <c r="AB8" s="252">
        <f t="shared" si="5"/>
        <v>38</v>
      </c>
      <c r="AC8" s="390">
        <f t="shared" si="6"/>
        <v>18</v>
      </c>
      <c r="AD8" s="345">
        <f t="shared" si="7"/>
        <v>149</v>
      </c>
      <c r="AE8" s="250">
        <f t="shared" si="8"/>
        <v>2.8051000799999999</v>
      </c>
      <c r="AF8" s="251">
        <f>IF(AB8="","",SMALL(AE$6:AE$59,ROWS(AB$6:AB8)))</f>
        <v>2.6358004599999996</v>
      </c>
      <c r="AG8" s="251"/>
      <c r="AH8" s="304">
        <f>IF(AF8="","",IF(AND(AJ7=AJ8,AK7=AK8,AL7=AL8),AH7,$AH$6+2))</f>
        <v>3</v>
      </c>
      <c r="AI8" s="252" t="str">
        <f t="shared" si="1"/>
        <v>C5</v>
      </c>
      <c r="AJ8" s="252">
        <f t="shared" si="2"/>
        <v>38</v>
      </c>
      <c r="AK8" s="333">
        <f t="shared" si="3"/>
        <v>35</v>
      </c>
      <c r="AL8" s="309">
        <f t="shared" si="4"/>
        <v>142</v>
      </c>
      <c r="AN8" s="254">
        <v>3</v>
      </c>
    </row>
    <row r="9" spans="1:41">
      <c r="A9" s="354">
        <v>4</v>
      </c>
      <c r="B9" s="351" t="str">
        <f>+Inscrits!B6</f>
        <v>A4</v>
      </c>
      <c r="C9" s="248">
        <f>IF(ISNA(VLOOKUP(B9,'1ère J.'!$BH$9:$BK$62,2,0))," ",IF(VLOOKUP(B9,'1ère J.'!$BH$9:$BK$62,2,0)=0,"0",VLOOKUP(B9,'1ère J.'!$BH$9:$BK$62,2,0)))</f>
        <v>5</v>
      </c>
      <c r="D9" s="248">
        <f>IF(ISNA(VLOOKUP(B9,'1ère J.'!$BH$9:$BK$62,3,0))," ",IF(VLOOKUP(B9,'1ère J.'!$BH$9:$BK$62,3,0)=0,"0",VLOOKUP(B9,'1ère J.'!$BH$9:$BK$62,3,0)))</f>
        <v>-12</v>
      </c>
      <c r="E9" s="248">
        <f>IF(ISNA(VLOOKUP(B9,'1ère J.'!$BH$9:$BK$62,4,0))," ",IF(VLOOKUP(B9,'1ère J.'!$BH$9:$BK$62,4,0)=0,"0",VLOOKUP(B9,'1ère J.'!$BH$9:$BK$62,4,0)))</f>
        <v>16</v>
      </c>
      <c r="F9" s="299"/>
      <c r="G9" s="248">
        <f>IF(ISNA(VLOOKUP(B9,'2ème J.'!$BH$9:$BK$62,2,0))," ",IF(VLOOKUP(B9,'2ème J.'!$BH$9:$BK$62,2,0)=0,"0",VLOOKUP(B9,'2ème J.'!$BH$9:$BK$62,2,0)))</f>
        <v>7</v>
      </c>
      <c r="H9" s="248">
        <f>IF(ISNA(VLOOKUP(B9,'2ème J.'!$BH$9:$BK$62,3,0))," ",IF(VLOOKUP(B9,'2ème J.'!$BH$9:$BK$62,3,0)=0,"0",VLOOKUP(B9,'2ème J.'!$BH$9:$BK$62,3,0)))</f>
        <v>-6</v>
      </c>
      <c r="I9" s="248">
        <f>IF(ISNA(VLOOKUP(B9,'2ème J.'!$BH$9:$BK$62,4,0))," ",IF(VLOOKUP(B9,'2ème J.'!$BH$9:$BK$62,4,0)=0,"0",VLOOKUP(B9,'2ème J.'!$BH$9:$BK$62,4,0)))</f>
        <v>19</v>
      </c>
      <c r="J9" s="315"/>
      <c r="K9" s="248">
        <f>IF(ISNA(VLOOKUP(B9,'3ème J.'!$BH$9:$BK$62,2,0))," ",IF(VLOOKUP(B9,'3ème J.'!$BH$9:$BK$62,2,0)=0,"0",VLOOKUP(B9,'3ème J.'!$BH$9:$BK$62,2,0)))</f>
        <v>3</v>
      </c>
      <c r="L9" s="248">
        <f>IF(ISNA(VLOOKUP(B9,'3ème J.'!$BH$9:$BK$62,3,0))," ",IF(VLOOKUP(B9,'3ème J.'!$BH$9:$BK$62,3,0)=0,"0",VLOOKUP(B9,'3ème J.'!$BH$9:$BK$62,3,0)))</f>
        <v>-15</v>
      </c>
      <c r="M9" s="248">
        <f>IF(ISNA(VLOOKUP(B9,'3ème J.'!$BH$9:$BK$62,4,0))," ",IF(VLOOKUP(B9,'3ème J.'!$BH$9:$BK$62,4,0)=0,"0",VLOOKUP(B9,'3ème J.'!$BH$9:$BK$62,4,0)))</f>
        <v>15</v>
      </c>
      <c r="N9" s="315"/>
      <c r="O9" s="248">
        <f>IF(ISNA(VLOOKUP(B9,'4ème J.'!$BH$9:$BK$62,2,0))," ",IF(VLOOKUP(B9,'4ème J.'!$BH$9:$BK$62,2,0)=0,"0",VLOOKUP(B9,'4ème J.'!$BH$9:$BK$62,2,0)))</f>
        <v>7</v>
      </c>
      <c r="P9" s="248">
        <f>IF(ISNA(VLOOKUP(B9,'4ème J.'!$BH$9:$BK$62,3,0))," ",IF(VLOOKUP(B9,'4ème J.'!$BH$9:$BK$62,3,0)=0,"0",VLOOKUP(B9,'4ème J.'!$BH$9:$BK$62,3,0)))</f>
        <v>-1</v>
      </c>
      <c r="Q9" s="248">
        <f>IF(ISNA(VLOOKUP(B9,'4ème J.'!$BH$9:$BK$62,4,0))," ",IF(VLOOKUP(B9,'4ème J.'!$BH$9:$BK$62,4,0)=0,"0",VLOOKUP(B9,'4ème J.'!$BH$9:$BK$62,4,0)))</f>
        <v>20</v>
      </c>
      <c r="R9" s="299"/>
      <c r="S9" s="248">
        <f>IF(ISNA(VLOOKUP(B9,'5ème J.'!$BH$9:$BK$62,2,0))," ",IF(VLOOKUP(B9,'5ème J.'!$BH$9:$BK$62,2,0)=0,"0",VLOOKUP(B9,'5ème J.'!$BH$9:$BK$62,2,0)))</f>
        <v>7</v>
      </c>
      <c r="T9" s="248">
        <f>IF(ISNA(VLOOKUP(B9,'5ème J.'!$BH$9:$BK$62,3,0))," ",IF(VLOOKUP(B9,'5ème J.'!$BH$9:$BK$62,3,0)=0,"0",VLOOKUP(B9,'5ème J.'!$BH$9:$BK$62,3,0)))</f>
        <v>-1</v>
      </c>
      <c r="U9" s="248">
        <f>IF(ISNA(VLOOKUP(B9,'5ème J.'!$BH$9:$BK$62,4,0))," ",IF(VLOOKUP(B9,'5ème J.'!$BH$9:$BK$62,4,0)=0,"0",VLOOKUP(B9,'5ème J.'!$BH$9:$BK$62,4,0)))</f>
        <v>20</v>
      </c>
      <c r="V9" s="299"/>
      <c r="W9" s="248">
        <f>IF(ISNA(VLOOKUP(B9,'6ème J.'!$BH$9:$BK$62,2,0))," ",IF(VLOOKUP(B9,'6ème J.'!$BH$9:$BK$62,2,0)=0,"0",VLOOKUP(B9,'6ème J.'!$BH$9:$BK$62,2,0)))</f>
        <v>5</v>
      </c>
      <c r="X9" s="248">
        <f>IF(ISNA(VLOOKUP(B9,'6ème J.'!$BH$9:$BK$62,3,0))," ",IF(VLOOKUP(B9,'6ème J.'!$BH$9:$BK$62,3,0)=0,"0",VLOOKUP(B9,'6ème J.'!$BH$9:$BK$62,3,0)))</f>
        <v>1</v>
      </c>
      <c r="Y9" s="248">
        <f>IF(ISNA(VLOOKUP(B9,'6ème J.'!$BH$9:$BK$62,4,0))," ",IF(VLOOKUP(B9,'6ème J.'!$BH$9:$BK$62,4,0)=0,"0",VLOOKUP(B9,'6ème J.'!$BH$9:$BK$62,4,0)))</f>
        <v>22</v>
      </c>
      <c r="Z9" s="88"/>
      <c r="AA9" s="344" t="str">
        <f t="shared" si="0"/>
        <v>A4</v>
      </c>
      <c r="AB9" s="252">
        <f t="shared" si="5"/>
        <v>34</v>
      </c>
      <c r="AC9" s="390">
        <f t="shared" si="6"/>
        <v>-34</v>
      </c>
      <c r="AD9" s="345">
        <f t="shared" si="7"/>
        <v>112</v>
      </c>
      <c r="AE9" s="250">
        <f t="shared" si="8"/>
        <v>7.3288000900000005</v>
      </c>
      <c r="AF9" s="251">
        <f>IF(AB9="","",SMALL(AE$6:AE$59,ROWS(AB$6:AB9)))</f>
        <v>2.8051000799999999</v>
      </c>
      <c r="AG9" s="251"/>
      <c r="AH9" s="304">
        <f>IF(AF9="","",IF(AND(AJ8=AJ9,AK8=AK9,AL9=AL8),AH8,$AH$6+3))</f>
        <v>4</v>
      </c>
      <c r="AI9" s="252" t="str">
        <f t="shared" si="1"/>
        <v>A3</v>
      </c>
      <c r="AJ9" s="252">
        <f t="shared" si="2"/>
        <v>38</v>
      </c>
      <c r="AK9" s="333">
        <f t="shared" si="3"/>
        <v>18</v>
      </c>
      <c r="AL9" s="309">
        <f t="shared" si="4"/>
        <v>149</v>
      </c>
      <c r="AN9" s="254">
        <v>4</v>
      </c>
    </row>
    <row r="10" spans="1:41">
      <c r="A10" s="354">
        <v>5</v>
      </c>
      <c r="B10" s="351" t="str">
        <f>+Inscrits!B7</f>
        <v>A5</v>
      </c>
      <c r="C10" s="248">
        <f>IF(ISNA(VLOOKUP(B10,'1ère J.'!$BH$9:$BK$62,2,0))," ",IF(VLOOKUP(B10,'1ère J.'!$BH$9:$BK$62,2,0)=0,"0",VLOOKUP(B10,'1ère J.'!$BH$9:$BK$62,2,0)))</f>
        <v>6</v>
      </c>
      <c r="D10" s="248">
        <f>IF(ISNA(VLOOKUP(B10,'1ère J.'!$BH$9:$BK$62,3,0))," ",IF(VLOOKUP(B10,'1ère J.'!$BH$9:$BK$62,3,0)=0,"0",VLOOKUP(B10,'1ère J.'!$BH$9:$BK$62,3,0)))</f>
        <v>12</v>
      </c>
      <c r="E10" s="248">
        <f>IF(ISNA(VLOOKUP(B10,'1ère J.'!$BH$9:$BK$62,4,0))," ",IF(VLOOKUP(B10,'1ère J.'!$BH$9:$BK$62,4,0)=0,"0",VLOOKUP(B10,'1ère J.'!$BH$9:$BK$62,4,0)))</f>
        <v>26</v>
      </c>
      <c r="F10" s="299"/>
      <c r="G10" s="248">
        <f>IF(ISNA(VLOOKUP(B10,'2ème J.'!$BH$9:$BK$62,2,0))," ",IF(VLOOKUP(B10,'2ème J.'!$BH$9:$BK$62,2,0)=0,"0",VLOOKUP(B10,'2ème J.'!$BH$9:$BK$62,2,0)))</f>
        <v>5</v>
      </c>
      <c r="H10" s="248">
        <f>IF(ISNA(VLOOKUP(B10,'2ème J.'!$BH$9:$BK$62,3,0))," ",IF(VLOOKUP(B10,'2ème J.'!$BH$9:$BK$62,3,0)=0,"0",VLOOKUP(B10,'2ème J.'!$BH$9:$BK$62,3,0)))</f>
        <v>5</v>
      </c>
      <c r="I10" s="248">
        <f>IF(ISNA(VLOOKUP(B10,'2ème J.'!$BH$9:$BK$62,4,0))," ",IF(VLOOKUP(B10,'2ème J.'!$BH$9:$BK$62,4,0)=0,"0",VLOOKUP(B10,'2ème J.'!$BH$9:$BK$62,4,0)))</f>
        <v>22</v>
      </c>
      <c r="J10" s="315"/>
      <c r="K10" s="248">
        <f>IF(ISNA(VLOOKUP(B10,'3ème J.'!$BH$9:$BK$62,2,0))," ",IF(VLOOKUP(B10,'3ème J.'!$BH$9:$BK$62,2,0)=0,"0",VLOOKUP(B10,'3ème J.'!$BH$9:$BK$62,2,0)))</f>
        <v>7</v>
      </c>
      <c r="L10" s="248" t="str">
        <f>IF(ISNA(VLOOKUP(B10,'3ème J.'!$BH$9:$BK$62,3,0))," ",IF(VLOOKUP(B10,'3ème J.'!$BH$9:$BK$62,3,0)=0,"0",VLOOKUP(B10,'3ème J.'!$BH$9:$BK$62,3,0)))</f>
        <v>0</v>
      </c>
      <c r="M10" s="248">
        <f>IF(ISNA(VLOOKUP(B10,'3ème J.'!$BH$9:$BK$62,4,0))," ",IF(VLOOKUP(B10,'3ème J.'!$BH$9:$BK$62,4,0)=0,"0",VLOOKUP(B10,'3ème J.'!$BH$9:$BK$62,4,0)))</f>
        <v>29</v>
      </c>
      <c r="N10" s="315"/>
      <c r="O10" s="248">
        <f>IF(ISNA(VLOOKUP(B10,'4ème J.'!$BH$9:$BK$62,2,0))," ",IF(VLOOKUP(B10,'4ème J.'!$BH$9:$BK$62,2,0)=0,"0",VLOOKUP(B10,'4ème J.'!$BH$9:$BK$62,2,0)))</f>
        <v>7</v>
      </c>
      <c r="P10" s="248">
        <f>IF(ISNA(VLOOKUP(B10,'4ème J.'!$BH$9:$BK$62,3,0))," ",IF(VLOOKUP(B10,'4ème J.'!$BH$9:$BK$62,3,0)=0,"0",VLOOKUP(B10,'4ème J.'!$BH$9:$BK$62,3,0)))</f>
        <v>4</v>
      </c>
      <c r="Q10" s="248">
        <f>IF(ISNA(VLOOKUP(B10,'4ème J.'!$BH$9:$BK$62,4,0))," ",IF(VLOOKUP(B10,'4ème J.'!$BH$9:$BK$62,4,0)=0,"0",VLOOKUP(B10,'4ème J.'!$BH$9:$BK$62,4,0)))</f>
        <v>23</v>
      </c>
      <c r="R10" s="299"/>
      <c r="S10" s="248">
        <f>IF(ISNA(VLOOKUP(B10,'5ème J.'!$BH$9:$BK$62,2,0))," ",IF(VLOOKUP(B10,'5ème J.'!$BH$9:$BK$62,2,0)=0,"0",VLOOKUP(B10,'5ème J.'!$BH$9:$BK$62,2,0)))</f>
        <v>7</v>
      </c>
      <c r="T10" s="248">
        <f>IF(ISNA(VLOOKUP(B10,'5ème J.'!$BH$9:$BK$62,3,0))," ",IF(VLOOKUP(B10,'5ème J.'!$BH$9:$BK$62,3,0)=0,"0",VLOOKUP(B10,'5ème J.'!$BH$9:$BK$62,3,0)))</f>
        <v>4</v>
      </c>
      <c r="U10" s="248">
        <f>IF(ISNA(VLOOKUP(B10,'5ème J.'!$BH$9:$BK$62,4,0))," ",IF(VLOOKUP(B10,'5ème J.'!$BH$9:$BK$62,4,0)=0,"0",VLOOKUP(B10,'5ème J.'!$BH$9:$BK$62,4,0)))</f>
        <v>27</v>
      </c>
      <c r="V10" s="299"/>
      <c r="W10" s="248">
        <f>IF(ISNA(VLOOKUP(B10,'6ème J.'!$BH$9:$BK$62,2,0))," ",IF(VLOOKUP(B10,'6ème J.'!$BH$9:$BK$62,2,0)=0,"0",VLOOKUP(B10,'6ème J.'!$BH$9:$BK$62,2,0)))</f>
        <v>7</v>
      </c>
      <c r="X10" s="248">
        <f>IF(ISNA(VLOOKUP(B10,'6ème J.'!$BH$9:$BK$62,3,0))," ",IF(VLOOKUP(B10,'6ème J.'!$BH$9:$BK$62,3,0)=0,"0",VLOOKUP(B10,'6ème J.'!$BH$9:$BK$62,3,0)))</f>
        <v>1</v>
      </c>
      <c r="Y10" s="248">
        <f>IF(ISNA(VLOOKUP(B10,'6ème J.'!$BH$9:$BK$62,4,0))," ",IF(VLOOKUP(B10,'6ème J.'!$BH$9:$BK$62,4,0)=0,"0",VLOOKUP(B10,'6ème J.'!$BH$9:$BK$62,4,0)))</f>
        <v>26</v>
      </c>
      <c r="Z10" s="88"/>
      <c r="AA10" s="344" t="str">
        <f t="shared" si="0"/>
        <v>A5</v>
      </c>
      <c r="AB10" s="252">
        <f t="shared" si="5"/>
        <v>39</v>
      </c>
      <c r="AC10" s="390">
        <f t="shared" si="6"/>
        <v>26</v>
      </c>
      <c r="AD10" s="345">
        <f t="shared" si="7"/>
        <v>153</v>
      </c>
      <c r="AE10" s="250">
        <f t="shared" si="8"/>
        <v>0.72470009999999996</v>
      </c>
      <c r="AF10" s="251">
        <f>IF(AB10="","",SMALL(AE$6:AE$59,ROWS(AB$6:AB10)))</f>
        <v>4.75620026</v>
      </c>
      <c r="AG10" s="251"/>
      <c r="AH10" s="304">
        <f>IF(AF10="","",IF(AND(AJ9=AJ10,AK9=AK10,AL10=AL9),AH9,$AH$6+4))</f>
        <v>5</v>
      </c>
      <c r="AI10" s="252" t="str">
        <f t="shared" si="1"/>
        <v>B3</v>
      </c>
      <c r="AJ10" s="252">
        <f t="shared" si="2"/>
        <v>37</v>
      </c>
      <c r="AK10" s="333">
        <f t="shared" si="3"/>
        <v>23</v>
      </c>
      <c r="AL10" s="309">
        <f t="shared" si="4"/>
        <v>138</v>
      </c>
      <c r="AN10" s="254">
        <v>5</v>
      </c>
    </row>
    <row r="11" spans="1:41">
      <c r="A11" s="354">
        <v>6</v>
      </c>
      <c r="B11" s="351" t="str">
        <f>+Inscrits!B8</f>
        <v>A6</v>
      </c>
      <c r="C11" s="248">
        <f>IF(ISNA(VLOOKUP(B11,'1ère J.'!$BH$9:$BK$62,2,0))," ",IF(VLOOKUP(B11,'1ère J.'!$BH$9:$BK$62,2,0)=0,"0",VLOOKUP(B11,'1ère J.'!$BH$9:$BK$62,2,0)))</f>
        <v>1</v>
      </c>
      <c r="D11" s="248">
        <f>IF(ISNA(VLOOKUP(B11,'1ère J.'!$BH$9:$BK$62,3,0))," ",IF(VLOOKUP(B11,'1ère J.'!$BH$9:$BK$62,3,0)=0,"0",VLOOKUP(B11,'1ère J.'!$BH$9:$BK$62,3,0)))</f>
        <v>-5</v>
      </c>
      <c r="E11" s="248">
        <f>IF(ISNA(VLOOKUP(B11,'1ère J.'!$BH$9:$BK$62,4,0))," ",IF(VLOOKUP(B11,'1ère J.'!$BH$9:$BK$62,4,0)=0,"0",VLOOKUP(B11,'1ère J.'!$BH$9:$BK$62,4,0)))</f>
        <v>9</v>
      </c>
      <c r="F11" s="299"/>
      <c r="G11" s="248">
        <f>IF(ISNA(VLOOKUP(B11,'2ème J.'!$BH$9:$BK$62,2,0))," ",IF(VLOOKUP(B11,'2ème J.'!$BH$9:$BK$62,2,0)=0,"0",VLOOKUP(B11,'2ème J.'!$BH$9:$BK$62,2,0)))</f>
        <v>2</v>
      </c>
      <c r="H11" s="248">
        <f>IF(ISNA(VLOOKUP(B11,'2ème J.'!$BH$9:$BK$62,3,0))," ",IF(VLOOKUP(B11,'2ème J.'!$BH$9:$BK$62,3,0)=0,"0",VLOOKUP(B11,'2ème J.'!$BH$9:$BK$62,3,0)))</f>
        <v>-13</v>
      </c>
      <c r="I11" s="248">
        <f>IF(ISNA(VLOOKUP(B11,'2ème J.'!$BH$9:$BK$62,4,0))," ",IF(VLOOKUP(B11,'2ème J.'!$BH$9:$BK$62,4,0)=0,"0",VLOOKUP(B11,'2ème J.'!$BH$9:$BK$62,4,0)))</f>
        <v>8</v>
      </c>
      <c r="J11" s="315"/>
      <c r="K11" s="248">
        <f>IF(ISNA(VLOOKUP(B11,'3ème J.'!$BH$9:$BK$62,2,0))," ",IF(VLOOKUP(B11,'3ème J.'!$BH$9:$BK$62,2,0)=0,"0",VLOOKUP(B11,'3ème J.'!$BH$9:$BK$62,2,0)))</f>
        <v>7</v>
      </c>
      <c r="L11" s="248">
        <f>IF(ISNA(VLOOKUP(B11,'3ème J.'!$BH$9:$BK$62,3,0))," ",IF(VLOOKUP(B11,'3ème J.'!$BH$9:$BK$62,3,0)=0,"0",VLOOKUP(B11,'3ème J.'!$BH$9:$BK$62,3,0)))</f>
        <v>9</v>
      </c>
      <c r="M11" s="248">
        <f>IF(ISNA(VLOOKUP(B11,'3ème J.'!$BH$9:$BK$62,4,0))," ",IF(VLOOKUP(B11,'3ème J.'!$BH$9:$BK$62,4,0)=0,"0",VLOOKUP(B11,'3ème J.'!$BH$9:$BK$62,4,0)))</f>
        <v>25</v>
      </c>
      <c r="N11" s="315"/>
      <c r="O11" s="248">
        <f>IF(ISNA(VLOOKUP(B11,'4ème J.'!$BH$9:$BK$62,2,0))," ",IF(VLOOKUP(B11,'4ème J.'!$BH$9:$BK$62,2,0)=0,"0",VLOOKUP(B11,'4ème J.'!$BH$9:$BK$62,2,0)))</f>
        <v>7</v>
      </c>
      <c r="P11" s="248">
        <f>IF(ISNA(VLOOKUP(B11,'4ème J.'!$BH$9:$BK$62,3,0))," ",IF(VLOOKUP(B11,'4ème J.'!$BH$9:$BK$62,3,0)=0,"0",VLOOKUP(B11,'4ème J.'!$BH$9:$BK$62,3,0)))</f>
        <v>8</v>
      </c>
      <c r="Q11" s="248">
        <f>IF(ISNA(VLOOKUP(B11,'4ème J.'!$BH$9:$BK$62,4,0))," ",IF(VLOOKUP(B11,'4ème J.'!$BH$9:$BK$62,4,0)=0,"0",VLOOKUP(B11,'4ème J.'!$BH$9:$BK$62,4,0)))</f>
        <v>10</v>
      </c>
      <c r="R11" s="299"/>
      <c r="S11" s="248">
        <f>IF(ISNA(VLOOKUP(B11,'5ème J.'!$BH$9:$BK$62,2,0))," ",IF(VLOOKUP(B11,'5ème J.'!$BH$9:$BK$62,2,0)=0,"0",VLOOKUP(B11,'5ème J.'!$BH$9:$BK$62,2,0)))</f>
        <v>7</v>
      </c>
      <c r="T11" s="248">
        <f>IF(ISNA(VLOOKUP(B11,'5ème J.'!$BH$9:$BK$62,3,0))," ",IF(VLOOKUP(B11,'5ème J.'!$BH$9:$BK$62,3,0)=0,"0",VLOOKUP(B11,'5ème J.'!$BH$9:$BK$62,3,0)))</f>
        <v>11</v>
      </c>
      <c r="U11" s="248">
        <f>IF(ISNA(VLOOKUP(B11,'5ème J.'!$BH$9:$BK$62,4,0))," ",IF(VLOOKUP(B11,'5ème J.'!$BH$9:$BK$62,4,0)=0,"0",VLOOKUP(B11,'5ème J.'!$BH$9:$BK$62,4,0)))</f>
        <v>27</v>
      </c>
      <c r="V11" s="299"/>
      <c r="W11" s="248">
        <f>IF(ISNA(VLOOKUP(B11,'6ème J.'!$BH$9:$BK$62,2,0))," ",IF(VLOOKUP(B11,'6ème J.'!$BH$9:$BK$62,2,0)=0,"0",VLOOKUP(B11,'6ème J.'!$BH$9:$BK$62,2,0)))</f>
        <v>7</v>
      </c>
      <c r="X11" s="248">
        <f>IF(ISNA(VLOOKUP(B11,'6ème J.'!$BH$9:$BK$62,3,0))," ",IF(VLOOKUP(B11,'6ème J.'!$BH$9:$BK$62,3,0)=0,"0",VLOOKUP(B11,'6ème J.'!$BH$9:$BK$62,3,0)))</f>
        <v>13</v>
      </c>
      <c r="Y11" s="248">
        <f>IF(ISNA(VLOOKUP(B11,'6ème J.'!$BH$9:$BK$62,4,0))," ",IF(VLOOKUP(B11,'6ème J.'!$BH$9:$BK$62,4,0)=0,"0",VLOOKUP(B11,'6ème J.'!$BH$9:$BK$62,4,0)))</f>
        <v>32</v>
      </c>
      <c r="Z11" s="88"/>
      <c r="AA11" s="344" t="str">
        <f t="shared" si="0"/>
        <v>A6</v>
      </c>
      <c r="AB11" s="252">
        <f t="shared" si="5"/>
        <v>31</v>
      </c>
      <c r="AC11" s="390">
        <f t="shared" si="6"/>
        <v>23</v>
      </c>
      <c r="AD11" s="345">
        <f t="shared" si="7"/>
        <v>111</v>
      </c>
      <c r="AE11" s="250">
        <f t="shared" si="8"/>
        <v>10.758900109999999</v>
      </c>
      <c r="AF11" s="251">
        <f>IF(AB11="","",SMALL(AE$6:AE$59,ROWS(AB$6:AB11)))</f>
        <v>5.8381004799999996</v>
      </c>
      <c r="AG11" s="251"/>
      <c r="AH11" s="304">
        <f>IF(AF11="","",IF(AND(AJ10=AJ11,AK10=AK11,AL11=AL10),AH10,$AH$6+5))</f>
        <v>6</v>
      </c>
      <c r="AI11" s="252" t="str">
        <f t="shared" si="1"/>
        <v>C7</v>
      </c>
      <c r="AJ11" s="252">
        <f t="shared" si="2"/>
        <v>36</v>
      </c>
      <c r="AK11" s="333">
        <f t="shared" si="3"/>
        <v>15</v>
      </c>
      <c r="AL11" s="309">
        <f t="shared" si="4"/>
        <v>119</v>
      </c>
      <c r="AN11" s="254">
        <v>6</v>
      </c>
    </row>
    <row r="12" spans="1:41">
      <c r="A12" s="354">
        <v>7</v>
      </c>
      <c r="B12" s="351" t="str">
        <f>+Inscrits!B9</f>
        <v>A7</v>
      </c>
      <c r="C12" s="248" t="str">
        <f>IF(ISNA(VLOOKUP(B12,'1ère J.'!$BH$9:$BK$62,2,0))," ",IF(VLOOKUP(B12,'1ère J.'!$BH$9:$BK$62,2,0)=0,"0",VLOOKUP(B12,'1ère J.'!$BH$9:$BK$62,2,0)))</f>
        <v>0</v>
      </c>
      <c r="D12" s="248" t="str">
        <f>IF(ISNA(VLOOKUP(B12,'1ère J.'!$BH$9:$BK$62,3,0))," ",IF(VLOOKUP(B12,'1ère J.'!$BH$9:$BK$62,3,0)=0,"0",VLOOKUP(B12,'1ère J.'!$BH$9:$BK$62,3,0)))</f>
        <v>0</v>
      </c>
      <c r="E12" s="248" t="str">
        <f>IF(ISNA(VLOOKUP(B12,'1ère J.'!$BH$9:$BK$62,4,0))," ",IF(VLOOKUP(B12,'1ère J.'!$BH$9:$BK$62,4,0)=0,"0",VLOOKUP(B12,'1ère J.'!$BH$9:$BK$62,4,0)))</f>
        <v>0</v>
      </c>
      <c r="F12" s="299"/>
      <c r="G12" s="248">
        <f>IF(ISNA(VLOOKUP(B12,'2ème J.'!$BH$9:$BK$62,2,0))," ",IF(VLOOKUP(B12,'2ème J.'!$BH$9:$BK$62,2,0)=0,"0",VLOOKUP(B12,'2ème J.'!$BH$9:$BK$62,2,0)))</f>
        <v>6</v>
      </c>
      <c r="H12" s="248">
        <f>IF(ISNA(VLOOKUP(B12,'2ème J.'!$BH$9:$BK$62,3,0))," ",IF(VLOOKUP(B12,'2ème J.'!$BH$9:$BK$62,3,0)=0,"0",VLOOKUP(B12,'2ème J.'!$BH$9:$BK$62,3,0)))</f>
        <v>4</v>
      </c>
      <c r="I12" s="248">
        <f>IF(ISNA(VLOOKUP(B12,'2ème J.'!$BH$9:$BK$62,4,0))," ",IF(VLOOKUP(B12,'2ème J.'!$BH$9:$BK$62,4,0)=0,"0",VLOOKUP(B12,'2ème J.'!$BH$9:$BK$62,4,0)))</f>
        <v>17</v>
      </c>
      <c r="J12" s="315"/>
      <c r="K12" s="248">
        <f>IF(ISNA(VLOOKUP(B12,'3ème J.'!$BH$9:$BK$62,2,0))," ",IF(VLOOKUP(B12,'3ème J.'!$BH$9:$BK$62,2,0)=0,"0",VLOOKUP(B12,'3ème J.'!$BH$9:$BK$62,2,0)))</f>
        <v>5</v>
      </c>
      <c r="L12" s="248">
        <f>IF(ISNA(VLOOKUP(B12,'3ème J.'!$BH$9:$BK$62,3,0))," ",IF(VLOOKUP(B12,'3ème J.'!$BH$9:$BK$62,3,0)=0,"0",VLOOKUP(B12,'3ème J.'!$BH$9:$BK$62,3,0)))</f>
        <v>-3</v>
      </c>
      <c r="M12" s="248">
        <f>IF(ISNA(VLOOKUP(B12,'3ème J.'!$BH$9:$BK$62,4,0))," ",IF(VLOOKUP(B12,'3ème J.'!$BH$9:$BK$62,4,0)=0,"0",VLOOKUP(B12,'3ème J.'!$BH$9:$BK$62,4,0)))</f>
        <v>24</v>
      </c>
      <c r="N12" s="315"/>
      <c r="O12" s="248">
        <f>IF(ISNA(VLOOKUP(B12,'4ème J.'!$BH$9:$BK$62,2,0))," ",IF(VLOOKUP(B12,'4ème J.'!$BH$9:$BK$62,2,0)=0,"0",VLOOKUP(B12,'4ème J.'!$BH$9:$BK$62,2,0)))</f>
        <v>7</v>
      </c>
      <c r="P12" s="248">
        <f>IF(ISNA(VLOOKUP(B12,'4ème J.'!$BH$9:$BK$62,3,0))," ",IF(VLOOKUP(B12,'4ème J.'!$BH$9:$BK$62,3,0)=0,"0",VLOOKUP(B12,'4ème J.'!$BH$9:$BK$62,3,0)))</f>
        <v>-3</v>
      </c>
      <c r="Q12" s="248">
        <f>IF(ISNA(VLOOKUP(B12,'4ème J.'!$BH$9:$BK$62,4,0))," ",IF(VLOOKUP(B12,'4ème J.'!$BH$9:$BK$62,4,0)=0,"0",VLOOKUP(B12,'4ème J.'!$BH$9:$BK$62,4,0)))</f>
        <v>2</v>
      </c>
      <c r="R12" s="299"/>
      <c r="S12" s="248">
        <f>IF(ISNA(VLOOKUP(B12,'5ème J.'!$BH$9:$BK$62,2,0))," ",IF(VLOOKUP(B12,'5ème J.'!$BH$9:$BK$62,2,0)=0,"0",VLOOKUP(B12,'5ème J.'!$BH$9:$BK$62,2,0)))</f>
        <v>3</v>
      </c>
      <c r="T12" s="248">
        <f>IF(ISNA(VLOOKUP(B12,'5ème J.'!$BH$9:$BK$62,3,0))," ",IF(VLOOKUP(B12,'5ème J.'!$BH$9:$BK$62,3,0)=0,"0",VLOOKUP(B12,'5ème J.'!$BH$9:$BK$62,3,0)))</f>
        <v>-20</v>
      </c>
      <c r="U12" s="248">
        <f>IF(ISNA(VLOOKUP(B12,'5ème J.'!$BH$9:$BK$62,4,0))," ",IF(VLOOKUP(B12,'5ème J.'!$BH$9:$BK$62,4,0)=0,"0",VLOOKUP(B12,'5ème J.'!$BH$9:$BK$62,4,0)))</f>
        <v>7</v>
      </c>
      <c r="V12" s="299"/>
      <c r="W12" s="248">
        <f>IF(ISNA(VLOOKUP(B12,'6ème J.'!$BH$9:$BK$62,2,0))," ",IF(VLOOKUP(B12,'6ème J.'!$BH$9:$BK$62,2,0)=0,"0",VLOOKUP(B12,'6ème J.'!$BH$9:$BK$62,2,0)))</f>
        <v>7</v>
      </c>
      <c r="X12" s="248">
        <f>IF(ISNA(VLOOKUP(B12,'6ème J.'!$BH$9:$BK$62,3,0))," ",IF(VLOOKUP(B12,'6ème J.'!$BH$9:$BK$62,3,0)=0,"0",VLOOKUP(B12,'6ème J.'!$BH$9:$BK$62,3,0)))</f>
        <v>3</v>
      </c>
      <c r="Y12" s="248">
        <f>IF(ISNA(VLOOKUP(B12,'6ème J.'!$BH$9:$BK$62,4,0))," ",IF(VLOOKUP(B12,'6ème J.'!$BH$9:$BK$62,4,0)=0,"0",VLOOKUP(B12,'6ème J.'!$BH$9:$BK$62,4,0)))</f>
        <v>26</v>
      </c>
      <c r="Z12" s="88"/>
      <c r="AA12" s="344" t="str">
        <f t="shared" si="0"/>
        <v>A7</v>
      </c>
      <c r="AB12" s="252">
        <f t="shared" si="5"/>
        <v>28</v>
      </c>
      <c r="AC12" s="390">
        <f t="shared" si="6"/>
        <v>-19</v>
      </c>
      <c r="AD12" s="345">
        <f t="shared" si="7"/>
        <v>76</v>
      </c>
      <c r="AE12" s="250">
        <f t="shared" si="8"/>
        <v>20.18240012</v>
      </c>
      <c r="AF12" s="251">
        <f>IF(AB12="","",SMALL(AE$6:AE$59,ROWS(AB$6:AB12)))</f>
        <v>7.3288000900000005</v>
      </c>
      <c r="AG12" s="251"/>
      <c r="AH12" s="304">
        <f>IF(AF12="","",IF(AND(AJ11=AJ12,AK11=AK12,AL12=AL11),AH11,$AH$6+6))</f>
        <v>7</v>
      </c>
      <c r="AI12" s="252" t="str">
        <f t="shared" si="1"/>
        <v>A4</v>
      </c>
      <c r="AJ12" s="252">
        <f t="shared" si="2"/>
        <v>34</v>
      </c>
      <c r="AK12" s="333">
        <f t="shared" si="3"/>
        <v>-34</v>
      </c>
      <c r="AL12" s="309">
        <f t="shared" si="4"/>
        <v>112</v>
      </c>
      <c r="AN12" s="254">
        <v>7</v>
      </c>
    </row>
    <row r="13" spans="1:41">
      <c r="A13" s="354">
        <v>8</v>
      </c>
      <c r="B13" s="351" t="str">
        <f>+Inscrits!B10</f>
        <v>A8</v>
      </c>
      <c r="C13" s="248" t="str">
        <f>IF(ISNA(VLOOKUP(B13,'1ère J.'!$BH$9:$BK$62,2,0))," ",IF(VLOOKUP(B13,'1ère J.'!$BH$9:$BK$62,2,0)=0,"0",VLOOKUP(B13,'1ère J.'!$BH$9:$BK$62,2,0)))</f>
        <v>0</v>
      </c>
      <c r="D13" s="248" t="str">
        <f>IF(ISNA(VLOOKUP(B13,'1ère J.'!$BH$9:$BK$62,3,0))," ",IF(VLOOKUP(B13,'1ère J.'!$BH$9:$BK$62,3,0)=0,"0",VLOOKUP(B13,'1ère J.'!$BH$9:$BK$62,3,0)))</f>
        <v>0</v>
      </c>
      <c r="E13" s="248" t="str">
        <f>IF(ISNA(VLOOKUP(B13,'1ère J.'!$BH$9:$BK$62,4,0))," ",IF(VLOOKUP(B13,'1ère J.'!$BH$9:$BK$62,4,0)=0,"0",VLOOKUP(B13,'1ère J.'!$BH$9:$BK$62,4,0)))</f>
        <v>0</v>
      </c>
      <c r="F13" s="299"/>
      <c r="G13" s="248" t="str">
        <f>IF(ISNA(VLOOKUP(B13,'2ème J.'!$BH$9:$BK$62,2,0))," ",IF(VLOOKUP(B13,'2ème J.'!$BH$9:$BK$62,2,0)=0,"0",VLOOKUP(B13,'2ème J.'!$BH$9:$BK$62,2,0)))</f>
        <v>0</v>
      </c>
      <c r="H13" s="248" t="str">
        <f>IF(ISNA(VLOOKUP(B13,'2ème J.'!$BH$9:$BK$62,3,0))," ",IF(VLOOKUP(B13,'2ème J.'!$BH$9:$BK$62,3,0)=0,"0",VLOOKUP(B13,'2ème J.'!$BH$9:$BK$62,3,0)))</f>
        <v>0</v>
      </c>
      <c r="I13" s="248" t="str">
        <f>IF(ISNA(VLOOKUP(B13,'2ème J.'!$BH$9:$BK$62,4,0))," ",IF(VLOOKUP(B13,'2ème J.'!$BH$9:$BK$62,4,0)=0,"0",VLOOKUP(B13,'2ème J.'!$BH$9:$BK$62,4,0)))</f>
        <v>0</v>
      </c>
      <c r="J13" s="315"/>
      <c r="K13" s="248">
        <f>IF(ISNA(VLOOKUP(B13,'3ème J.'!$BH$9:$BK$62,2,0))," ",IF(VLOOKUP(B13,'3ème J.'!$BH$9:$BK$62,2,0)=0,"0",VLOOKUP(B13,'3ème J.'!$BH$9:$BK$62,2,0)))</f>
        <v>3</v>
      </c>
      <c r="L13" s="248">
        <f>IF(ISNA(VLOOKUP(B13,'3ème J.'!$BH$9:$BK$62,3,0))," ",IF(VLOOKUP(B13,'3ème J.'!$BH$9:$BK$62,3,0)=0,"0",VLOOKUP(B13,'3ème J.'!$BH$9:$BK$62,3,0)))</f>
        <v>-18</v>
      </c>
      <c r="M13" s="248">
        <f>IF(ISNA(VLOOKUP(B13,'3ème J.'!$BH$9:$BK$62,4,0))," ",IF(VLOOKUP(B13,'3ème J.'!$BH$9:$BK$62,4,0)=0,"0",VLOOKUP(B13,'3ème J.'!$BH$9:$BK$62,4,0)))</f>
        <v>13</v>
      </c>
      <c r="N13" s="315"/>
      <c r="O13" s="248">
        <f>IF(ISNA(VLOOKUP(B13,'4ème J.'!$BH$9:$BK$62,2,0))," ",IF(VLOOKUP(B13,'4ème J.'!$BH$9:$BK$62,2,0)=0,"0",VLOOKUP(B13,'4ème J.'!$BH$9:$BK$62,2,0)))</f>
        <v>5</v>
      </c>
      <c r="P13" s="248">
        <f>IF(ISNA(VLOOKUP(B13,'4ème J.'!$BH$9:$BK$62,3,0))," ",IF(VLOOKUP(B13,'4ème J.'!$BH$9:$BK$62,3,0)=0,"0",VLOOKUP(B13,'4ème J.'!$BH$9:$BK$62,3,0)))</f>
        <v>-5</v>
      </c>
      <c r="Q13" s="248">
        <f>IF(ISNA(VLOOKUP(B13,'4ème J.'!$BH$9:$BK$62,4,0))," ",IF(VLOOKUP(B13,'4ème J.'!$BH$9:$BK$62,4,0)=0,"0",VLOOKUP(B13,'4ème J.'!$BH$9:$BK$62,4,0)))</f>
        <v>1</v>
      </c>
      <c r="R13" s="299"/>
      <c r="S13" s="248">
        <f>IF(ISNA(VLOOKUP(B13,'5ème J.'!$BH$9:$BK$62,2,0))," ",IF(VLOOKUP(B13,'5ème J.'!$BH$9:$BK$62,2,0)=0,"0",VLOOKUP(B13,'5ème J.'!$BH$9:$BK$62,2,0)))</f>
        <v>9</v>
      </c>
      <c r="T13" s="248">
        <f>IF(ISNA(VLOOKUP(B13,'5ème J.'!$BH$9:$BK$62,3,0))," ",IF(VLOOKUP(B13,'5ème J.'!$BH$9:$BK$62,3,0)=0,"0",VLOOKUP(B13,'5ème J.'!$BH$9:$BK$62,3,0)))</f>
        <v>21</v>
      </c>
      <c r="U13" s="248">
        <f>IF(ISNA(VLOOKUP(B13,'5ème J.'!$BH$9:$BK$62,4,0))," ",IF(VLOOKUP(B13,'5ème J.'!$BH$9:$BK$62,4,0)=0,"0",VLOOKUP(B13,'5ème J.'!$BH$9:$BK$62,4,0)))</f>
        <v>31</v>
      </c>
      <c r="V13" s="299"/>
      <c r="W13" s="248">
        <f>IF(ISNA(VLOOKUP(B13,'6ème J.'!$BH$9:$BK$62,2,0))," ",IF(VLOOKUP(B13,'6ème J.'!$BH$9:$BK$62,2,0)=0,"0",VLOOKUP(B13,'6ème J.'!$BH$9:$BK$62,2,0)))</f>
        <v>3</v>
      </c>
      <c r="X13" s="248">
        <f>IF(ISNA(VLOOKUP(B13,'6ème J.'!$BH$9:$BK$62,3,0))," ",IF(VLOOKUP(B13,'6ème J.'!$BH$9:$BK$62,3,0)=0,"0",VLOOKUP(B13,'6ème J.'!$BH$9:$BK$62,3,0)))</f>
        <v>-18</v>
      </c>
      <c r="Y13" s="248">
        <f>IF(ISNA(VLOOKUP(B13,'6ème J.'!$BH$9:$BK$62,4,0))," ",IF(VLOOKUP(B13,'6ème J.'!$BH$9:$BK$62,4,0)=0,"0",VLOOKUP(B13,'6ème J.'!$BH$9:$BK$62,4,0)))</f>
        <v>15</v>
      </c>
      <c r="Z13" s="88"/>
      <c r="AA13" s="344" t="str">
        <f t="shared" si="0"/>
        <v>A8</v>
      </c>
      <c r="AB13" s="252">
        <f t="shared" si="5"/>
        <v>20</v>
      </c>
      <c r="AC13" s="390">
        <f t="shared" si="6"/>
        <v>-20</v>
      </c>
      <c r="AD13" s="345">
        <f t="shared" si="7"/>
        <v>60</v>
      </c>
      <c r="AE13" s="250">
        <f t="shared" si="8"/>
        <v>28.194000129999999</v>
      </c>
      <c r="AF13" s="251">
        <f>IF(AB13="","",SMALL(AE$6:AE$59,ROWS(AB$6:AB13)))</f>
        <v>7.8683002999999996</v>
      </c>
      <c r="AG13" s="251"/>
      <c r="AH13" s="304">
        <f>IF(AF13="","",IF(AND(AJ12=AJ13,AK12=AK13,AL13=AL12),AH12,$AH$6+7))</f>
        <v>8</v>
      </c>
      <c r="AI13" s="252" t="str">
        <f t="shared" si="1"/>
        <v>B7</v>
      </c>
      <c r="AJ13" s="252">
        <f t="shared" si="2"/>
        <v>33</v>
      </c>
      <c r="AK13" s="333">
        <f t="shared" si="3"/>
        <v>12</v>
      </c>
      <c r="AL13" s="309">
        <f t="shared" si="4"/>
        <v>117</v>
      </c>
      <c r="AN13" s="254">
        <v>8</v>
      </c>
    </row>
    <row r="14" spans="1:41">
      <c r="A14" s="354">
        <v>9</v>
      </c>
      <c r="B14" s="351" t="str">
        <f>+Inscrits!B11</f>
        <v>A9</v>
      </c>
      <c r="C14" s="248" t="str">
        <f>IF(ISNA(VLOOKUP(B14,'1ère J.'!$BH$9:$BK$62,2,0))," ",IF(VLOOKUP(B14,'1ère J.'!$BH$9:$BK$62,2,0)=0,"0",VLOOKUP(B14,'1ère J.'!$BH$9:$BK$62,2,0)))</f>
        <v>0</v>
      </c>
      <c r="D14" s="248" t="str">
        <f>IF(ISNA(VLOOKUP(B14,'1ère J.'!$BH$9:$BK$62,3,0))," ",IF(VLOOKUP(B14,'1ère J.'!$BH$9:$BK$62,3,0)=0,"0",VLOOKUP(B14,'1ère J.'!$BH$9:$BK$62,3,0)))</f>
        <v>0</v>
      </c>
      <c r="E14" s="248" t="str">
        <f>IF(ISNA(VLOOKUP(B14,'1ère J.'!$BH$9:$BK$62,4,0))," ",IF(VLOOKUP(B14,'1ère J.'!$BH$9:$BK$62,4,0)=0,"0",VLOOKUP(B14,'1ère J.'!$BH$9:$BK$62,4,0)))</f>
        <v>0</v>
      </c>
      <c r="F14" s="299"/>
      <c r="G14" s="248" t="str">
        <f>IF(ISNA(VLOOKUP(B14,'2ème J.'!$BH$9:$BK$62,2,0))," ",IF(VLOOKUP(B14,'2ème J.'!$BH$9:$BK$62,2,0)=0,"0",VLOOKUP(B14,'2ème J.'!$BH$9:$BK$62,2,0)))</f>
        <v>0</v>
      </c>
      <c r="H14" s="248" t="str">
        <f>IF(ISNA(VLOOKUP(B14,'2ème J.'!$BH$9:$BK$62,3,0))," ",IF(VLOOKUP(B14,'2ème J.'!$BH$9:$BK$62,3,0)=0,"0",VLOOKUP(B14,'2ème J.'!$BH$9:$BK$62,3,0)))</f>
        <v>0</v>
      </c>
      <c r="I14" s="248" t="str">
        <f>IF(ISNA(VLOOKUP(B14,'2ème J.'!$BH$9:$BK$62,4,0))," ",IF(VLOOKUP(B14,'2ème J.'!$BH$9:$BK$62,4,0)=0,"0",VLOOKUP(B14,'2ème J.'!$BH$9:$BK$62,4,0)))</f>
        <v>0</v>
      </c>
      <c r="J14" s="315"/>
      <c r="K14" s="248">
        <f>IF(ISNA(VLOOKUP(B14,'3ème J.'!$BH$9:$BK$62,2,0))," ",IF(VLOOKUP(B14,'3ème J.'!$BH$9:$BK$62,2,0)=0,"0",VLOOKUP(B14,'3ème J.'!$BH$9:$BK$62,2,0)))</f>
        <v>9</v>
      </c>
      <c r="L14" s="248">
        <f>IF(ISNA(VLOOKUP(B14,'3ème J.'!$BH$9:$BK$62,3,0))," ",IF(VLOOKUP(B14,'3ème J.'!$BH$9:$BK$62,3,0)=0,"0",VLOOKUP(B14,'3ème J.'!$BH$9:$BK$62,3,0)))</f>
        <v>17</v>
      </c>
      <c r="M14" s="248">
        <f>IF(ISNA(VLOOKUP(B14,'3ème J.'!$BH$9:$BK$62,4,0))," ",IF(VLOOKUP(B14,'3ème J.'!$BH$9:$BK$62,4,0)=0,"0",VLOOKUP(B14,'3ème J.'!$BH$9:$BK$62,4,0)))</f>
        <v>19</v>
      </c>
      <c r="N14" s="315"/>
      <c r="O14" s="248">
        <f>IF(ISNA(VLOOKUP(B14,'4ème J.'!$BH$9:$BK$62,2,0))," ",IF(VLOOKUP(B14,'4ème J.'!$BH$9:$BK$62,2,0)=0,"0",VLOOKUP(B14,'4ème J.'!$BH$9:$BK$62,2,0)))</f>
        <v>5</v>
      </c>
      <c r="P14" s="248">
        <f>IF(ISNA(VLOOKUP(B14,'4ème J.'!$BH$9:$BK$62,3,0))," ",IF(VLOOKUP(B14,'4ème J.'!$BH$9:$BK$62,3,0)=0,"0",VLOOKUP(B14,'4ème J.'!$BH$9:$BK$62,3,0)))</f>
        <v>-1</v>
      </c>
      <c r="Q14" s="248">
        <f>IF(ISNA(VLOOKUP(B14,'4ème J.'!$BH$9:$BK$62,4,0))," ",IF(VLOOKUP(B14,'4ème J.'!$BH$9:$BK$62,4,0)=0,"0",VLOOKUP(B14,'4ème J.'!$BH$9:$BK$62,4,0)))</f>
        <v>1</v>
      </c>
      <c r="R14" s="299"/>
      <c r="S14" s="248">
        <f>IF(ISNA(VLOOKUP(B14,'5ème J.'!$BH$9:$BK$62,2,0))," ",IF(VLOOKUP(B14,'5ème J.'!$BH$9:$BK$62,2,0)=0,"0",VLOOKUP(B14,'5ème J.'!$BH$9:$BK$62,2,0)))</f>
        <v>5</v>
      </c>
      <c r="T14" s="248">
        <f>IF(ISNA(VLOOKUP(B14,'5ème J.'!$BH$9:$BK$62,3,0))," ",IF(VLOOKUP(B14,'5ème J.'!$BH$9:$BK$62,3,0)=0,"0",VLOOKUP(B14,'5ème J.'!$BH$9:$BK$62,3,0)))</f>
        <v>-15</v>
      </c>
      <c r="U14" s="248">
        <f>IF(ISNA(VLOOKUP(B14,'5ème J.'!$BH$9:$BK$62,4,0))," ",IF(VLOOKUP(B14,'5ème J.'!$BH$9:$BK$62,4,0)=0,"0",VLOOKUP(B14,'5ème J.'!$BH$9:$BK$62,4,0)))</f>
        <v>15</v>
      </c>
      <c r="V14" s="299"/>
      <c r="W14" s="248">
        <f>IF(ISNA(VLOOKUP(B14,'6ème J.'!$BH$9:$BK$62,2,0))," ",IF(VLOOKUP(B14,'6ème J.'!$BH$9:$BK$62,2,0)=0,"0",VLOOKUP(B14,'6ème J.'!$BH$9:$BK$62,2,0)))</f>
        <v>7</v>
      </c>
      <c r="X14" s="248">
        <f>IF(ISNA(VLOOKUP(B14,'6ème J.'!$BH$9:$BK$62,3,0))," ",IF(VLOOKUP(B14,'6ème J.'!$BH$9:$BK$62,3,0)=0,"0",VLOOKUP(B14,'6ème J.'!$BH$9:$BK$62,3,0)))</f>
        <v>14</v>
      </c>
      <c r="Y14" s="248">
        <f>IF(ISNA(VLOOKUP(B14,'6ème J.'!$BH$9:$BK$62,4,0))," ",IF(VLOOKUP(B14,'6ème J.'!$BH$9:$BK$62,4,0)=0,"0",VLOOKUP(B14,'6ème J.'!$BH$9:$BK$62,4,0)))</f>
        <v>28</v>
      </c>
      <c r="Z14" s="88"/>
      <c r="AA14" s="344" t="str">
        <f t="shared" si="0"/>
        <v>A9</v>
      </c>
      <c r="AB14" s="252">
        <f t="shared" si="5"/>
        <v>26</v>
      </c>
      <c r="AC14" s="390">
        <f t="shared" si="6"/>
        <v>15</v>
      </c>
      <c r="AD14" s="345">
        <f t="shared" si="7"/>
        <v>63</v>
      </c>
      <c r="AE14" s="250">
        <f t="shared" si="8"/>
        <v>21.843700140000003</v>
      </c>
      <c r="AF14" s="251">
        <f>IF(AB14="","",SMALL(AE$6:AE$59,ROWS(AB$6:AB14)))</f>
        <v>8.1396002799999998</v>
      </c>
      <c r="AG14" s="251"/>
      <c r="AH14" s="304">
        <f>IF(AF14="","",IF(AND(AJ13=AJ14,AK13=AK14,AL14=AL13),AH13,$AH$6+8))</f>
        <v>9</v>
      </c>
      <c r="AI14" s="252" t="str">
        <f t="shared" si="1"/>
        <v>B5</v>
      </c>
      <c r="AJ14" s="252">
        <f t="shared" si="2"/>
        <v>33</v>
      </c>
      <c r="AK14" s="333">
        <f t="shared" si="3"/>
        <v>-15</v>
      </c>
      <c r="AL14" s="309">
        <f t="shared" si="4"/>
        <v>104</v>
      </c>
      <c r="AN14" s="254">
        <v>9</v>
      </c>
    </row>
    <row r="15" spans="1:41">
      <c r="A15" s="354">
        <v>10</v>
      </c>
      <c r="B15" s="351" t="str">
        <f>+Inscrits!B12</f>
        <v>A10</v>
      </c>
      <c r="C15" s="248" t="str">
        <f>IF(ISNA(VLOOKUP(B15,'1ère J.'!$BH$9:$BK$62,2,0))," ",IF(VLOOKUP(B15,'1ère J.'!$BH$9:$BK$62,2,0)=0,"0",VLOOKUP(B15,'1ère J.'!$BH$9:$BK$62,2,0)))</f>
        <v>0</v>
      </c>
      <c r="D15" s="248" t="str">
        <f>IF(ISNA(VLOOKUP(B15,'1ère J.'!$BH$9:$BK$62,3,0))," ",IF(VLOOKUP(B15,'1ère J.'!$BH$9:$BK$62,3,0)=0,"0",VLOOKUP(B15,'1ère J.'!$BH$9:$BK$62,3,0)))</f>
        <v>0</v>
      </c>
      <c r="E15" s="248" t="str">
        <f>IF(ISNA(VLOOKUP(B15,'1ère J.'!$BH$9:$BK$62,4,0))," ",IF(VLOOKUP(B15,'1ère J.'!$BH$9:$BK$62,4,0)=0,"0",VLOOKUP(B15,'1ère J.'!$BH$9:$BK$62,4,0)))</f>
        <v>0</v>
      </c>
      <c r="F15" s="299"/>
      <c r="G15" s="248" t="str">
        <f>IF(ISNA(VLOOKUP(B15,'2ème J.'!$BH$9:$BK$62,2,0))," ",IF(VLOOKUP(B15,'2ème J.'!$BH$9:$BK$62,2,0)=0,"0",VLOOKUP(B15,'2ème J.'!$BH$9:$BK$62,2,0)))</f>
        <v>0</v>
      </c>
      <c r="H15" s="248" t="str">
        <f>IF(ISNA(VLOOKUP(B15,'2ème J.'!$BH$9:$BK$62,3,0))," ",IF(VLOOKUP(B15,'2ème J.'!$BH$9:$BK$62,3,0)=0,"0",VLOOKUP(B15,'2ème J.'!$BH$9:$BK$62,3,0)))</f>
        <v>0</v>
      </c>
      <c r="I15" s="248" t="str">
        <f>IF(ISNA(VLOOKUP(B15,'2ème J.'!$BH$9:$BK$62,4,0))," ",IF(VLOOKUP(B15,'2ème J.'!$BH$9:$BK$62,4,0)=0,"0",VLOOKUP(B15,'2ème J.'!$BH$9:$BK$62,4,0)))</f>
        <v>0</v>
      </c>
      <c r="J15" s="315"/>
      <c r="K15" s="248">
        <f>IF(ISNA(VLOOKUP(B15,'3ème J.'!$BH$9:$BK$62,2,0))," ",IF(VLOOKUP(B15,'3ème J.'!$BH$9:$BK$62,2,0)=0,"0",VLOOKUP(B15,'3ème J.'!$BH$9:$BK$62,2,0)))</f>
        <v>7</v>
      </c>
      <c r="L15" s="248">
        <f>IF(ISNA(VLOOKUP(B15,'3ème J.'!$BH$9:$BK$62,3,0))," ",IF(VLOOKUP(B15,'3ème J.'!$BH$9:$BK$62,3,0)=0,"0",VLOOKUP(B15,'3ème J.'!$BH$9:$BK$62,3,0)))</f>
        <v>9</v>
      </c>
      <c r="M15" s="248">
        <f>IF(ISNA(VLOOKUP(B15,'3ème J.'!$BH$9:$BK$62,4,0))," ",IF(VLOOKUP(B15,'3ème J.'!$BH$9:$BK$62,4,0)=0,"0",VLOOKUP(B15,'3ème J.'!$BH$9:$BK$62,4,0)))</f>
        <v>24</v>
      </c>
      <c r="N15" s="315"/>
      <c r="O15" s="248">
        <f>IF(ISNA(VLOOKUP(B15,'4ème J.'!$BH$9:$BK$62,2,0))," ",IF(VLOOKUP(B15,'4ème J.'!$BH$9:$BK$62,2,0)=0,"0",VLOOKUP(B15,'4ème J.'!$BH$9:$BK$62,2,0)))</f>
        <v>7</v>
      </c>
      <c r="P15" s="248">
        <f>IF(ISNA(VLOOKUP(B15,'4ème J.'!$BH$9:$BK$62,3,0))," ",IF(VLOOKUP(B15,'4ème J.'!$BH$9:$BK$62,3,0)=0,"0",VLOOKUP(B15,'4ème J.'!$BH$9:$BK$62,3,0)))</f>
        <v>1</v>
      </c>
      <c r="Q15" s="248">
        <f>IF(ISNA(VLOOKUP(B15,'4ème J.'!$BH$9:$BK$62,4,0))," ",IF(VLOOKUP(B15,'4ème J.'!$BH$9:$BK$62,4,0)=0,"0",VLOOKUP(B15,'4ème J.'!$BH$9:$BK$62,4,0)))</f>
        <v>2</v>
      </c>
      <c r="R15" s="299"/>
      <c r="S15" s="248">
        <f>IF(ISNA(VLOOKUP(B15,'5ème J.'!$BH$9:$BK$62,2,0))," ",IF(VLOOKUP(B15,'5ème J.'!$BH$9:$BK$62,2,0)=0,"0",VLOOKUP(B15,'5ème J.'!$BH$9:$BK$62,2,0)))</f>
        <v>5</v>
      </c>
      <c r="T15" s="248">
        <f>IF(ISNA(VLOOKUP(B15,'5ème J.'!$BH$9:$BK$62,3,0))," ",IF(VLOOKUP(B15,'5ème J.'!$BH$9:$BK$62,3,0)=0,"0",VLOOKUP(B15,'5ème J.'!$BH$9:$BK$62,3,0)))</f>
        <v>2</v>
      </c>
      <c r="U15" s="248">
        <f>IF(ISNA(VLOOKUP(B15,'5ème J.'!$BH$9:$BK$62,4,0))," ",IF(VLOOKUP(B15,'5ème J.'!$BH$9:$BK$62,4,0)=0,"0",VLOOKUP(B15,'5ème J.'!$BH$9:$BK$62,4,0)))</f>
        <v>23</v>
      </c>
      <c r="V15" s="299"/>
      <c r="W15" s="248">
        <f>IF(ISNA(VLOOKUP(B15,'6ème J.'!$BH$9:$BK$62,2,0))," ",IF(VLOOKUP(B15,'6ème J.'!$BH$9:$BK$62,2,0)=0,"0",VLOOKUP(B15,'6ème J.'!$BH$9:$BK$62,2,0)))</f>
        <v>5</v>
      </c>
      <c r="X15" s="248">
        <f>IF(ISNA(VLOOKUP(B15,'6ème J.'!$BH$9:$BK$62,3,0))," ",IF(VLOOKUP(B15,'6ème J.'!$BH$9:$BK$62,3,0)=0,"0",VLOOKUP(B15,'6ème J.'!$BH$9:$BK$62,3,0)))</f>
        <v>-13</v>
      </c>
      <c r="Y15" s="248">
        <f>IF(ISNA(VLOOKUP(B15,'6ème J.'!$BH$9:$BK$62,4,0))," ",IF(VLOOKUP(B15,'6ème J.'!$BH$9:$BK$62,4,0)=0,"0",VLOOKUP(B15,'6ème J.'!$BH$9:$BK$62,4,0)))</f>
        <v>14</v>
      </c>
      <c r="Z15" s="88"/>
      <c r="AA15" s="344" t="str">
        <f t="shared" si="0"/>
        <v>A10</v>
      </c>
      <c r="AB15" s="252">
        <f t="shared" si="5"/>
        <v>24</v>
      </c>
      <c r="AC15" s="390">
        <f t="shared" si="6"/>
        <v>-1</v>
      </c>
      <c r="AD15" s="345">
        <f t="shared" si="7"/>
        <v>63</v>
      </c>
      <c r="AE15" s="250">
        <f t="shared" si="8"/>
        <v>25.003700150000004</v>
      </c>
      <c r="AF15" s="251">
        <f>IF(AB15="","",SMALL(AE$6:AE$59,ROWS(AB$6:AB15)))</f>
        <v>10.06790007</v>
      </c>
      <c r="AG15" s="251"/>
      <c r="AH15" s="304">
        <f>IF(AF15="","",IF(AND(AJ14=AJ15,AK14=AK15,AL15=AL14),AH14,$AH$6+9))</f>
        <v>10</v>
      </c>
      <c r="AI15" s="252" t="str">
        <f t="shared" si="1"/>
        <v>A2</v>
      </c>
      <c r="AJ15" s="252">
        <f t="shared" si="2"/>
        <v>32</v>
      </c>
      <c r="AK15" s="333">
        <f t="shared" si="3"/>
        <v>-8</v>
      </c>
      <c r="AL15" s="309">
        <f t="shared" si="4"/>
        <v>121</v>
      </c>
      <c r="AN15" s="254">
        <v>10</v>
      </c>
    </row>
    <row r="16" spans="1:41">
      <c r="A16" s="354">
        <v>11</v>
      </c>
      <c r="B16" s="351" t="str">
        <f>+Inscrits!B13</f>
        <v>A11</v>
      </c>
      <c r="C16" s="248" t="str">
        <f>IF(ISNA(VLOOKUP(B16,'1ère J.'!$BH$9:$BK$62,2,0))," ",IF(VLOOKUP(B16,'1ère J.'!$BH$9:$BK$62,2,0)=0,"0",VLOOKUP(B16,'1ère J.'!$BH$9:$BK$62,2,0)))</f>
        <v>0</v>
      </c>
      <c r="D16" s="248" t="str">
        <f>IF(ISNA(VLOOKUP(B16,'1ère J.'!$BH$9:$BK$62,3,0))," ",IF(VLOOKUP(B16,'1ère J.'!$BH$9:$BK$62,3,0)=0,"0",VLOOKUP(B16,'1ère J.'!$BH$9:$BK$62,3,0)))</f>
        <v>0</v>
      </c>
      <c r="E16" s="248" t="str">
        <f>IF(ISNA(VLOOKUP(B16,'1ère J.'!$BH$9:$BK$62,4,0))," ",IF(VLOOKUP(B16,'1ère J.'!$BH$9:$BK$62,4,0)=0,"0",VLOOKUP(B16,'1ère J.'!$BH$9:$BK$62,4,0)))</f>
        <v>0</v>
      </c>
      <c r="F16" s="299"/>
      <c r="G16" s="248" t="str">
        <f>IF(ISNA(VLOOKUP(B16,'2ème J.'!$BH$9:$BK$62,2,0))," ",IF(VLOOKUP(B16,'2ème J.'!$BH$9:$BK$62,2,0)=0,"0",VLOOKUP(B16,'2ème J.'!$BH$9:$BK$62,2,0)))</f>
        <v>0</v>
      </c>
      <c r="H16" s="248" t="str">
        <f>IF(ISNA(VLOOKUP(B16,'2ème J.'!$BH$9:$BK$62,3,0))," ",IF(VLOOKUP(B16,'2ème J.'!$BH$9:$BK$62,3,0)=0,"0",VLOOKUP(B16,'2ème J.'!$BH$9:$BK$62,3,0)))</f>
        <v>0</v>
      </c>
      <c r="I16" s="248" t="str">
        <f>IF(ISNA(VLOOKUP(B16,'2ème J.'!$BH$9:$BK$62,4,0))," ",IF(VLOOKUP(B16,'2ème J.'!$BH$9:$BK$62,4,0)=0,"0",VLOOKUP(B16,'2ème J.'!$BH$9:$BK$62,4,0)))</f>
        <v>0</v>
      </c>
      <c r="J16" s="315"/>
      <c r="K16" s="248" t="str">
        <f>IF(ISNA(VLOOKUP(B16,'3ème J.'!$BH$9:$BK$62,2,0))," ",IF(VLOOKUP(B16,'3ème J.'!$BH$9:$BK$62,2,0)=0,"0",VLOOKUP(B16,'3ème J.'!$BH$9:$BK$62,2,0)))</f>
        <v>0</v>
      </c>
      <c r="L16" s="248" t="str">
        <f>IF(ISNA(VLOOKUP(B16,'3ème J.'!$BH$9:$BK$62,3,0))," ",IF(VLOOKUP(B16,'3ème J.'!$BH$9:$BK$62,3,0)=0,"0",VLOOKUP(B16,'3ème J.'!$BH$9:$BK$62,3,0)))</f>
        <v>0</v>
      </c>
      <c r="M16" s="248" t="str">
        <f>IF(ISNA(VLOOKUP(B16,'3ème J.'!$BH$9:$BK$62,4,0))," ",IF(VLOOKUP(B16,'3ème J.'!$BH$9:$BK$62,4,0)=0,"0",VLOOKUP(B16,'3ème J.'!$BH$9:$BK$62,4,0)))</f>
        <v>0</v>
      </c>
      <c r="N16" s="315"/>
      <c r="O16" s="248">
        <f>IF(ISNA(VLOOKUP(B16,'4ème J.'!$BH$9:$BK$62,2,0))," ",IF(VLOOKUP(B16,'4ème J.'!$BH$9:$BK$62,2,0)=0,"0",VLOOKUP(B16,'4ème J.'!$BH$9:$BK$62,2,0)))</f>
        <v>7</v>
      </c>
      <c r="P16" s="248">
        <f>IF(ISNA(VLOOKUP(B16,'4ème J.'!$BH$9:$BK$62,3,0))," ",IF(VLOOKUP(B16,'4ème J.'!$BH$9:$BK$62,3,0)=0,"0",VLOOKUP(B16,'4ème J.'!$BH$9:$BK$62,3,0)))</f>
        <v>1</v>
      </c>
      <c r="Q16" s="248">
        <f>IF(ISNA(VLOOKUP(B16,'4ème J.'!$BH$9:$BK$62,4,0))," ",IF(VLOOKUP(B16,'4ème J.'!$BH$9:$BK$62,4,0)=0,"0",VLOOKUP(B16,'4ème J.'!$BH$9:$BK$62,4,0)))</f>
        <v>2</v>
      </c>
      <c r="R16" s="299"/>
      <c r="S16" s="248">
        <f>IF(ISNA(VLOOKUP(B16,'5ème J.'!$BH$9:$BK$62,2,0))," ",IF(VLOOKUP(B16,'5ème J.'!$BH$9:$BK$62,2,0)=0,"0",VLOOKUP(B16,'5ème J.'!$BH$9:$BK$62,2,0)))</f>
        <v>5</v>
      </c>
      <c r="T16" s="248">
        <f>IF(ISNA(VLOOKUP(B16,'5ème J.'!$BH$9:$BK$62,3,0))," ",IF(VLOOKUP(B16,'5ème J.'!$BH$9:$BK$62,3,0)=0,"0",VLOOKUP(B16,'5ème J.'!$BH$9:$BK$62,3,0)))</f>
        <v>-9</v>
      </c>
      <c r="U16" s="248">
        <f>IF(ISNA(VLOOKUP(B16,'5ème J.'!$BH$9:$BK$62,4,0))," ",IF(VLOOKUP(B16,'5ème J.'!$BH$9:$BK$62,4,0)=0,"0",VLOOKUP(B16,'5ème J.'!$BH$9:$BK$62,4,0)))</f>
        <v>16</v>
      </c>
      <c r="V16" s="299"/>
      <c r="W16" s="248">
        <f>IF(ISNA(VLOOKUP(B16,'6ème J.'!$BH$9:$BK$62,2,0))," ",IF(VLOOKUP(B16,'6ème J.'!$BH$9:$BK$62,2,0)=0,"0",VLOOKUP(B16,'6ème J.'!$BH$9:$BK$62,2,0)))</f>
        <v>7</v>
      </c>
      <c r="X16" s="248">
        <f>IF(ISNA(VLOOKUP(B16,'6ème J.'!$BH$9:$BK$62,3,0))," ",IF(VLOOKUP(B16,'6ème J.'!$BH$9:$BK$62,3,0)=0,"0",VLOOKUP(B16,'6ème J.'!$BH$9:$BK$62,3,0)))</f>
        <v>5</v>
      </c>
      <c r="Y16" s="248">
        <f>IF(ISNA(VLOOKUP(B16,'6ème J.'!$BH$9:$BK$62,4,0))," ",IF(VLOOKUP(B16,'6ème J.'!$BH$9:$BK$62,4,0)=0,"0",VLOOKUP(B16,'6ème J.'!$BH$9:$BK$62,4,0)))</f>
        <v>27</v>
      </c>
      <c r="Z16" s="88"/>
      <c r="AA16" s="344" t="str">
        <f t="shared" si="0"/>
        <v>A11</v>
      </c>
      <c r="AB16" s="252">
        <f t="shared" si="5"/>
        <v>19</v>
      </c>
      <c r="AC16" s="390">
        <f t="shared" si="6"/>
        <v>-3</v>
      </c>
      <c r="AD16" s="345">
        <f t="shared" si="7"/>
        <v>45</v>
      </c>
      <c r="AE16" s="250">
        <f t="shared" si="8"/>
        <v>30.02550016</v>
      </c>
      <c r="AF16" s="251">
        <f>IF(AB16="","",SMALL(AE$6:AE$59,ROWS(AB$6:AB16)))</f>
        <v>10.758900109999999</v>
      </c>
      <c r="AG16" s="251"/>
      <c r="AH16" s="304">
        <f>IF(AF16="","",IF(AND(AJ15=AJ16,AK15=AK16,AL16=AL15),AH15,$AH$6+10))</f>
        <v>11</v>
      </c>
      <c r="AI16" s="252" t="str">
        <f t="shared" si="1"/>
        <v>A6</v>
      </c>
      <c r="AJ16" s="252">
        <f t="shared" si="2"/>
        <v>31</v>
      </c>
      <c r="AK16" s="333">
        <f t="shared" si="3"/>
        <v>23</v>
      </c>
      <c r="AL16" s="309">
        <f t="shared" si="4"/>
        <v>111</v>
      </c>
      <c r="AN16" s="254">
        <v>11</v>
      </c>
    </row>
    <row r="17" spans="1:40">
      <c r="A17" s="354">
        <v>12</v>
      </c>
      <c r="B17" s="351" t="str">
        <f>+Inscrits!B14</f>
        <v>A12</v>
      </c>
      <c r="C17" s="248" t="str">
        <f>IF(ISNA(VLOOKUP(B17,'1ère J.'!$BH$9:$BK$62,2,0))," ",IF(VLOOKUP(B17,'1ère J.'!$BH$9:$BK$62,2,0)=0,"0",VLOOKUP(B17,'1ère J.'!$BH$9:$BK$62,2,0)))</f>
        <v>0</v>
      </c>
      <c r="D17" s="248" t="str">
        <f>IF(ISNA(VLOOKUP(B17,'1ère J.'!$BH$9:$BK$62,3,0))," ",IF(VLOOKUP(B17,'1ère J.'!$BH$9:$BK$62,3,0)=0,"0",VLOOKUP(B17,'1ère J.'!$BH$9:$BK$62,3,0)))</f>
        <v>0</v>
      </c>
      <c r="E17" s="248" t="str">
        <f>IF(ISNA(VLOOKUP(B17,'1ère J.'!$BH$9:$BK$62,4,0))," ",IF(VLOOKUP(B17,'1ère J.'!$BH$9:$BK$62,4,0)=0,"0",VLOOKUP(B17,'1ère J.'!$BH$9:$BK$62,4,0)))</f>
        <v>0</v>
      </c>
      <c r="F17" s="299"/>
      <c r="G17" s="248" t="str">
        <f>IF(ISNA(VLOOKUP(B17,'2ème J.'!$BH$9:$BK$62,2,0))," ",IF(VLOOKUP(B17,'2ème J.'!$BH$9:$BK$62,2,0)=0,"0",VLOOKUP(B17,'2ème J.'!$BH$9:$BK$62,2,0)))</f>
        <v>0</v>
      </c>
      <c r="H17" s="248" t="str">
        <f>IF(ISNA(VLOOKUP(B17,'2ème J.'!$BH$9:$BK$62,3,0))," ",IF(VLOOKUP(B17,'2ème J.'!$BH$9:$BK$62,3,0)=0,"0",VLOOKUP(B17,'2ème J.'!$BH$9:$BK$62,3,0)))</f>
        <v>0</v>
      </c>
      <c r="I17" s="248" t="str">
        <f>IF(ISNA(VLOOKUP(B17,'2ème J.'!$BH$9:$BK$62,4,0))," ",IF(VLOOKUP(B17,'2ème J.'!$BH$9:$BK$62,4,0)=0,"0",VLOOKUP(B17,'2ème J.'!$BH$9:$BK$62,4,0)))</f>
        <v>0</v>
      </c>
      <c r="J17" s="315"/>
      <c r="K17" s="248" t="str">
        <f>IF(ISNA(VLOOKUP(B17,'3ème J.'!$BH$9:$BK$62,2,0))," ",IF(VLOOKUP(B17,'3ème J.'!$BH$9:$BK$62,2,0)=0,"0",VLOOKUP(B17,'3ème J.'!$BH$9:$BK$62,2,0)))</f>
        <v>0</v>
      </c>
      <c r="L17" s="248" t="str">
        <f>IF(ISNA(VLOOKUP(B17,'3ème J.'!$BH$9:$BK$62,3,0))," ",IF(VLOOKUP(B17,'3ème J.'!$BH$9:$BK$62,3,0)=0,"0",VLOOKUP(B17,'3ème J.'!$BH$9:$BK$62,3,0)))</f>
        <v>0</v>
      </c>
      <c r="M17" s="248" t="str">
        <f>IF(ISNA(VLOOKUP(B17,'3ème J.'!$BH$9:$BK$62,4,0))," ",IF(VLOOKUP(B17,'3ème J.'!$BH$9:$BK$62,4,0)=0,"0",VLOOKUP(B17,'3ème J.'!$BH$9:$BK$62,4,0)))</f>
        <v>0</v>
      </c>
      <c r="N17" s="315"/>
      <c r="O17" s="248">
        <f>IF(ISNA(VLOOKUP(B17,'4ème J.'!$BH$9:$BK$62,2,0))," ",IF(VLOOKUP(B17,'4ème J.'!$BH$9:$BK$62,2,0)=0,"0",VLOOKUP(B17,'4ème J.'!$BH$9:$BK$62,2,0)))</f>
        <v>5</v>
      </c>
      <c r="P17" s="248">
        <f>IF(ISNA(VLOOKUP(B17,'4ème J.'!$BH$9:$BK$62,3,0))," ",IF(VLOOKUP(B17,'4ème J.'!$BH$9:$BK$62,3,0)=0,"0",VLOOKUP(B17,'4ème J.'!$BH$9:$BK$62,3,0)))</f>
        <v>-1</v>
      </c>
      <c r="Q17" s="248">
        <f>IF(ISNA(VLOOKUP(B17,'4ème J.'!$BH$9:$BK$62,4,0))," ",IF(VLOOKUP(B17,'4ème J.'!$BH$9:$BK$62,4,0)=0,"0",VLOOKUP(B17,'4ème J.'!$BH$9:$BK$62,4,0)))</f>
        <v>1</v>
      </c>
      <c r="R17" s="299"/>
      <c r="S17" s="248">
        <f>IF(ISNA(VLOOKUP(B17,'5ème J.'!$BH$9:$BK$62,2,0))," ",IF(VLOOKUP(B17,'5ème J.'!$BH$9:$BK$62,2,0)=0,"0",VLOOKUP(B17,'5ème J.'!$BH$9:$BK$62,2,0)))</f>
        <v>7</v>
      </c>
      <c r="T17" s="248">
        <f>IF(ISNA(VLOOKUP(B17,'5ème J.'!$BH$9:$BK$62,3,0))," ",IF(VLOOKUP(B17,'5ème J.'!$BH$9:$BK$62,3,0)=0,"0",VLOOKUP(B17,'5ème J.'!$BH$9:$BK$62,3,0)))</f>
        <v>7</v>
      </c>
      <c r="U17" s="248">
        <f>IF(ISNA(VLOOKUP(B17,'5ème J.'!$BH$9:$BK$62,4,0))," ",IF(VLOOKUP(B17,'5ème J.'!$BH$9:$BK$62,4,0)=0,"0",VLOOKUP(B17,'5ème J.'!$BH$9:$BK$62,4,0)))</f>
        <v>20</v>
      </c>
      <c r="V17" s="299"/>
      <c r="W17" s="248">
        <f>IF(ISNA(VLOOKUP(B17,'6ème J.'!$BH$9:$BK$62,2,0))," ",IF(VLOOKUP(B17,'6ème J.'!$BH$9:$BK$62,2,0)=0,"0",VLOOKUP(B17,'6ème J.'!$BH$9:$BK$62,2,0)))</f>
        <v>7</v>
      </c>
      <c r="X17" s="248">
        <f>IF(ISNA(VLOOKUP(B17,'6ème J.'!$BH$9:$BK$62,3,0))," ",IF(VLOOKUP(B17,'6ème J.'!$BH$9:$BK$62,3,0)=0,"0",VLOOKUP(B17,'6ème J.'!$BH$9:$BK$62,3,0)))</f>
        <v>3</v>
      </c>
      <c r="Y17" s="248">
        <f>IF(ISNA(VLOOKUP(B17,'6ème J.'!$BH$9:$BK$62,4,0))," ",IF(VLOOKUP(B17,'6ème J.'!$BH$9:$BK$62,4,0)=0,"0",VLOOKUP(B17,'6ème J.'!$BH$9:$BK$62,4,0)))</f>
        <v>27</v>
      </c>
      <c r="Z17" s="88"/>
      <c r="AA17" s="344" t="str">
        <f t="shared" si="0"/>
        <v>A12</v>
      </c>
      <c r="AB17" s="252">
        <f t="shared" si="5"/>
        <v>19</v>
      </c>
      <c r="AC17" s="390">
        <f t="shared" si="6"/>
        <v>9</v>
      </c>
      <c r="AD17" s="345">
        <f t="shared" si="7"/>
        <v>48</v>
      </c>
      <c r="AE17" s="250">
        <f t="shared" si="8"/>
        <v>29.905200170000001</v>
      </c>
      <c r="AF17" s="251">
        <f>IF(AB17="","",SMALL(AE$6:AE$59,ROWS(AB$6:AB17)))</f>
        <v>10.808000440000001</v>
      </c>
      <c r="AG17" s="251"/>
      <c r="AH17" s="304">
        <f>IF(AF17="","",IF(AND(AJ16=AJ17,AK16=AK17,AL17=AL16),AH16,$AH$6+11))</f>
        <v>12</v>
      </c>
      <c r="AI17" s="252" t="str">
        <f t="shared" si="1"/>
        <v>C3</v>
      </c>
      <c r="AJ17" s="252">
        <f t="shared" si="2"/>
        <v>31</v>
      </c>
      <c r="AK17" s="333">
        <f t="shared" si="3"/>
        <v>18</v>
      </c>
      <c r="AL17" s="309">
        <f t="shared" si="4"/>
        <v>120</v>
      </c>
      <c r="AN17" s="254">
        <v>12</v>
      </c>
    </row>
    <row r="18" spans="1:40">
      <c r="A18" s="354">
        <v>13</v>
      </c>
      <c r="B18" s="351" t="str">
        <f>+Inscrits!B15</f>
        <v>A13</v>
      </c>
      <c r="C18" s="248" t="str">
        <f>IF(ISNA(VLOOKUP(B18,'1ère J.'!$BH$9:$BK$62,2,0))," ",IF(VLOOKUP(B18,'1ère J.'!$BH$9:$BK$62,2,0)=0,"0",VLOOKUP(B18,'1ère J.'!$BH$9:$BK$62,2,0)))</f>
        <v>0</v>
      </c>
      <c r="D18" s="248" t="str">
        <f>IF(ISNA(VLOOKUP(B18,'1ère J.'!$BH$9:$BK$62,3,0))," ",IF(VLOOKUP(B18,'1ère J.'!$BH$9:$BK$62,3,0)=0,"0",VLOOKUP(B18,'1ère J.'!$BH$9:$BK$62,3,0)))</f>
        <v>0</v>
      </c>
      <c r="E18" s="248" t="str">
        <f>IF(ISNA(VLOOKUP(B18,'1ère J.'!$BH$9:$BK$62,4,0))," ",IF(VLOOKUP(B18,'1ère J.'!$BH$9:$BK$62,4,0)=0,"0",VLOOKUP(B18,'1ère J.'!$BH$9:$BK$62,4,0)))</f>
        <v>0</v>
      </c>
      <c r="F18" s="299"/>
      <c r="G18" s="248" t="str">
        <f>IF(ISNA(VLOOKUP(B18,'2ème J.'!$BH$9:$BK$62,2,0))," ",IF(VLOOKUP(B18,'2ème J.'!$BH$9:$BK$62,2,0)=0,"0",VLOOKUP(B18,'2ème J.'!$BH$9:$BK$62,2,0)))</f>
        <v>0</v>
      </c>
      <c r="H18" s="248" t="str">
        <f>IF(ISNA(VLOOKUP(B18,'2ème J.'!$BH$9:$BK$62,3,0))," ",IF(VLOOKUP(B18,'2ème J.'!$BH$9:$BK$62,3,0)=0,"0",VLOOKUP(B18,'2ème J.'!$BH$9:$BK$62,3,0)))</f>
        <v>0</v>
      </c>
      <c r="I18" s="248" t="str">
        <f>IF(ISNA(VLOOKUP(B18,'2ème J.'!$BH$9:$BK$62,4,0))," ",IF(VLOOKUP(B18,'2ème J.'!$BH$9:$BK$62,4,0)=0,"0",VLOOKUP(B18,'2ème J.'!$BH$9:$BK$62,4,0)))</f>
        <v>0</v>
      </c>
      <c r="J18" s="315"/>
      <c r="K18" s="248" t="str">
        <f>IF(ISNA(VLOOKUP(B18,'3ème J.'!$BH$9:$BK$62,2,0))," ",IF(VLOOKUP(B18,'3ème J.'!$BH$9:$BK$62,2,0)=0,"0",VLOOKUP(B18,'3ème J.'!$BH$9:$BK$62,2,0)))</f>
        <v>0</v>
      </c>
      <c r="L18" s="248" t="str">
        <f>IF(ISNA(VLOOKUP(B18,'3ème J.'!$BH$9:$BK$62,3,0))," ",IF(VLOOKUP(B18,'3ème J.'!$BH$9:$BK$62,3,0)=0,"0",VLOOKUP(B18,'3ème J.'!$BH$9:$BK$62,3,0)))</f>
        <v>0</v>
      </c>
      <c r="M18" s="248" t="str">
        <f>IF(ISNA(VLOOKUP(B18,'3ème J.'!$BH$9:$BK$62,4,0))," ",IF(VLOOKUP(B18,'3ème J.'!$BH$9:$BK$62,4,0)=0,"0",VLOOKUP(B18,'3ème J.'!$BH$9:$BK$62,4,0)))</f>
        <v>0</v>
      </c>
      <c r="N18" s="315"/>
      <c r="O18" s="248" t="str">
        <f>IF(ISNA(VLOOKUP(B18,'4ème J.'!$BH$9:$BK$62,2,0))," ",IF(VLOOKUP(B18,'4ème J.'!$BH$9:$BK$62,2,0)=0,"0",VLOOKUP(B18,'4ème J.'!$BH$9:$BK$62,2,0)))</f>
        <v>0</v>
      </c>
      <c r="P18" s="248" t="str">
        <f>IF(ISNA(VLOOKUP(B18,'4ème J.'!$BH$9:$BK$62,3,0))," ",IF(VLOOKUP(B18,'4ème J.'!$BH$9:$BK$62,3,0)=0,"0",VLOOKUP(B18,'4ème J.'!$BH$9:$BK$62,3,0)))</f>
        <v>0</v>
      </c>
      <c r="Q18" s="248" t="str">
        <f>IF(ISNA(VLOOKUP(B18,'4ème J.'!$BH$9:$BK$62,4,0))," ",IF(VLOOKUP(B18,'4ème J.'!$BH$9:$BK$62,4,0)=0,"0",VLOOKUP(B18,'4ème J.'!$BH$9:$BK$62,4,0)))</f>
        <v>0</v>
      </c>
      <c r="R18" s="299"/>
      <c r="S18" s="248">
        <f>IF(ISNA(VLOOKUP(B18,'5ème J.'!$BH$9:$BK$62,2,0))," ",IF(VLOOKUP(B18,'5ème J.'!$BH$9:$BK$62,2,0)=0,"0",VLOOKUP(B18,'5ème J.'!$BH$9:$BK$62,2,0)))</f>
        <v>5</v>
      </c>
      <c r="T18" s="248">
        <f>IF(ISNA(VLOOKUP(B18,'5ème J.'!$BH$9:$BK$62,3,0))," ",IF(VLOOKUP(B18,'5ème J.'!$BH$9:$BK$62,3,0)=0,"0",VLOOKUP(B18,'5ème J.'!$BH$9:$BK$62,3,0)))</f>
        <v>-6</v>
      </c>
      <c r="U18" s="248">
        <f>IF(ISNA(VLOOKUP(B18,'5ème J.'!$BH$9:$BK$62,4,0))," ",IF(VLOOKUP(B18,'5ème J.'!$BH$9:$BK$62,4,0)=0,"0",VLOOKUP(B18,'5ème J.'!$BH$9:$BK$62,4,0)))</f>
        <v>13</v>
      </c>
      <c r="V18" s="299"/>
      <c r="W18" s="248">
        <f>IF(ISNA(VLOOKUP(B18,'6ème J.'!$BH$9:$BK$62,2,0))," ",IF(VLOOKUP(B18,'6ème J.'!$BH$9:$BK$62,2,0)=0,"0",VLOOKUP(B18,'6ème J.'!$BH$9:$BK$62,2,0)))</f>
        <v>3</v>
      </c>
      <c r="X18" s="248">
        <f>IF(ISNA(VLOOKUP(B18,'6ème J.'!$BH$9:$BK$62,3,0))," ",IF(VLOOKUP(B18,'6ème J.'!$BH$9:$BK$62,3,0)=0,"0",VLOOKUP(B18,'6ème J.'!$BH$9:$BK$62,3,0)))</f>
        <v>-19</v>
      </c>
      <c r="Y18" s="248">
        <f>IF(ISNA(VLOOKUP(B18,'6ème J.'!$BH$9:$BK$62,4,0))," ",IF(VLOOKUP(B18,'6ème J.'!$BH$9:$BK$62,4,0)=0,"0",VLOOKUP(B18,'6ème J.'!$BH$9:$BK$62,4,0)))</f>
        <v>15</v>
      </c>
      <c r="Z18" s="88"/>
      <c r="AA18" s="344" t="str">
        <f t="shared" si="0"/>
        <v>A13</v>
      </c>
      <c r="AB18" s="252">
        <f t="shared" si="5"/>
        <v>8</v>
      </c>
      <c r="AC18" s="390">
        <f t="shared" si="6"/>
        <v>-25</v>
      </c>
      <c r="AD18" s="345">
        <f t="shared" si="7"/>
        <v>28</v>
      </c>
      <c r="AE18" s="250">
        <f t="shared" si="8"/>
        <v>47.24720018</v>
      </c>
      <c r="AF18" s="251">
        <f>IF(AB18="","",SMALL(AE$6:AE$59,ROWS(AB$6:AB18)))</f>
        <v>11.01910045</v>
      </c>
      <c r="AG18" s="251"/>
      <c r="AH18" s="304">
        <f>IF(AF18="","",IF(AND(AJ17=AJ18,AK17=AK18,AL18=AL17),AH17,$AH$6+12))</f>
        <v>13</v>
      </c>
      <c r="AI18" s="252" t="str">
        <f t="shared" si="1"/>
        <v>C4</v>
      </c>
      <c r="AJ18" s="252">
        <f t="shared" si="2"/>
        <v>31</v>
      </c>
      <c r="AK18" s="333">
        <f t="shared" si="3"/>
        <v>-3</v>
      </c>
      <c r="AL18" s="309">
        <f t="shared" si="4"/>
        <v>109</v>
      </c>
      <c r="AN18" s="254">
        <v>13</v>
      </c>
    </row>
    <row r="19" spans="1:40">
      <c r="A19" s="354">
        <v>14</v>
      </c>
      <c r="B19" s="351" t="str">
        <f>+Inscrits!B16</f>
        <v>A14</v>
      </c>
      <c r="C19" s="248" t="str">
        <f>IF(ISNA(VLOOKUP(B19,'1ère J.'!$BH$9:$BK$62,2,0))," ",IF(VLOOKUP(B19,'1ère J.'!$BH$9:$BK$62,2,0)=0,"0",VLOOKUP(B19,'1ère J.'!$BH$9:$BK$62,2,0)))</f>
        <v>0</v>
      </c>
      <c r="D19" s="248" t="str">
        <f>IF(ISNA(VLOOKUP(B19,'1ère J.'!$BH$9:$BK$62,3,0))," ",IF(VLOOKUP(B19,'1ère J.'!$BH$9:$BK$62,3,0)=0,"0",VLOOKUP(B19,'1ère J.'!$BH$9:$BK$62,3,0)))</f>
        <v>0</v>
      </c>
      <c r="E19" s="248" t="str">
        <f>IF(ISNA(VLOOKUP(B19,'1ère J.'!$BH$9:$BK$62,4,0))," ",IF(VLOOKUP(B19,'1ère J.'!$BH$9:$BK$62,4,0)=0,"0",VLOOKUP(B19,'1ère J.'!$BH$9:$BK$62,4,0)))</f>
        <v>0</v>
      </c>
      <c r="F19" s="299"/>
      <c r="G19" s="248" t="str">
        <f>IF(ISNA(VLOOKUP(B19,'2ème J.'!$BH$9:$BK$62,2,0))," ",IF(VLOOKUP(B19,'2ème J.'!$BH$9:$BK$62,2,0)=0,"0",VLOOKUP(B19,'2ème J.'!$BH$9:$BK$62,2,0)))</f>
        <v>0</v>
      </c>
      <c r="H19" s="248" t="str">
        <f>IF(ISNA(VLOOKUP(B19,'2ème J.'!$BH$9:$BK$62,3,0))," ",IF(VLOOKUP(B19,'2ème J.'!$BH$9:$BK$62,3,0)=0,"0",VLOOKUP(B19,'2ème J.'!$BH$9:$BK$62,3,0)))</f>
        <v>0</v>
      </c>
      <c r="I19" s="248" t="str">
        <f>IF(ISNA(VLOOKUP(B19,'2ème J.'!$BH$9:$BK$62,4,0))," ",IF(VLOOKUP(B19,'2ème J.'!$BH$9:$BK$62,4,0)=0,"0",VLOOKUP(B19,'2ème J.'!$BH$9:$BK$62,4,0)))</f>
        <v>0</v>
      </c>
      <c r="J19" s="315"/>
      <c r="K19" s="248" t="str">
        <f>IF(ISNA(VLOOKUP(B19,'3ème J.'!$BH$9:$BK$62,2,0))," ",IF(VLOOKUP(B19,'3ème J.'!$BH$9:$BK$62,2,0)=0,"0",VLOOKUP(B19,'3ème J.'!$BH$9:$BK$62,2,0)))</f>
        <v>0</v>
      </c>
      <c r="L19" s="248" t="str">
        <f>IF(ISNA(VLOOKUP(B19,'3ème J.'!$BH$9:$BK$62,3,0))," ",IF(VLOOKUP(B19,'3ème J.'!$BH$9:$BK$62,3,0)=0,"0",VLOOKUP(B19,'3ème J.'!$BH$9:$BK$62,3,0)))</f>
        <v>0</v>
      </c>
      <c r="M19" s="248" t="str">
        <f>IF(ISNA(VLOOKUP(B19,'3ème J.'!$BH$9:$BK$62,4,0))," ",IF(VLOOKUP(B19,'3ème J.'!$BH$9:$BK$62,4,0)=0,"0",VLOOKUP(B19,'3ème J.'!$BH$9:$BK$62,4,0)))</f>
        <v>0</v>
      </c>
      <c r="N19" s="315"/>
      <c r="O19" s="248" t="str">
        <f>IF(ISNA(VLOOKUP(B19,'4ème J.'!$BH$9:$BK$62,2,0))," ",IF(VLOOKUP(B19,'4ème J.'!$BH$9:$BK$62,2,0)=0,"0",VLOOKUP(B19,'4ème J.'!$BH$9:$BK$62,2,0)))</f>
        <v>0</v>
      </c>
      <c r="P19" s="248" t="str">
        <f>IF(ISNA(VLOOKUP(B19,'4ème J.'!$BH$9:$BK$62,3,0))," ",IF(VLOOKUP(B19,'4ème J.'!$BH$9:$BK$62,3,0)=0,"0",VLOOKUP(B19,'4ème J.'!$BH$9:$BK$62,3,0)))</f>
        <v>0</v>
      </c>
      <c r="Q19" s="248" t="str">
        <f>IF(ISNA(VLOOKUP(B19,'4ème J.'!$BH$9:$BK$62,4,0))," ",IF(VLOOKUP(B19,'4ème J.'!$BH$9:$BK$62,4,0)=0,"0",VLOOKUP(B19,'4ème J.'!$BH$9:$BK$62,4,0)))</f>
        <v>0</v>
      </c>
      <c r="R19" s="299"/>
      <c r="S19" s="248">
        <f>IF(ISNA(VLOOKUP(B19,'5ème J.'!$BH$9:$BK$62,2,0))," ",IF(VLOOKUP(B19,'5ème J.'!$BH$9:$BK$62,2,0)=0,"0",VLOOKUP(B19,'5ème J.'!$BH$9:$BK$62,2,0)))</f>
        <v>7</v>
      </c>
      <c r="T19" s="248">
        <f>IF(ISNA(VLOOKUP(B19,'5ème J.'!$BH$9:$BK$62,3,0))," ",IF(VLOOKUP(B19,'5ème J.'!$BH$9:$BK$62,3,0)=0,"0",VLOOKUP(B19,'5ème J.'!$BH$9:$BK$62,3,0)))</f>
        <v>1</v>
      </c>
      <c r="U19" s="248">
        <f>IF(ISNA(VLOOKUP(B19,'5ème J.'!$BH$9:$BK$62,4,0))," ",IF(VLOOKUP(B19,'5ème J.'!$BH$9:$BK$62,4,0)=0,"0",VLOOKUP(B19,'5ème J.'!$BH$9:$BK$62,4,0)))</f>
        <v>19</v>
      </c>
      <c r="V19" s="299"/>
      <c r="W19" s="248">
        <f>IF(ISNA(VLOOKUP(B19,'6ème J.'!$BH$9:$BK$62,2,0))," ",IF(VLOOKUP(B19,'6ème J.'!$BH$9:$BK$62,2,0)=0,"0",VLOOKUP(B19,'6ème J.'!$BH$9:$BK$62,2,0)))</f>
        <v>7</v>
      </c>
      <c r="X19" s="248">
        <f>IF(ISNA(VLOOKUP(B19,'6ème J.'!$BH$9:$BK$62,3,0))," ",IF(VLOOKUP(B19,'6ème J.'!$BH$9:$BK$62,3,0)=0,"0",VLOOKUP(B19,'6ème J.'!$BH$9:$BK$62,3,0)))</f>
        <v>13</v>
      </c>
      <c r="Y19" s="248">
        <f>IF(ISNA(VLOOKUP(B19,'6ème J.'!$BH$9:$BK$62,4,0))," ",IF(VLOOKUP(B19,'6ème J.'!$BH$9:$BK$62,4,0)=0,"0",VLOOKUP(B19,'6ème J.'!$BH$9:$BK$62,4,0)))</f>
        <v>35</v>
      </c>
      <c r="Z19" s="88"/>
      <c r="AA19" s="344" t="str">
        <f t="shared" si="0"/>
        <v>A14</v>
      </c>
      <c r="AB19" s="252">
        <f t="shared" si="5"/>
        <v>14</v>
      </c>
      <c r="AC19" s="390">
        <f t="shared" si="6"/>
        <v>14</v>
      </c>
      <c r="AD19" s="345">
        <f t="shared" si="7"/>
        <v>54</v>
      </c>
      <c r="AE19" s="250">
        <f t="shared" si="8"/>
        <v>34.854600189999999</v>
      </c>
      <c r="AF19" s="251">
        <f>IF(AB19="","",SMALL(AE$6:AE$59,ROWS(AB$6:AB19)))</f>
        <v>11.04700027</v>
      </c>
      <c r="AG19" s="251"/>
      <c r="AH19" s="304">
        <f>IF(AF19="","",IF(AND(AJ18=AJ19,AK18=AK19,AL19=AL18),AH18,$AH$6+13))</f>
        <v>14</v>
      </c>
      <c r="AI19" s="252" t="str">
        <f t="shared" si="1"/>
        <v>B4</v>
      </c>
      <c r="AJ19" s="252">
        <f t="shared" si="2"/>
        <v>31</v>
      </c>
      <c r="AK19" s="333">
        <f t="shared" si="3"/>
        <v>-6</v>
      </c>
      <c r="AL19" s="309">
        <f t="shared" si="4"/>
        <v>130</v>
      </c>
      <c r="AN19" s="254">
        <v>14</v>
      </c>
    </row>
    <row r="20" spans="1:40">
      <c r="A20" s="354">
        <v>15</v>
      </c>
      <c r="B20" s="351" t="str">
        <f>+Inscrits!B17</f>
        <v>A15</v>
      </c>
      <c r="C20" s="248" t="str">
        <f>IF(ISNA(VLOOKUP(B20,'1ère J.'!$BH$9:$BK$62,2,0))," ",IF(VLOOKUP(B20,'1ère J.'!$BH$9:$BK$62,2,0)=0,"0",VLOOKUP(B20,'1ère J.'!$BH$9:$BK$62,2,0)))</f>
        <v>0</v>
      </c>
      <c r="D20" s="248" t="str">
        <f>IF(ISNA(VLOOKUP(B20,'1ère J.'!$BH$9:$BK$62,3,0))," ",IF(VLOOKUP(B20,'1ère J.'!$BH$9:$BK$62,3,0)=0,"0",VLOOKUP(B20,'1ère J.'!$BH$9:$BK$62,3,0)))</f>
        <v>0</v>
      </c>
      <c r="E20" s="248" t="str">
        <f>IF(ISNA(VLOOKUP(B20,'1ère J.'!$BH$9:$BK$62,4,0))," ",IF(VLOOKUP(B20,'1ère J.'!$BH$9:$BK$62,4,0)=0,"0",VLOOKUP(B20,'1ère J.'!$BH$9:$BK$62,4,0)))</f>
        <v>0</v>
      </c>
      <c r="F20" s="299"/>
      <c r="G20" s="248" t="str">
        <f>IF(ISNA(VLOOKUP(B20,'2ème J.'!$BH$9:$BK$62,2,0))," ",IF(VLOOKUP(B20,'2ème J.'!$BH$9:$BK$62,2,0)=0,"0",VLOOKUP(B20,'2ème J.'!$BH$9:$BK$62,2,0)))</f>
        <v>0</v>
      </c>
      <c r="H20" s="248" t="str">
        <f>IF(ISNA(VLOOKUP(B20,'2ème J.'!$BH$9:$BK$62,3,0))," ",IF(VLOOKUP(B20,'2ème J.'!$BH$9:$BK$62,3,0)=0,"0",VLOOKUP(B20,'2ème J.'!$BH$9:$BK$62,3,0)))</f>
        <v>0</v>
      </c>
      <c r="I20" s="248" t="str">
        <f>IF(ISNA(VLOOKUP(B20,'2ème J.'!$BH$9:$BK$62,4,0))," ",IF(VLOOKUP(B20,'2ème J.'!$BH$9:$BK$62,4,0)=0,"0",VLOOKUP(B20,'2ème J.'!$BH$9:$BK$62,4,0)))</f>
        <v>0</v>
      </c>
      <c r="J20" s="315"/>
      <c r="K20" s="248" t="str">
        <f>IF(ISNA(VLOOKUP(B20,'3ème J.'!$BH$9:$BK$62,2,0))," ",IF(VLOOKUP(B20,'3ème J.'!$BH$9:$BK$62,2,0)=0,"0",VLOOKUP(B20,'3ème J.'!$BH$9:$BK$62,2,0)))</f>
        <v>0</v>
      </c>
      <c r="L20" s="248" t="str">
        <f>IF(ISNA(VLOOKUP(B20,'3ème J.'!$BH$9:$BK$62,3,0))," ",IF(VLOOKUP(B20,'3ème J.'!$BH$9:$BK$62,3,0)=0,"0",VLOOKUP(B20,'3ème J.'!$BH$9:$BK$62,3,0)))</f>
        <v>0</v>
      </c>
      <c r="M20" s="248" t="str">
        <f>IF(ISNA(VLOOKUP(B20,'3ème J.'!$BH$9:$BK$62,4,0))," ",IF(VLOOKUP(B20,'3ème J.'!$BH$9:$BK$62,4,0)=0,"0",VLOOKUP(B20,'3ème J.'!$BH$9:$BK$62,4,0)))</f>
        <v>0</v>
      </c>
      <c r="N20" s="315"/>
      <c r="O20" s="248" t="str">
        <f>IF(ISNA(VLOOKUP(B20,'4ème J.'!$BH$9:$BK$62,2,0))," ",IF(VLOOKUP(B20,'4ème J.'!$BH$9:$BK$62,2,0)=0,"0",VLOOKUP(B20,'4ème J.'!$BH$9:$BK$62,2,0)))</f>
        <v>0</v>
      </c>
      <c r="P20" s="248" t="str">
        <f>IF(ISNA(VLOOKUP(B20,'4ème J.'!$BH$9:$BK$62,3,0))," ",IF(VLOOKUP(B20,'4ème J.'!$BH$9:$BK$62,3,0)=0,"0",VLOOKUP(B20,'4ème J.'!$BH$9:$BK$62,3,0)))</f>
        <v>0</v>
      </c>
      <c r="Q20" s="248" t="str">
        <f>IF(ISNA(VLOOKUP(B20,'4ème J.'!$BH$9:$BK$62,4,0))," ",IF(VLOOKUP(B20,'4ème J.'!$BH$9:$BK$62,4,0)=0,"0",VLOOKUP(B20,'4ème J.'!$BH$9:$BK$62,4,0)))</f>
        <v>0</v>
      </c>
      <c r="R20" s="299"/>
      <c r="S20" s="248">
        <f>IF(ISNA(VLOOKUP(B20,'5ème J.'!$BH$9:$BK$62,2,0))," ",IF(VLOOKUP(B20,'5ème J.'!$BH$9:$BK$62,2,0)=0,"0",VLOOKUP(B20,'5ème J.'!$BH$9:$BK$62,2,0)))</f>
        <v>5</v>
      </c>
      <c r="T20" s="248">
        <f>IF(ISNA(VLOOKUP(B20,'5ème J.'!$BH$9:$BK$62,3,0))," ",IF(VLOOKUP(B20,'5ème J.'!$BH$9:$BK$62,3,0)=0,"0",VLOOKUP(B20,'5ème J.'!$BH$9:$BK$62,3,0)))</f>
        <v>-7</v>
      </c>
      <c r="U20" s="248">
        <f>IF(ISNA(VLOOKUP(B20,'5ème J.'!$BH$9:$BK$62,4,0))," ",IF(VLOOKUP(B20,'5ème J.'!$BH$9:$BK$62,4,0)=0,"0",VLOOKUP(B20,'5ème J.'!$BH$9:$BK$62,4,0)))</f>
        <v>14</v>
      </c>
      <c r="V20" s="299"/>
      <c r="W20" s="248">
        <f>IF(ISNA(VLOOKUP(B20,'6ème J.'!$BH$9:$BK$62,2,0))," ",IF(VLOOKUP(B20,'6ème J.'!$BH$9:$BK$62,2,0)=0,"0",VLOOKUP(B20,'6ème J.'!$BH$9:$BK$62,2,0)))</f>
        <v>7</v>
      </c>
      <c r="X20" s="248" t="str">
        <f>IF(ISNA(VLOOKUP(B20,'6ème J.'!$BH$9:$BK$62,3,0))," ",IF(VLOOKUP(B20,'6ème J.'!$BH$9:$BK$62,3,0)=0,"0",VLOOKUP(B20,'6ème J.'!$BH$9:$BK$62,3,0)))</f>
        <v>0</v>
      </c>
      <c r="Y20" s="248">
        <f>IF(ISNA(VLOOKUP(B20,'6ème J.'!$BH$9:$BK$62,4,0))," ",IF(VLOOKUP(B20,'6ème J.'!$BH$9:$BK$62,4,0)=0,"0",VLOOKUP(B20,'6ème J.'!$BH$9:$BK$62,4,0)))</f>
        <v>30</v>
      </c>
      <c r="Z20" s="88"/>
      <c r="AA20" s="344" t="str">
        <f t="shared" si="0"/>
        <v>A15</v>
      </c>
      <c r="AB20" s="252">
        <f t="shared" si="5"/>
        <v>12</v>
      </c>
      <c r="AC20" s="390">
        <f t="shared" si="6"/>
        <v>-7</v>
      </c>
      <c r="AD20" s="345">
        <f t="shared" si="7"/>
        <v>44</v>
      </c>
      <c r="AE20" s="250">
        <f t="shared" si="8"/>
        <v>39.065600200000006</v>
      </c>
      <c r="AF20" s="251">
        <f>IF(AB20="","",SMALL(AE$6:AE$59,ROWS(AB$6:AB20)))</f>
        <v>11.058400430000001</v>
      </c>
      <c r="AG20" s="251"/>
      <c r="AH20" s="304">
        <f>IF(AF20="","",IF(AND(AJ19=AJ20,AK19=AK20,AL20=AL19),AH19,$AH$6+14))</f>
        <v>15</v>
      </c>
      <c r="AI20" s="252" t="str">
        <f t="shared" si="1"/>
        <v>C2</v>
      </c>
      <c r="AJ20" s="252">
        <f t="shared" si="2"/>
        <v>31</v>
      </c>
      <c r="AK20" s="333">
        <f t="shared" si="3"/>
        <v>-7</v>
      </c>
      <c r="AL20" s="309">
        <f t="shared" si="4"/>
        <v>116</v>
      </c>
      <c r="AN20" s="254">
        <v>15</v>
      </c>
    </row>
    <row r="21" spans="1:40">
      <c r="A21" s="354">
        <v>16</v>
      </c>
      <c r="B21" s="351" t="str">
        <f>+Inscrits!B18</f>
        <v>A16</v>
      </c>
      <c r="C21" s="248" t="str">
        <f>IF(ISNA(VLOOKUP(B21,'1ère J.'!$BH$9:$BK$62,2,0))," ",IF(VLOOKUP(B21,'1ère J.'!$BH$9:$BK$62,2,0)=0,"0",VLOOKUP(B21,'1ère J.'!$BH$9:$BK$62,2,0)))</f>
        <v>0</v>
      </c>
      <c r="D21" s="248" t="str">
        <f>IF(ISNA(VLOOKUP(B21,'1ère J.'!$BH$9:$BK$62,3,0))," ",IF(VLOOKUP(B21,'1ère J.'!$BH$9:$BK$62,3,0)=0,"0",VLOOKUP(B21,'1ère J.'!$BH$9:$BK$62,3,0)))</f>
        <v>0</v>
      </c>
      <c r="E21" s="248" t="str">
        <f>IF(ISNA(VLOOKUP(B21,'1ère J.'!$BH$9:$BK$62,4,0))," ",IF(VLOOKUP(B21,'1ère J.'!$BH$9:$BK$62,4,0)=0,"0",VLOOKUP(B21,'1ère J.'!$BH$9:$BK$62,4,0)))</f>
        <v>0</v>
      </c>
      <c r="F21" s="299"/>
      <c r="G21" s="248" t="str">
        <f>IF(ISNA(VLOOKUP(B21,'2ème J.'!$BH$9:$BK$62,2,0))," ",IF(VLOOKUP(B21,'2ème J.'!$BH$9:$BK$62,2,0)=0,"0",VLOOKUP(B21,'2ème J.'!$BH$9:$BK$62,2,0)))</f>
        <v>0</v>
      </c>
      <c r="H21" s="248" t="str">
        <f>IF(ISNA(VLOOKUP(B21,'2ème J.'!$BH$9:$BK$62,3,0))," ",IF(VLOOKUP(B21,'2ème J.'!$BH$9:$BK$62,3,0)=0,"0",VLOOKUP(B21,'2ème J.'!$BH$9:$BK$62,3,0)))</f>
        <v>0</v>
      </c>
      <c r="I21" s="248" t="str">
        <f>IF(ISNA(VLOOKUP(B21,'2ème J.'!$BH$9:$BK$62,4,0))," ",IF(VLOOKUP(B21,'2ème J.'!$BH$9:$BK$62,4,0)=0,"0",VLOOKUP(B21,'2ème J.'!$BH$9:$BK$62,4,0)))</f>
        <v>0</v>
      </c>
      <c r="J21" s="315"/>
      <c r="K21" s="248" t="str">
        <f>IF(ISNA(VLOOKUP(B21,'3ème J.'!$BH$9:$BK$62,2,0))," ",IF(VLOOKUP(B21,'3ème J.'!$BH$9:$BK$62,2,0)=0,"0",VLOOKUP(B21,'3ème J.'!$BH$9:$BK$62,2,0)))</f>
        <v>0</v>
      </c>
      <c r="L21" s="248" t="str">
        <f>IF(ISNA(VLOOKUP(B21,'3ème J.'!$BH$9:$BK$62,3,0))," ",IF(VLOOKUP(B21,'3ème J.'!$BH$9:$BK$62,3,0)=0,"0",VLOOKUP(B21,'3ème J.'!$BH$9:$BK$62,3,0)))</f>
        <v>0</v>
      </c>
      <c r="M21" s="248" t="str">
        <f>IF(ISNA(VLOOKUP(B21,'3ème J.'!$BH$9:$BK$62,4,0))," ",IF(VLOOKUP(B21,'3ème J.'!$BH$9:$BK$62,4,0)=0,"0",VLOOKUP(B21,'3ème J.'!$BH$9:$BK$62,4,0)))</f>
        <v>0</v>
      </c>
      <c r="N21" s="315"/>
      <c r="O21" s="248" t="str">
        <f>IF(ISNA(VLOOKUP(B21,'4ème J.'!$BH$9:$BK$62,2,0))," ",IF(VLOOKUP(B21,'4ème J.'!$BH$9:$BK$62,2,0)=0,"0",VLOOKUP(B21,'4ème J.'!$BH$9:$BK$62,2,0)))</f>
        <v>0</v>
      </c>
      <c r="P21" s="248" t="str">
        <f>IF(ISNA(VLOOKUP(B21,'4ème J.'!$BH$9:$BK$62,3,0))," ",IF(VLOOKUP(B21,'4ème J.'!$BH$9:$BK$62,3,0)=0,"0",VLOOKUP(B21,'4ème J.'!$BH$9:$BK$62,3,0)))</f>
        <v>0</v>
      </c>
      <c r="Q21" s="248" t="str">
        <f>IF(ISNA(VLOOKUP(B21,'4ème J.'!$BH$9:$BK$62,4,0))," ",IF(VLOOKUP(B21,'4ème J.'!$BH$9:$BK$62,4,0)=0,"0",VLOOKUP(B21,'4ème J.'!$BH$9:$BK$62,4,0)))</f>
        <v>0</v>
      </c>
      <c r="R21" s="299"/>
      <c r="S21" s="248" t="str">
        <f>IF(ISNA(VLOOKUP(B21,'5ème J.'!$BH$9:$BK$62,2,0))," ",IF(VLOOKUP(B21,'5ème J.'!$BH$9:$BK$62,2,0)=0,"0",VLOOKUP(B21,'5ème J.'!$BH$9:$BK$62,2,0)))</f>
        <v>0</v>
      </c>
      <c r="T21" s="248" t="str">
        <f>IF(ISNA(VLOOKUP(B21,'5ème J.'!$BH$9:$BK$62,3,0))," ",IF(VLOOKUP(B21,'5ème J.'!$BH$9:$BK$62,3,0)=0,"0",VLOOKUP(B21,'5ème J.'!$BH$9:$BK$62,3,0)))</f>
        <v>0</v>
      </c>
      <c r="U21" s="248" t="str">
        <f>IF(ISNA(VLOOKUP(B21,'5ème J.'!$BH$9:$BK$62,4,0))," ",IF(VLOOKUP(B21,'5ème J.'!$BH$9:$BK$62,4,0)=0,"0",VLOOKUP(B21,'5ème J.'!$BH$9:$BK$62,4,0)))</f>
        <v>0</v>
      </c>
      <c r="V21" s="299"/>
      <c r="W21" s="248">
        <f>IF(ISNA(VLOOKUP(B21,'6ème J.'!$BH$9:$BK$62,2,0))," ",IF(VLOOKUP(B21,'6ème J.'!$BH$9:$BK$62,2,0)=0,"0",VLOOKUP(B21,'6ème J.'!$BH$9:$BK$62,2,0)))</f>
        <v>7</v>
      </c>
      <c r="X21" s="248">
        <f>IF(ISNA(VLOOKUP(B21,'6ème J.'!$BH$9:$BK$62,3,0))," ",IF(VLOOKUP(B21,'6ème J.'!$BH$9:$BK$62,3,0)=0,"0",VLOOKUP(B21,'6ème J.'!$BH$9:$BK$62,3,0)))</f>
        <v>2</v>
      </c>
      <c r="Y21" s="248">
        <f>IF(ISNA(VLOOKUP(B21,'6ème J.'!$BH$9:$BK$62,4,0))," ",IF(VLOOKUP(B21,'6ème J.'!$BH$9:$BK$62,4,0)=0,"0",VLOOKUP(B21,'6ème J.'!$BH$9:$BK$62,4,0)))</f>
        <v>29</v>
      </c>
      <c r="Z21" s="88"/>
      <c r="AA21" s="344" t="str">
        <f t="shared" si="0"/>
        <v>A16</v>
      </c>
      <c r="AB21" s="252">
        <f t="shared" si="5"/>
        <v>7</v>
      </c>
      <c r="AC21" s="390">
        <f t="shared" si="6"/>
        <v>2</v>
      </c>
      <c r="AD21" s="345">
        <f t="shared" si="7"/>
        <v>29</v>
      </c>
      <c r="AE21" s="250">
        <f t="shared" si="8"/>
        <v>47.977100210000003</v>
      </c>
      <c r="AF21" s="251">
        <f>IF(AB21="","",SMALL(AE$6:AE$59,ROWS(AB$6:AB21)))</f>
        <v>15.941300500000001</v>
      </c>
      <c r="AG21" s="251"/>
      <c r="AH21" s="304">
        <f>IF(AF21="","",IF(AND(AJ20=AJ21,AK20=AK21,AL21=AL20),AH20,$AH$6+15))</f>
        <v>16</v>
      </c>
      <c r="AI21" s="252" t="str">
        <f t="shared" si="1"/>
        <v>C9</v>
      </c>
      <c r="AJ21" s="252">
        <f t="shared" si="2"/>
        <v>30</v>
      </c>
      <c r="AK21" s="333">
        <f t="shared" si="3"/>
        <v>5</v>
      </c>
      <c r="AL21" s="309">
        <f t="shared" si="4"/>
        <v>87</v>
      </c>
      <c r="AN21" s="254">
        <v>16</v>
      </c>
    </row>
    <row r="22" spans="1:40">
      <c r="A22" s="354">
        <v>17</v>
      </c>
      <c r="B22" s="351" t="str">
        <f>+Inscrits!B19</f>
        <v>A17</v>
      </c>
      <c r="C22" s="248" t="str">
        <f>IF(ISNA(VLOOKUP(B22,'1ère J.'!$BH$9:$BK$62,2,0))," ",IF(VLOOKUP(B22,'1ère J.'!$BH$9:$BK$62,2,0)=0,"0",VLOOKUP(B22,'1ère J.'!$BH$9:$BK$62,2,0)))</f>
        <v>0</v>
      </c>
      <c r="D22" s="248" t="str">
        <f>IF(ISNA(VLOOKUP(B22,'1ère J.'!$BH$9:$BK$62,3,0))," ",IF(VLOOKUP(B22,'1ère J.'!$BH$9:$BK$62,3,0)=0,"0",VLOOKUP(B22,'1ère J.'!$BH$9:$BK$62,3,0)))</f>
        <v>0</v>
      </c>
      <c r="E22" s="248" t="str">
        <f>IF(ISNA(VLOOKUP(B22,'1ère J.'!$BH$9:$BK$62,4,0))," ",IF(VLOOKUP(B22,'1ère J.'!$BH$9:$BK$62,4,0)=0,"0",VLOOKUP(B22,'1ère J.'!$BH$9:$BK$62,4,0)))</f>
        <v>0</v>
      </c>
      <c r="F22" s="299"/>
      <c r="G22" s="248" t="str">
        <f>IF(ISNA(VLOOKUP(B22,'2ème J.'!$BH$9:$BK$62,2,0))," ",IF(VLOOKUP(B22,'2ème J.'!$BH$9:$BK$62,2,0)=0,"0",VLOOKUP(B22,'2ème J.'!$BH$9:$BK$62,2,0)))</f>
        <v>0</v>
      </c>
      <c r="H22" s="248" t="str">
        <f>IF(ISNA(VLOOKUP(B22,'2ème J.'!$BH$9:$BK$62,3,0))," ",IF(VLOOKUP(B22,'2ème J.'!$BH$9:$BK$62,3,0)=0,"0",VLOOKUP(B22,'2ème J.'!$BH$9:$BK$62,3,0)))</f>
        <v>0</v>
      </c>
      <c r="I22" s="248" t="str">
        <f>IF(ISNA(VLOOKUP(B22,'2ème J.'!$BH$9:$BK$62,4,0))," ",IF(VLOOKUP(B22,'2ème J.'!$BH$9:$BK$62,4,0)=0,"0",VLOOKUP(B22,'2ème J.'!$BH$9:$BK$62,4,0)))</f>
        <v>0</v>
      </c>
      <c r="J22" s="315"/>
      <c r="K22" s="248" t="str">
        <f>IF(ISNA(VLOOKUP(B22,'3ème J.'!$BH$9:$BK$62,2,0))," ",IF(VLOOKUP(B22,'3ème J.'!$BH$9:$BK$62,2,0)=0,"0",VLOOKUP(B22,'3ème J.'!$BH$9:$BK$62,2,0)))</f>
        <v>0</v>
      </c>
      <c r="L22" s="248" t="str">
        <f>IF(ISNA(VLOOKUP(B22,'3ème J.'!$BH$9:$BK$62,3,0))," ",IF(VLOOKUP(B22,'3ème J.'!$BH$9:$BK$62,3,0)=0,"0",VLOOKUP(B22,'3ème J.'!$BH$9:$BK$62,3,0)))</f>
        <v>0</v>
      </c>
      <c r="M22" s="248" t="str">
        <f>IF(ISNA(VLOOKUP(B22,'3ème J.'!$BH$9:$BK$62,4,0))," ",IF(VLOOKUP(B22,'3ème J.'!$BH$9:$BK$62,4,0)=0,"0",VLOOKUP(B22,'3ème J.'!$BH$9:$BK$62,4,0)))</f>
        <v>0</v>
      </c>
      <c r="N22" s="315"/>
      <c r="O22" s="248" t="str">
        <f>IF(ISNA(VLOOKUP(B22,'4ème J.'!$BH$9:$BK$62,2,0))," ",IF(VLOOKUP(B22,'4ème J.'!$BH$9:$BK$62,2,0)=0,"0",VLOOKUP(B22,'4ème J.'!$BH$9:$BK$62,2,0)))</f>
        <v>0</v>
      </c>
      <c r="P22" s="248" t="str">
        <f>IF(ISNA(VLOOKUP(B22,'4ème J.'!$BH$9:$BK$62,3,0))," ",IF(VLOOKUP(B22,'4ème J.'!$BH$9:$BK$62,3,0)=0,"0",VLOOKUP(B22,'4ème J.'!$BH$9:$BK$62,3,0)))</f>
        <v>0</v>
      </c>
      <c r="Q22" s="248" t="str">
        <f>IF(ISNA(VLOOKUP(B22,'4ème J.'!$BH$9:$BK$62,4,0))," ",IF(VLOOKUP(B22,'4ème J.'!$BH$9:$BK$62,4,0)=0,"0",VLOOKUP(B22,'4ème J.'!$BH$9:$BK$62,4,0)))</f>
        <v>0</v>
      </c>
      <c r="R22" s="299"/>
      <c r="S22" s="248" t="str">
        <f>IF(ISNA(VLOOKUP(B22,'5ème J.'!$BH$9:$BK$62,2,0))," ",IF(VLOOKUP(B22,'5ème J.'!$BH$9:$BK$62,2,0)=0,"0",VLOOKUP(B22,'5ème J.'!$BH$9:$BK$62,2,0)))</f>
        <v>0</v>
      </c>
      <c r="T22" s="248" t="str">
        <f>IF(ISNA(VLOOKUP(B22,'5ème J.'!$BH$9:$BK$62,3,0))," ",IF(VLOOKUP(B22,'5ème J.'!$BH$9:$BK$62,3,0)=0,"0",VLOOKUP(B22,'5ème J.'!$BH$9:$BK$62,3,0)))</f>
        <v>0</v>
      </c>
      <c r="U22" s="248" t="str">
        <f>IF(ISNA(VLOOKUP(B22,'5ème J.'!$BH$9:$BK$62,4,0))," ",IF(VLOOKUP(B22,'5ème J.'!$BH$9:$BK$62,4,0)=0,"0",VLOOKUP(B22,'5ème J.'!$BH$9:$BK$62,4,0)))</f>
        <v>0</v>
      </c>
      <c r="V22" s="299"/>
      <c r="W22" s="248">
        <f>IF(ISNA(VLOOKUP(B22,'6ème J.'!$BH$9:$BK$62,2,0))," ",IF(VLOOKUP(B22,'6ème J.'!$BH$9:$BK$62,2,0)=0,"0",VLOOKUP(B22,'6ème J.'!$BH$9:$BK$62,2,0)))</f>
        <v>7</v>
      </c>
      <c r="X22" s="248">
        <f>IF(ISNA(VLOOKUP(B22,'6ème J.'!$BH$9:$BK$62,3,0))," ",IF(VLOOKUP(B22,'6ème J.'!$BH$9:$BK$62,3,0)=0,"0",VLOOKUP(B22,'6ème J.'!$BH$9:$BK$62,3,0)))</f>
        <v>17</v>
      </c>
      <c r="Y22" s="248">
        <f>IF(ISNA(VLOOKUP(B22,'6ème J.'!$BH$9:$BK$62,4,0))," ",IF(VLOOKUP(B22,'6ème J.'!$BH$9:$BK$62,4,0)=0,"0",VLOOKUP(B22,'6ème J.'!$BH$9:$BK$62,4,0)))</f>
        <v>33</v>
      </c>
      <c r="Z22" s="88"/>
      <c r="AA22" s="344" t="str">
        <f t="shared" si="0"/>
        <v>A17</v>
      </c>
      <c r="AB22" s="252">
        <f t="shared" si="5"/>
        <v>7</v>
      </c>
      <c r="AC22" s="390">
        <f t="shared" si="6"/>
        <v>17</v>
      </c>
      <c r="AD22" s="345">
        <f t="shared" si="7"/>
        <v>33</v>
      </c>
      <c r="AE22" s="250">
        <f t="shared" si="8"/>
        <v>47.826700219999992</v>
      </c>
      <c r="AF22" s="251">
        <f>IF(AB22="","",SMALL(AE$6:AE$59,ROWS(AB$6:AB22)))</f>
        <v>16.101300419999998</v>
      </c>
      <c r="AG22" s="251"/>
      <c r="AH22" s="304">
        <f>IF(AF22="","",IF(AND(AJ21=AJ22,AK21=AK22,AL22=AL21),AH21,$AH$6+16))</f>
        <v>17</v>
      </c>
      <c r="AI22" s="252" t="str">
        <f t="shared" si="1"/>
        <v>C1</v>
      </c>
      <c r="AJ22" s="252">
        <f t="shared" si="2"/>
        <v>30</v>
      </c>
      <c r="AK22" s="333">
        <f t="shared" si="3"/>
        <v>-11</v>
      </c>
      <c r="AL22" s="309">
        <f t="shared" si="4"/>
        <v>87</v>
      </c>
      <c r="AN22" s="254">
        <v>17</v>
      </c>
    </row>
    <row r="23" spans="1:40">
      <c r="A23" s="354">
        <v>18</v>
      </c>
      <c r="B23" s="351" t="str">
        <f>+Inscrits!B20</f>
        <v>A18</v>
      </c>
      <c r="C23" s="248" t="str">
        <f>IF(ISNA(VLOOKUP(B23,'1ère J.'!$BH$9:$BK$62,2,0))," ",IF(VLOOKUP(B23,'1ère J.'!$BH$9:$BK$62,2,0)=0,"0",VLOOKUP(B23,'1ère J.'!$BH$9:$BK$62,2,0)))</f>
        <v>0</v>
      </c>
      <c r="D23" s="248" t="str">
        <f>IF(ISNA(VLOOKUP(B23,'1ère J.'!$BH$9:$BK$62,3,0))," ",IF(VLOOKUP(B23,'1ère J.'!$BH$9:$BK$62,3,0)=0,"0",VLOOKUP(B23,'1ère J.'!$BH$9:$BK$62,3,0)))</f>
        <v>0</v>
      </c>
      <c r="E23" s="248" t="str">
        <f>IF(ISNA(VLOOKUP(B23,'1ère J.'!$BH$9:$BK$62,4,0))," ",IF(VLOOKUP(B23,'1ère J.'!$BH$9:$BK$62,4,0)=0,"0",VLOOKUP(B23,'1ère J.'!$BH$9:$BK$62,4,0)))</f>
        <v>0</v>
      </c>
      <c r="F23" s="299"/>
      <c r="G23" s="248" t="str">
        <f>IF(ISNA(VLOOKUP(B23,'2ème J.'!$BH$9:$BK$62,2,0))," ",IF(VLOOKUP(B23,'2ème J.'!$BH$9:$BK$62,2,0)=0,"0",VLOOKUP(B23,'2ème J.'!$BH$9:$BK$62,2,0)))</f>
        <v>0</v>
      </c>
      <c r="H23" s="248" t="str">
        <f>IF(ISNA(VLOOKUP(B23,'2ème J.'!$BH$9:$BK$62,3,0))," ",IF(VLOOKUP(B23,'2ème J.'!$BH$9:$BK$62,3,0)=0,"0",VLOOKUP(B23,'2ème J.'!$BH$9:$BK$62,3,0)))</f>
        <v>0</v>
      </c>
      <c r="I23" s="248" t="str">
        <f>IF(ISNA(VLOOKUP(B23,'2ème J.'!$BH$9:$BK$62,4,0))," ",IF(VLOOKUP(B23,'2ème J.'!$BH$9:$BK$62,4,0)=0,"0",VLOOKUP(B23,'2ème J.'!$BH$9:$BK$62,4,0)))</f>
        <v>0</v>
      </c>
      <c r="J23" s="315"/>
      <c r="K23" s="248" t="str">
        <f>IF(ISNA(VLOOKUP(B23,'3ème J.'!$BH$9:$BK$62,2,0))," ",IF(VLOOKUP(B23,'3ème J.'!$BH$9:$BK$62,2,0)=0,"0",VLOOKUP(B23,'3ème J.'!$BH$9:$BK$62,2,0)))</f>
        <v>0</v>
      </c>
      <c r="L23" s="248" t="str">
        <f>IF(ISNA(VLOOKUP(B23,'3ème J.'!$BH$9:$BK$62,3,0))," ",IF(VLOOKUP(B23,'3ème J.'!$BH$9:$BK$62,3,0)=0,"0",VLOOKUP(B23,'3ème J.'!$BH$9:$BK$62,3,0)))</f>
        <v>0</v>
      </c>
      <c r="M23" s="248" t="str">
        <f>IF(ISNA(VLOOKUP(B23,'3ème J.'!$BH$9:$BK$62,4,0))," ",IF(VLOOKUP(B23,'3ème J.'!$BH$9:$BK$62,4,0)=0,"0",VLOOKUP(B23,'3ème J.'!$BH$9:$BK$62,4,0)))</f>
        <v>0</v>
      </c>
      <c r="N23" s="315"/>
      <c r="O23" s="248" t="str">
        <f>IF(ISNA(VLOOKUP(B23,'4ème J.'!$BH$9:$BK$62,2,0))," ",IF(VLOOKUP(B23,'4ème J.'!$BH$9:$BK$62,2,0)=0,"0",VLOOKUP(B23,'4ème J.'!$BH$9:$BK$62,2,0)))</f>
        <v>0</v>
      </c>
      <c r="P23" s="248" t="str">
        <f>IF(ISNA(VLOOKUP(B23,'4ème J.'!$BH$9:$BK$62,3,0))," ",IF(VLOOKUP(B23,'4ème J.'!$BH$9:$BK$62,3,0)=0,"0",VLOOKUP(B23,'4ème J.'!$BH$9:$BK$62,3,0)))</f>
        <v>0</v>
      </c>
      <c r="Q23" s="248" t="str">
        <f>IF(ISNA(VLOOKUP(B23,'4ème J.'!$BH$9:$BK$62,4,0))," ",IF(VLOOKUP(B23,'4ème J.'!$BH$9:$BK$62,4,0)=0,"0",VLOOKUP(B23,'4ème J.'!$BH$9:$BK$62,4,0)))</f>
        <v>0</v>
      </c>
      <c r="R23" s="299"/>
      <c r="S23" s="248" t="str">
        <f>IF(ISNA(VLOOKUP(B23,'5ème J.'!$BH$9:$BK$62,2,0))," ",IF(VLOOKUP(B23,'5ème J.'!$BH$9:$BK$62,2,0)=0,"0",VLOOKUP(B23,'5ème J.'!$BH$9:$BK$62,2,0)))</f>
        <v>0</v>
      </c>
      <c r="T23" s="248" t="str">
        <f>IF(ISNA(VLOOKUP(B23,'5ème J.'!$BH$9:$BK$62,3,0))," ",IF(VLOOKUP(B23,'5ème J.'!$BH$9:$BK$62,3,0)=0,"0",VLOOKUP(B23,'5ème J.'!$BH$9:$BK$62,3,0)))</f>
        <v>0</v>
      </c>
      <c r="U23" s="248" t="str">
        <f>IF(ISNA(VLOOKUP(B23,'5ème J.'!$BH$9:$BK$62,4,0))," ",IF(VLOOKUP(B23,'5ème J.'!$BH$9:$BK$62,4,0)=0,"0",VLOOKUP(B23,'5ème J.'!$BH$9:$BK$62,4,0)))</f>
        <v>0</v>
      </c>
      <c r="V23" s="299"/>
      <c r="W23" s="248">
        <f>IF(ISNA(VLOOKUP(B23,'6ème J.'!$BH$9:$BK$62,2,0))," ",IF(VLOOKUP(B23,'6ème J.'!$BH$9:$BK$62,2,0)=0,"0",VLOOKUP(B23,'6ème J.'!$BH$9:$BK$62,2,0)))</f>
        <v>3</v>
      </c>
      <c r="X23" s="248">
        <f>IF(ISNA(VLOOKUP(B23,'6ème J.'!$BH$9:$BK$62,3,0))," ",IF(VLOOKUP(B23,'6ème J.'!$BH$9:$BK$62,3,0)=0,"0",VLOOKUP(B23,'6ème J.'!$BH$9:$BK$62,3,0)))</f>
        <v>-26</v>
      </c>
      <c r="Y23" s="248">
        <f>IF(ISNA(VLOOKUP(B23,'6ème J.'!$BH$9:$BK$62,4,0))," ",IF(VLOOKUP(B23,'6ème J.'!$BH$9:$BK$62,4,0)=0,"0",VLOOKUP(B23,'6ème J.'!$BH$9:$BK$62,4,0)))</f>
        <v>11</v>
      </c>
      <c r="Z23" s="88"/>
      <c r="AA23" s="344" t="str">
        <f t="shared" si="0"/>
        <v>A18</v>
      </c>
      <c r="AB23" s="252">
        <f t="shared" si="5"/>
        <v>3</v>
      </c>
      <c r="AC23" s="390">
        <f t="shared" si="6"/>
        <v>-26</v>
      </c>
      <c r="AD23" s="345">
        <f t="shared" si="7"/>
        <v>11</v>
      </c>
      <c r="AE23" s="250">
        <f t="shared" si="8"/>
        <v>53.258900229999995</v>
      </c>
      <c r="AF23" s="251">
        <f>IF(AB23="","",SMALL(AE$6:AE$59,ROWS(AB$6:AB23)))</f>
        <v>16.180600250000001</v>
      </c>
      <c r="AG23" s="251"/>
      <c r="AH23" s="304">
        <f>IF(AF23="","",IF(AND(AJ22=AJ23,AK22=AK23,AL23=AL22),AH22,$AH$6+17))</f>
        <v>18</v>
      </c>
      <c r="AI23" s="252" t="str">
        <f t="shared" si="1"/>
        <v>B2</v>
      </c>
      <c r="AJ23" s="252">
        <f t="shared" si="2"/>
        <v>30</v>
      </c>
      <c r="AK23" s="306">
        <f t="shared" si="3"/>
        <v>-19</v>
      </c>
      <c r="AL23" s="309">
        <f t="shared" si="4"/>
        <v>94</v>
      </c>
      <c r="AN23" s="254">
        <v>18</v>
      </c>
    </row>
    <row r="24" spans="1:40">
      <c r="A24" s="354">
        <v>19</v>
      </c>
      <c r="B24" s="351" t="str">
        <f>+Inscrits!D3</f>
        <v>B1</v>
      </c>
      <c r="C24" s="248">
        <f>IF(ISNA(VLOOKUP(B24,'1ère J.'!$BH$9:$BK$62,2,0))," ",IF(VLOOKUP(B24,'1ère J.'!$BH$9:$BK$62,2,0)=0,"0",VLOOKUP(B24,'1ère J.'!$BH$9:$BK$62,2,0)))</f>
        <v>1</v>
      </c>
      <c r="D24" s="248">
        <f>IF(ISNA(VLOOKUP(B24,'1ère J.'!$BH$9:$BK$62,3,0))," ",IF(VLOOKUP(B24,'1ère J.'!$BH$9:$BK$62,3,0)=0,"0",VLOOKUP(B24,'1ère J.'!$BH$9:$BK$62,3,0)))</f>
        <v>-1</v>
      </c>
      <c r="E24" s="248">
        <f>IF(ISNA(VLOOKUP(B24,'1ère J.'!$BH$9:$BK$62,4,0))," ",IF(VLOOKUP(B24,'1ère J.'!$BH$9:$BK$62,4,0)=0,"0",VLOOKUP(B24,'1ère J.'!$BH$9:$BK$62,4,0)))</f>
        <v>5</v>
      </c>
      <c r="F24" s="299"/>
      <c r="G24" s="248">
        <f>IF(ISNA(VLOOKUP(B24,'2ème J.'!$BH$9:$BK$62,2,0))," ",IF(VLOOKUP(B24,'2ème J.'!$BH$9:$BK$62,2,0)=0,"0",VLOOKUP(B24,'2ème J.'!$BH$9:$BK$62,2,0)))</f>
        <v>1</v>
      </c>
      <c r="H24" s="248">
        <f>IF(ISNA(VLOOKUP(B24,'2ème J.'!$BH$9:$BK$62,3,0))," ",IF(VLOOKUP(B24,'2ème J.'!$BH$9:$BK$62,3,0)=0,"0",VLOOKUP(B24,'2ème J.'!$BH$9:$BK$62,3,0)))</f>
        <v>-2</v>
      </c>
      <c r="I24" s="248">
        <f>IF(ISNA(VLOOKUP(B24,'2ème J.'!$BH$9:$BK$62,4,0))," ",IF(VLOOKUP(B24,'2ème J.'!$BH$9:$BK$62,4,0)=0,"0",VLOOKUP(B24,'2ème J.'!$BH$9:$BK$62,4,0)))</f>
        <v>8</v>
      </c>
      <c r="J24" s="315"/>
      <c r="K24" s="248">
        <f>IF(ISNA(VLOOKUP(B24,'3ème J.'!$BH$9:$BK$62,2,0))," ",IF(VLOOKUP(B24,'3ème J.'!$BH$9:$BK$62,2,0)=0,"0",VLOOKUP(B24,'3ème J.'!$BH$9:$BK$62,2,0)))</f>
        <v>5</v>
      </c>
      <c r="L24" s="248">
        <f>IF(ISNA(VLOOKUP(B24,'3ème J.'!$BH$9:$BK$62,3,0))," ",IF(VLOOKUP(B24,'3ème J.'!$BH$9:$BK$62,3,0)=0,"0",VLOOKUP(B24,'3ème J.'!$BH$9:$BK$62,3,0)))</f>
        <v>-3</v>
      </c>
      <c r="M24" s="248">
        <f>IF(ISNA(VLOOKUP(B24,'3ème J.'!$BH$9:$BK$62,4,0))," ",IF(VLOOKUP(B24,'3ème J.'!$BH$9:$BK$62,4,0)=0,"0",VLOOKUP(B24,'3ème J.'!$BH$9:$BK$62,4,0)))</f>
        <v>25</v>
      </c>
      <c r="N24" s="315"/>
      <c r="O24" s="248">
        <f>IF(ISNA(VLOOKUP(B24,'4ème J.'!$BH$9:$BK$62,2,0))," ",IF(VLOOKUP(B24,'4ème J.'!$BH$9:$BK$62,2,0)=0,"0",VLOOKUP(B24,'4ème J.'!$BH$9:$BK$62,2,0)))</f>
        <v>8</v>
      </c>
      <c r="P24" s="248">
        <f>IF(ISNA(VLOOKUP(B24,'4ème J.'!$BH$9:$BK$62,3,0))," ",IF(VLOOKUP(B24,'4ème J.'!$BH$9:$BK$62,3,0)=0,"0",VLOOKUP(B24,'4ème J.'!$BH$9:$BK$62,3,0)))</f>
        <v>2</v>
      </c>
      <c r="Q24" s="248">
        <f>IF(ISNA(VLOOKUP(B24,'4ème J.'!$BH$9:$BK$62,4,0))," ",IF(VLOOKUP(B24,'4ème J.'!$BH$9:$BK$62,4,0)=0,"0",VLOOKUP(B24,'4ème J.'!$BH$9:$BK$62,4,0)))</f>
        <v>8</v>
      </c>
      <c r="R24" s="299"/>
      <c r="S24" s="248">
        <f>IF(ISNA(VLOOKUP(B24,'5ème J.'!$BH$9:$BK$62,2,0))," ",IF(VLOOKUP(B24,'5ème J.'!$BH$9:$BK$62,2,0)=0,"0",VLOOKUP(B24,'5ème J.'!$BH$9:$BK$62,2,0)))</f>
        <v>9</v>
      </c>
      <c r="T24" s="248">
        <f>IF(ISNA(VLOOKUP(B24,'5ème J.'!$BH$9:$BK$62,3,0))," ",IF(VLOOKUP(B24,'5ème J.'!$BH$9:$BK$62,3,0)=0,"0",VLOOKUP(B24,'5ème J.'!$BH$9:$BK$62,3,0)))</f>
        <v>17</v>
      </c>
      <c r="U24" s="248">
        <f>IF(ISNA(VLOOKUP(B24,'5ème J.'!$BH$9:$BK$62,4,0))," ",IF(VLOOKUP(B24,'5ème J.'!$BH$9:$BK$62,4,0)=0,"0",VLOOKUP(B24,'5ème J.'!$BH$9:$BK$62,4,0)))</f>
        <v>29</v>
      </c>
      <c r="V24" s="299"/>
      <c r="W24" s="248">
        <f>IF(ISNA(VLOOKUP(B24,'6ème J.'!$BH$9:$BK$62,2,0))," ",IF(VLOOKUP(B24,'6ème J.'!$BH$9:$BK$62,2,0)=0,"0",VLOOKUP(B24,'6ème J.'!$BH$9:$BK$62,2,0)))</f>
        <v>5</v>
      </c>
      <c r="X24" s="248">
        <f>IF(ISNA(VLOOKUP(B24,'6ème J.'!$BH$9:$BK$62,3,0))," ",IF(VLOOKUP(B24,'6ème J.'!$BH$9:$BK$62,3,0)=0,"0",VLOOKUP(B24,'6ème J.'!$BH$9:$BK$62,3,0)))</f>
        <v>1</v>
      </c>
      <c r="Y24" s="248">
        <f>IF(ISNA(VLOOKUP(B24,'6ème J.'!$BH$9:$BK$62,4,0))," ",IF(VLOOKUP(B24,'6ème J.'!$BH$9:$BK$62,4,0)=0,"0",VLOOKUP(B24,'6ème J.'!$BH$9:$BK$62,4,0)))</f>
        <v>23</v>
      </c>
      <c r="Z24" s="88"/>
      <c r="AA24" s="344" t="str">
        <f t="shared" si="0"/>
        <v>B1</v>
      </c>
      <c r="AB24" s="252">
        <f t="shared" si="5"/>
        <v>29</v>
      </c>
      <c r="AC24" s="390">
        <f t="shared" si="6"/>
        <v>14</v>
      </c>
      <c r="AD24" s="345">
        <f t="shared" si="7"/>
        <v>98</v>
      </c>
      <c r="AE24" s="250">
        <f t="shared" si="8"/>
        <v>18.850200239999999</v>
      </c>
      <c r="AF24" s="251">
        <f>IF(AB24="","",SMALL(AE$6:AE$59,ROWS(AB$6:AB24)))</f>
        <v>18.850200239999999</v>
      </c>
      <c r="AG24" s="251"/>
      <c r="AH24" s="304">
        <f>IF(AF24="","",IF(AND(AJ23=AJ24,AK23=AK24,AL24=AL23),AH23,$AH$6+18))</f>
        <v>19</v>
      </c>
      <c r="AI24" s="252" t="str">
        <f t="shared" si="1"/>
        <v>B1</v>
      </c>
      <c r="AJ24" s="252">
        <f t="shared" si="2"/>
        <v>29</v>
      </c>
      <c r="AK24" s="306">
        <f t="shared" si="3"/>
        <v>14</v>
      </c>
      <c r="AL24" s="309">
        <f t="shared" si="4"/>
        <v>98</v>
      </c>
      <c r="AN24" s="254">
        <v>19</v>
      </c>
    </row>
    <row r="25" spans="1:40">
      <c r="A25" s="354">
        <v>20</v>
      </c>
      <c r="B25" s="351" t="str">
        <f>+Inscrits!D4</f>
        <v>B2</v>
      </c>
      <c r="C25" s="248">
        <f>IF(ISNA(VLOOKUP(B25,'1ère J.'!$BH$9:$BK$62,2,0))," ",IF(VLOOKUP(B25,'1ère J.'!$BH$9:$BK$62,2,0)=0,"0",VLOOKUP(B25,'1ère J.'!$BH$9:$BK$62,2,0)))</f>
        <v>3</v>
      </c>
      <c r="D25" s="248">
        <f>IF(ISNA(VLOOKUP(B25,'1ère J.'!$BH$9:$BK$62,3,0))," ",IF(VLOOKUP(B25,'1ère J.'!$BH$9:$BK$62,3,0)=0,"0",VLOOKUP(B25,'1ère J.'!$BH$9:$BK$62,3,0)))</f>
        <v>1</v>
      </c>
      <c r="E25" s="248">
        <f>IF(ISNA(VLOOKUP(B25,'1ère J.'!$BH$9:$BK$62,4,0))," ",IF(VLOOKUP(B25,'1ère J.'!$BH$9:$BK$62,4,0)=0,"0",VLOOKUP(B25,'1ère J.'!$BH$9:$BK$62,4,0)))</f>
        <v>6</v>
      </c>
      <c r="F25" s="299"/>
      <c r="G25" s="248">
        <f>IF(ISNA(VLOOKUP(B25,'2ème J.'!$BH$9:$BK$62,2,0))," ",IF(VLOOKUP(B25,'2ème J.'!$BH$9:$BK$62,2,0)=0,"0",VLOOKUP(B25,'2ème J.'!$BH$9:$BK$62,2,0)))</f>
        <v>6</v>
      </c>
      <c r="H25" s="248">
        <f>IF(ISNA(VLOOKUP(B25,'2ème J.'!$BH$9:$BK$62,3,0))," ",IF(VLOOKUP(B25,'2ème J.'!$BH$9:$BK$62,3,0)=0,"0",VLOOKUP(B25,'2ème J.'!$BH$9:$BK$62,3,0)))</f>
        <v>4</v>
      </c>
      <c r="I25" s="248">
        <f>IF(ISNA(VLOOKUP(B25,'2ème J.'!$BH$9:$BK$62,4,0))," ",IF(VLOOKUP(B25,'2ème J.'!$BH$9:$BK$62,4,0)=0,"0",VLOOKUP(B25,'2ème J.'!$BH$9:$BK$62,4,0)))</f>
        <v>16</v>
      </c>
      <c r="J25" s="315"/>
      <c r="K25" s="248">
        <f>IF(ISNA(VLOOKUP(B25,'3ème J.'!$BH$9:$BK$62,2,0))," ",IF(VLOOKUP(B25,'3ème J.'!$BH$9:$BK$62,2,0)=0,"0",VLOOKUP(B25,'3ème J.'!$BH$9:$BK$62,2,0)))</f>
        <v>7</v>
      </c>
      <c r="L25" s="248">
        <f>IF(ISNA(VLOOKUP(B25,'3ème J.'!$BH$9:$BK$62,3,0))," ",IF(VLOOKUP(B25,'3ème J.'!$BH$9:$BK$62,3,0)=0,"0",VLOOKUP(B25,'3ème J.'!$BH$9:$BK$62,3,0)))</f>
        <v>2</v>
      </c>
      <c r="M25" s="248">
        <f>IF(ISNA(VLOOKUP(B25,'3ème J.'!$BH$9:$BK$62,4,0))," ",IF(VLOOKUP(B25,'3ème J.'!$BH$9:$BK$62,4,0)=0,"0",VLOOKUP(B25,'3ème J.'!$BH$9:$BK$62,4,0)))</f>
        <v>27</v>
      </c>
      <c r="N25" s="315"/>
      <c r="O25" s="248">
        <f>IF(ISNA(VLOOKUP(B25,'4ème J.'!$BH$9:$BK$62,2,0))," ",IF(VLOOKUP(B25,'4ème J.'!$BH$9:$BK$62,2,0)=0,"0",VLOOKUP(B25,'4ème J.'!$BH$9:$BK$62,2,0)))</f>
        <v>4</v>
      </c>
      <c r="P25" s="248">
        <f>IF(ISNA(VLOOKUP(B25,'4ème J.'!$BH$9:$BK$62,3,0))," ",IF(VLOOKUP(B25,'4ème J.'!$BH$9:$BK$62,3,0)=0,"0",VLOOKUP(B25,'4ème J.'!$BH$9:$BK$62,3,0)))</f>
        <v>-8</v>
      </c>
      <c r="Q25" s="248">
        <f>IF(ISNA(VLOOKUP(B25,'4ème J.'!$BH$9:$BK$62,4,0))," ",IF(VLOOKUP(B25,'4ème J.'!$BH$9:$BK$62,4,0)=0,"0",VLOOKUP(B25,'4ème J.'!$BH$9:$BK$62,4,0)))</f>
        <v>11</v>
      </c>
      <c r="R25" s="299"/>
      <c r="S25" s="248">
        <f>IF(ISNA(VLOOKUP(B25,'5ème J.'!$BH$9:$BK$62,2,0))," ",IF(VLOOKUP(B25,'5ème J.'!$BH$9:$BK$62,2,0)=0,"0",VLOOKUP(B25,'5ème J.'!$BH$9:$BK$62,2,0)))</f>
        <v>3</v>
      </c>
      <c r="T25" s="248">
        <f>IF(ISNA(VLOOKUP(B25,'5ème J.'!$BH$9:$BK$62,3,0))," ",IF(VLOOKUP(B25,'5ème J.'!$BH$9:$BK$62,3,0)=0,"0",VLOOKUP(B25,'5ème J.'!$BH$9:$BK$62,3,0)))</f>
        <v>-17</v>
      </c>
      <c r="U25" s="248">
        <f>IF(ISNA(VLOOKUP(B25,'5ème J.'!$BH$9:$BK$62,4,0))," ",IF(VLOOKUP(B25,'5ème J.'!$BH$9:$BK$62,4,0)=0,"0",VLOOKUP(B25,'5ème J.'!$BH$9:$BK$62,4,0)))</f>
        <v>12</v>
      </c>
      <c r="V25" s="299"/>
      <c r="W25" s="248">
        <f>IF(ISNA(VLOOKUP(B25,'6ème J.'!$BH$9:$BK$62,2,0))," ",IF(VLOOKUP(B25,'6ème J.'!$BH$9:$BK$62,2,0)=0,"0",VLOOKUP(B25,'6ème J.'!$BH$9:$BK$62,2,0)))</f>
        <v>7</v>
      </c>
      <c r="X25" s="248">
        <f>IF(ISNA(VLOOKUP(B25,'6ème J.'!$BH$9:$BK$62,3,0))," ",IF(VLOOKUP(B25,'6ème J.'!$BH$9:$BK$62,3,0)=0,"0",VLOOKUP(B25,'6ème J.'!$BH$9:$BK$62,3,0)))</f>
        <v>-1</v>
      </c>
      <c r="Y25" s="248">
        <f>IF(ISNA(VLOOKUP(B25,'6ème J.'!$BH$9:$BK$62,4,0))," ",IF(VLOOKUP(B25,'6ème J.'!$BH$9:$BK$62,4,0)=0,"0",VLOOKUP(B25,'6ème J.'!$BH$9:$BK$62,4,0)))</f>
        <v>22</v>
      </c>
      <c r="Z25" s="88"/>
      <c r="AA25" s="344" t="str">
        <f t="shared" si="0"/>
        <v>B2</v>
      </c>
      <c r="AB25" s="252">
        <f t="shared" si="5"/>
        <v>30</v>
      </c>
      <c r="AC25" s="390">
        <f t="shared" si="6"/>
        <v>-19</v>
      </c>
      <c r="AD25" s="345">
        <f t="shared" si="7"/>
        <v>94</v>
      </c>
      <c r="AE25" s="250">
        <f t="shared" si="8"/>
        <v>16.180600250000001</v>
      </c>
      <c r="AF25" s="251">
        <f>IF(AB25="","",SMALL(AE$6:AE$59,ROWS(AB$6:AB25)))</f>
        <v>19.909300060000003</v>
      </c>
      <c r="AG25" s="251"/>
      <c r="AH25" s="304">
        <f>IF(AF25="","",IF(AND(AJ24=AJ25,AK24=AK25,AL25=AL24),AH24,$AH$6+19))</f>
        <v>20</v>
      </c>
      <c r="AI25" s="252" t="str">
        <f t="shared" si="1"/>
        <v>A1</v>
      </c>
      <c r="AJ25" s="252">
        <f t="shared" si="2"/>
        <v>28</v>
      </c>
      <c r="AK25" s="306">
        <f t="shared" si="3"/>
        <v>8</v>
      </c>
      <c r="AL25" s="309">
        <f t="shared" si="4"/>
        <v>107</v>
      </c>
      <c r="AN25" s="254">
        <v>20</v>
      </c>
    </row>
    <row r="26" spans="1:40">
      <c r="A26" s="354">
        <v>21</v>
      </c>
      <c r="B26" s="351" t="str">
        <f>+Inscrits!D5</f>
        <v>B3</v>
      </c>
      <c r="C26" s="248">
        <f>IF(ISNA(VLOOKUP(B26,'1ère J.'!$BH$9:$BK$62,2,0))," ",IF(VLOOKUP(B26,'1ère J.'!$BH$9:$BK$62,2,0)=0,"0",VLOOKUP(B26,'1ère J.'!$BH$9:$BK$62,2,0)))</f>
        <v>4</v>
      </c>
      <c r="D26" s="248">
        <f>IF(ISNA(VLOOKUP(B26,'1ère J.'!$BH$9:$BK$62,3,0))," ",IF(VLOOKUP(B26,'1ère J.'!$BH$9:$BK$62,3,0)=0,"0",VLOOKUP(B26,'1ère J.'!$BH$9:$BK$62,3,0)))</f>
        <v>1</v>
      </c>
      <c r="E26" s="248">
        <f>IF(ISNA(VLOOKUP(B26,'1ère J.'!$BH$9:$BK$62,4,0))," ",IF(VLOOKUP(B26,'1ère J.'!$BH$9:$BK$62,4,0)=0,"0",VLOOKUP(B26,'1ère J.'!$BH$9:$BK$62,4,0)))</f>
        <v>17</v>
      </c>
      <c r="F26" s="299"/>
      <c r="G26" s="248">
        <f>IF(ISNA(VLOOKUP(B26,'2ème J.'!$BH$9:$BK$62,2,0))," ",IF(VLOOKUP(B26,'2ème J.'!$BH$9:$BK$62,2,0)=0,"0",VLOOKUP(B26,'2ème J.'!$BH$9:$BK$62,2,0)))</f>
        <v>5</v>
      </c>
      <c r="H26" s="248">
        <f>IF(ISNA(VLOOKUP(B26,'2ème J.'!$BH$9:$BK$62,3,0))," ",IF(VLOOKUP(B26,'2ème J.'!$BH$9:$BK$62,3,0)=0,"0",VLOOKUP(B26,'2ème J.'!$BH$9:$BK$62,3,0)))</f>
        <v>6</v>
      </c>
      <c r="I26" s="248">
        <f>IF(ISNA(VLOOKUP(B26,'2ème J.'!$BH$9:$BK$62,4,0))," ",IF(VLOOKUP(B26,'2ème J.'!$BH$9:$BK$62,4,0)=0,"0",VLOOKUP(B26,'2ème J.'!$BH$9:$BK$62,4,0)))</f>
        <v>25</v>
      </c>
      <c r="J26" s="315"/>
      <c r="K26" s="248">
        <f>IF(ISNA(VLOOKUP(B26,'3ème J.'!$BH$9:$BK$62,2,0))," ",IF(VLOOKUP(B26,'3ème J.'!$BH$9:$BK$62,2,0)=0,"0",VLOOKUP(B26,'3ème J.'!$BH$9:$BK$62,2,0)))</f>
        <v>9</v>
      </c>
      <c r="L26" s="248">
        <f>IF(ISNA(VLOOKUP(B26,'3ème J.'!$BH$9:$BK$62,3,0))," ",IF(VLOOKUP(B26,'3ème J.'!$BH$9:$BK$62,3,0)=0,"0",VLOOKUP(B26,'3ème J.'!$BH$9:$BK$62,3,0)))</f>
        <v>15</v>
      </c>
      <c r="M26" s="248">
        <f>IF(ISNA(VLOOKUP(B26,'3ème J.'!$BH$9:$BK$62,4,0))," ",IF(VLOOKUP(B26,'3ème J.'!$BH$9:$BK$62,4,0)=0,"0",VLOOKUP(B26,'3ème J.'!$BH$9:$BK$62,4,0)))</f>
        <v>30</v>
      </c>
      <c r="N26" s="315"/>
      <c r="O26" s="248">
        <f>IF(ISNA(VLOOKUP(B26,'4ème J.'!$BH$9:$BK$62,2,0))," ",IF(VLOOKUP(B26,'4ème J.'!$BH$9:$BK$62,2,0)=0,"0",VLOOKUP(B26,'4ème J.'!$BH$9:$BK$62,2,0)))</f>
        <v>7</v>
      </c>
      <c r="P26" s="248">
        <f>IF(ISNA(VLOOKUP(B26,'4ème J.'!$BH$9:$BK$62,3,0))," ",IF(VLOOKUP(B26,'4ème J.'!$BH$9:$BK$62,3,0)=0,"0",VLOOKUP(B26,'4ème J.'!$BH$9:$BK$62,3,0)))</f>
        <v>3</v>
      </c>
      <c r="Q26" s="248">
        <f>IF(ISNA(VLOOKUP(B26,'4ème J.'!$BH$9:$BK$62,4,0))," ",IF(VLOOKUP(B26,'4ème J.'!$BH$9:$BK$62,4,0)=0,"0",VLOOKUP(B26,'4ème J.'!$BH$9:$BK$62,4,0)))</f>
        <v>18</v>
      </c>
      <c r="R26" s="299"/>
      <c r="S26" s="248">
        <f>IF(ISNA(VLOOKUP(B26,'5ème J.'!$BH$9:$BK$62,2,0))," ",IF(VLOOKUP(B26,'5ème J.'!$BH$9:$BK$62,2,0)=0,"0",VLOOKUP(B26,'5ème J.'!$BH$9:$BK$62,2,0)))</f>
        <v>5</v>
      </c>
      <c r="T26" s="248">
        <f>IF(ISNA(VLOOKUP(B26,'5ème J.'!$BH$9:$BK$62,3,0))," ",IF(VLOOKUP(B26,'5ème J.'!$BH$9:$BK$62,3,0)=0,"0",VLOOKUP(B26,'5ème J.'!$BH$9:$BK$62,3,0)))</f>
        <v>-2</v>
      </c>
      <c r="U26" s="248">
        <f>IF(ISNA(VLOOKUP(B26,'5ème J.'!$BH$9:$BK$62,4,0))," ",IF(VLOOKUP(B26,'5ème J.'!$BH$9:$BK$62,4,0)=0,"0",VLOOKUP(B26,'5ème J.'!$BH$9:$BK$62,4,0)))</f>
        <v>19</v>
      </c>
      <c r="V26" s="299"/>
      <c r="W26" s="248">
        <f>IF(ISNA(VLOOKUP(B26,'6ème J.'!$BH$9:$BK$62,2,0))," ",IF(VLOOKUP(B26,'6ème J.'!$BH$9:$BK$62,2,0)=0,"0",VLOOKUP(B26,'6ème J.'!$BH$9:$BK$62,2,0)))</f>
        <v>7</v>
      </c>
      <c r="X26" s="248" t="str">
        <f>IF(ISNA(VLOOKUP(B26,'6ème J.'!$BH$9:$BK$62,3,0))," ",IF(VLOOKUP(B26,'6ème J.'!$BH$9:$BK$62,3,0)=0,"0",VLOOKUP(B26,'6ème J.'!$BH$9:$BK$62,3,0)))</f>
        <v>0</v>
      </c>
      <c r="Y26" s="248">
        <f>IF(ISNA(VLOOKUP(B26,'6ème J.'!$BH$9:$BK$62,4,0))," ",IF(VLOOKUP(B26,'6ème J.'!$BH$9:$BK$62,4,0)=0,"0",VLOOKUP(B26,'6ème J.'!$BH$9:$BK$62,4,0)))</f>
        <v>29</v>
      </c>
      <c r="Z26" s="88"/>
      <c r="AA26" s="344" t="str">
        <f t="shared" si="0"/>
        <v>B3</v>
      </c>
      <c r="AB26" s="252">
        <f t="shared" si="5"/>
        <v>37</v>
      </c>
      <c r="AC26" s="390">
        <f t="shared" si="6"/>
        <v>23</v>
      </c>
      <c r="AD26" s="345">
        <f t="shared" si="7"/>
        <v>138</v>
      </c>
      <c r="AE26" s="250">
        <f t="shared" si="8"/>
        <v>4.75620026</v>
      </c>
      <c r="AF26" s="251">
        <f>IF(AB26="","",SMALL(AE$6:AE$59,ROWS(AB$6:AB26)))</f>
        <v>20.18240012</v>
      </c>
      <c r="AG26" s="251"/>
      <c r="AH26" s="304">
        <f>IF(AF26="","",IF(AND(AJ25=AJ26,AK25=AK26,AL26=AL25),AH25,$AH$6+20))</f>
        <v>21</v>
      </c>
      <c r="AI26" s="252" t="str">
        <f t="shared" si="1"/>
        <v>A7</v>
      </c>
      <c r="AJ26" s="252">
        <f t="shared" si="2"/>
        <v>28</v>
      </c>
      <c r="AK26" s="306">
        <f t="shared" si="3"/>
        <v>-19</v>
      </c>
      <c r="AL26" s="309">
        <f t="shared" si="4"/>
        <v>76</v>
      </c>
      <c r="AN26" s="254">
        <v>21</v>
      </c>
    </row>
    <row r="27" spans="1:40">
      <c r="A27" s="354">
        <v>22</v>
      </c>
      <c r="B27" s="351" t="str">
        <f>+Inscrits!D6</f>
        <v>B4</v>
      </c>
      <c r="C27" s="248">
        <f>IF(ISNA(VLOOKUP(B27,'1ère J.'!$BH$9:$BK$62,2,0))," ",IF(VLOOKUP(B27,'1ère J.'!$BH$9:$BK$62,2,0)=0,"0",VLOOKUP(B27,'1ère J.'!$BH$9:$BK$62,2,0)))</f>
        <v>4</v>
      </c>
      <c r="D27" s="248">
        <f>IF(ISNA(VLOOKUP(B27,'1ère J.'!$BH$9:$BK$62,3,0))," ",IF(VLOOKUP(B27,'1ère J.'!$BH$9:$BK$62,3,0)=0,"0",VLOOKUP(B27,'1ère J.'!$BH$9:$BK$62,3,0)))</f>
        <v>-1</v>
      </c>
      <c r="E27" s="248">
        <f>IF(ISNA(VLOOKUP(B27,'1ère J.'!$BH$9:$BK$62,4,0))," ",IF(VLOOKUP(B27,'1ère J.'!$BH$9:$BK$62,4,0)=0,"0",VLOOKUP(B27,'1ère J.'!$BH$9:$BK$62,4,0)))</f>
        <v>16</v>
      </c>
      <c r="F27" s="299"/>
      <c r="G27" s="248">
        <f>IF(ISNA(VLOOKUP(B27,'2ème J.'!$BH$9:$BK$62,2,0))," ",IF(VLOOKUP(B27,'2ème J.'!$BH$9:$BK$62,2,0)=0,"0",VLOOKUP(B27,'2ème J.'!$BH$9:$BK$62,2,0)))</f>
        <v>7</v>
      </c>
      <c r="H27" s="248">
        <f>IF(ISNA(VLOOKUP(B27,'2ème J.'!$BH$9:$BK$62,3,0))," ",IF(VLOOKUP(B27,'2ème J.'!$BH$9:$BK$62,3,0)=0,"0",VLOOKUP(B27,'2ème J.'!$BH$9:$BK$62,3,0)))</f>
        <v>4</v>
      </c>
      <c r="I27" s="248">
        <f>IF(ISNA(VLOOKUP(B27,'2ème J.'!$BH$9:$BK$62,4,0))," ",IF(VLOOKUP(B27,'2ème J.'!$BH$9:$BK$62,4,0)=0,"0",VLOOKUP(B27,'2ème J.'!$BH$9:$BK$62,4,0)))</f>
        <v>26</v>
      </c>
      <c r="J27" s="315"/>
      <c r="K27" s="248">
        <f>IF(ISNA(VLOOKUP(B27,'3ème J.'!$BH$9:$BK$62,2,0))," ",IF(VLOOKUP(B27,'3ème J.'!$BH$9:$BK$62,2,0)=0,"0",VLOOKUP(B27,'3ème J.'!$BH$9:$BK$62,2,0)))</f>
        <v>3</v>
      </c>
      <c r="L27" s="248">
        <f>IF(ISNA(VLOOKUP(B27,'3ème J.'!$BH$9:$BK$62,3,0))," ",IF(VLOOKUP(B27,'3ème J.'!$BH$9:$BK$62,3,0)=0,"0",VLOOKUP(B27,'3ème J.'!$BH$9:$BK$62,3,0)))</f>
        <v>-10</v>
      </c>
      <c r="M27" s="248">
        <f>IF(ISNA(VLOOKUP(B27,'3ème J.'!$BH$9:$BK$62,4,0))," ",IF(VLOOKUP(B27,'3ème J.'!$BH$9:$BK$62,4,0)=0,"0",VLOOKUP(B27,'3ème J.'!$BH$9:$BK$62,4,0)))</f>
        <v>19</v>
      </c>
      <c r="N27" s="315"/>
      <c r="O27" s="248">
        <f>IF(ISNA(VLOOKUP(B27,'4ème J.'!$BH$9:$BK$62,2,0))," ",IF(VLOOKUP(B27,'4ème J.'!$BH$9:$BK$62,2,0)=0,"0",VLOOKUP(B27,'4ème J.'!$BH$9:$BK$62,2,0)))</f>
        <v>5</v>
      </c>
      <c r="P27" s="248">
        <f>IF(ISNA(VLOOKUP(B27,'4ème J.'!$BH$9:$BK$62,3,0))," ",IF(VLOOKUP(B27,'4ème J.'!$BH$9:$BK$62,3,0)=0,"0",VLOOKUP(B27,'4ème J.'!$BH$9:$BK$62,3,0)))</f>
        <v>-1</v>
      </c>
      <c r="Q27" s="248">
        <f>IF(ISNA(VLOOKUP(B27,'4ème J.'!$BH$9:$BK$62,4,0))," ",IF(VLOOKUP(B27,'4ème J.'!$BH$9:$BK$62,4,0)=0,"0",VLOOKUP(B27,'4ème J.'!$BH$9:$BK$62,4,0)))</f>
        <v>19</v>
      </c>
      <c r="R27" s="299"/>
      <c r="S27" s="248">
        <f>IF(ISNA(VLOOKUP(B27,'5ème J.'!$BH$9:$BK$62,2,0))," ",IF(VLOOKUP(B27,'5ème J.'!$BH$9:$BK$62,2,0)=0,"0",VLOOKUP(B27,'5ème J.'!$BH$9:$BK$62,2,0)))</f>
        <v>7</v>
      </c>
      <c r="T27" s="248">
        <f>IF(ISNA(VLOOKUP(B27,'5ème J.'!$BH$9:$BK$62,3,0))," ",IF(VLOOKUP(B27,'5ème J.'!$BH$9:$BK$62,3,0)=0,"0",VLOOKUP(B27,'5ème J.'!$BH$9:$BK$62,3,0)))</f>
        <v>2</v>
      </c>
      <c r="U27" s="248">
        <f>IF(ISNA(VLOOKUP(B27,'5ème J.'!$BH$9:$BK$62,4,0))," ",IF(VLOOKUP(B27,'5ème J.'!$BH$9:$BK$62,4,0)=0,"0",VLOOKUP(B27,'5ème J.'!$BH$9:$BK$62,4,0)))</f>
        <v>21</v>
      </c>
      <c r="V27" s="299"/>
      <c r="W27" s="248">
        <f>IF(ISNA(VLOOKUP(B27,'6ème J.'!$BH$9:$BK$62,2,0))," ",IF(VLOOKUP(B27,'6ème J.'!$BH$9:$BK$62,2,0)=0,"0",VLOOKUP(B27,'6ème J.'!$BH$9:$BK$62,2,0)))</f>
        <v>5</v>
      </c>
      <c r="X27" s="248" t="str">
        <f>IF(ISNA(VLOOKUP(B27,'6ème J.'!$BH$9:$BK$62,3,0))," ",IF(VLOOKUP(B27,'6ème J.'!$BH$9:$BK$62,3,0)=0,"0",VLOOKUP(B27,'6ème J.'!$BH$9:$BK$62,3,0)))</f>
        <v>0</v>
      </c>
      <c r="Y27" s="248">
        <f>IF(ISNA(VLOOKUP(B27,'6ème J.'!$BH$9:$BK$62,4,0))," ",IF(VLOOKUP(B27,'6ème J.'!$BH$9:$BK$62,4,0)=0,"0",VLOOKUP(B27,'6ème J.'!$BH$9:$BK$62,4,0)))</f>
        <v>29</v>
      </c>
      <c r="Z27" s="88"/>
      <c r="AA27" s="344" t="str">
        <f t="shared" si="0"/>
        <v>B4</v>
      </c>
      <c r="AB27" s="252">
        <f t="shared" si="5"/>
        <v>31</v>
      </c>
      <c r="AC27" s="390">
        <f t="shared" si="6"/>
        <v>-6</v>
      </c>
      <c r="AD27" s="345">
        <f t="shared" si="7"/>
        <v>130</v>
      </c>
      <c r="AE27" s="250">
        <f t="shared" si="8"/>
        <v>11.04700027</v>
      </c>
      <c r="AF27" s="251">
        <f>IF(AB27="","",SMALL(AE$6:AE$59,ROWS(AB$6:AB27)))</f>
        <v>21.843700140000003</v>
      </c>
      <c r="AG27" s="251"/>
      <c r="AH27" s="304">
        <f>IF(AF27="","",IF(AND(AJ26=AJ27,AK26=AK27,AL27=AL26),AH26,$AH$6+21))</f>
        <v>22</v>
      </c>
      <c r="AI27" s="252" t="str">
        <f t="shared" si="1"/>
        <v>A9</v>
      </c>
      <c r="AJ27" s="252">
        <f t="shared" si="2"/>
        <v>26</v>
      </c>
      <c r="AK27" s="306">
        <f t="shared" si="3"/>
        <v>15</v>
      </c>
      <c r="AL27" s="309">
        <f t="shared" si="4"/>
        <v>63</v>
      </c>
      <c r="AN27" s="254">
        <v>22</v>
      </c>
    </row>
    <row r="28" spans="1:40">
      <c r="A28" s="354">
        <v>23</v>
      </c>
      <c r="B28" s="351" t="str">
        <f>+Inscrits!D7</f>
        <v>B5</v>
      </c>
      <c r="C28" s="248">
        <f>IF(ISNA(VLOOKUP(B28,'1ère J.'!$BH$9:$BK$62,2,0))," ",IF(VLOOKUP(B28,'1ère J.'!$BH$9:$BK$62,2,0)=0,"0",VLOOKUP(B28,'1ère J.'!$BH$9:$BK$62,2,0)))</f>
        <v>2</v>
      </c>
      <c r="D28" s="248">
        <f>IF(ISNA(VLOOKUP(B28,'1ère J.'!$BH$9:$BK$62,3,0))," ",IF(VLOOKUP(B28,'1ère J.'!$BH$9:$BK$62,3,0)=0,"0",VLOOKUP(B28,'1ère J.'!$BH$9:$BK$62,3,0)))</f>
        <v>-8</v>
      </c>
      <c r="E28" s="248">
        <f>IF(ISNA(VLOOKUP(B28,'1ère J.'!$BH$9:$BK$62,4,0))," ",IF(VLOOKUP(B28,'1ère J.'!$BH$9:$BK$62,4,0)=0,"0",VLOOKUP(B28,'1ère J.'!$BH$9:$BK$62,4,0)))</f>
        <v>9</v>
      </c>
      <c r="F28" s="299"/>
      <c r="G28" s="248">
        <f>IF(ISNA(VLOOKUP(B28,'2ème J.'!$BH$9:$BK$62,2,0))," ",IF(VLOOKUP(B28,'2ème J.'!$BH$9:$BK$62,2,0)=0,"0",VLOOKUP(B28,'2ème J.'!$BH$9:$BK$62,2,0)))</f>
        <v>7</v>
      </c>
      <c r="H28" s="248">
        <f>IF(ISNA(VLOOKUP(B28,'2ème J.'!$BH$9:$BK$62,3,0))," ",IF(VLOOKUP(B28,'2ème J.'!$BH$9:$BK$62,3,0)=0,"0",VLOOKUP(B28,'2ème J.'!$BH$9:$BK$62,3,0)))</f>
        <v>5</v>
      </c>
      <c r="I28" s="248">
        <f>IF(ISNA(VLOOKUP(B28,'2ème J.'!$BH$9:$BK$62,4,0))," ",IF(VLOOKUP(B28,'2ème J.'!$BH$9:$BK$62,4,0)=0,"0",VLOOKUP(B28,'2ème J.'!$BH$9:$BK$62,4,0)))</f>
        <v>24</v>
      </c>
      <c r="J28" s="315"/>
      <c r="K28" s="248">
        <f>IF(ISNA(VLOOKUP(B28,'3ème J.'!$BH$9:$BK$62,2,0))," ",IF(VLOOKUP(B28,'3ème J.'!$BH$9:$BK$62,2,0)=0,"0",VLOOKUP(B28,'3ème J.'!$BH$9:$BK$62,2,0)))</f>
        <v>5</v>
      </c>
      <c r="L28" s="248">
        <f>IF(ISNA(VLOOKUP(B28,'3ème J.'!$BH$9:$BK$62,3,0))," ",IF(VLOOKUP(B28,'3ème J.'!$BH$9:$BK$62,3,0)=0,"0",VLOOKUP(B28,'3ème J.'!$BH$9:$BK$62,3,0)))</f>
        <v>-11</v>
      </c>
      <c r="M28" s="248">
        <f>IF(ISNA(VLOOKUP(B28,'3ème J.'!$BH$9:$BK$62,4,0))," ",IF(VLOOKUP(B28,'3ème J.'!$BH$9:$BK$62,4,0)=0,"0",VLOOKUP(B28,'3ème J.'!$BH$9:$BK$62,4,0)))</f>
        <v>16</v>
      </c>
      <c r="N28" s="315"/>
      <c r="O28" s="248">
        <f>IF(ISNA(VLOOKUP(B28,'4ème J.'!$BH$9:$BK$62,2,0))," ",IF(VLOOKUP(B28,'4ème J.'!$BH$9:$BK$62,2,0)=0,"0",VLOOKUP(B28,'4ème J.'!$BH$9:$BK$62,2,0)))</f>
        <v>9</v>
      </c>
      <c r="P28" s="248">
        <f>IF(ISNA(VLOOKUP(B28,'4ème J.'!$BH$9:$BK$62,3,0))," ",IF(VLOOKUP(B28,'4ème J.'!$BH$9:$BK$62,3,0)=0,"0",VLOOKUP(B28,'4ème J.'!$BH$9:$BK$62,3,0)))</f>
        <v>8</v>
      </c>
      <c r="Q28" s="248">
        <f>IF(ISNA(VLOOKUP(B28,'4ème J.'!$BH$9:$BK$62,4,0))," ",IF(VLOOKUP(B28,'4ème J.'!$BH$9:$BK$62,4,0)=0,"0",VLOOKUP(B28,'4ème J.'!$BH$9:$BK$62,4,0)))</f>
        <v>17</v>
      </c>
      <c r="R28" s="299"/>
      <c r="S28" s="248">
        <f>IF(ISNA(VLOOKUP(B28,'5ème J.'!$BH$9:$BK$62,2,0))," ",IF(VLOOKUP(B28,'5ème J.'!$BH$9:$BK$62,2,0)=0,"0",VLOOKUP(B28,'5ème J.'!$BH$9:$BK$62,2,0)))</f>
        <v>3</v>
      </c>
      <c r="T28" s="248">
        <f>IF(ISNA(VLOOKUP(B28,'5ème J.'!$BH$9:$BK$62,3,0))," ",IF(VLOOKUP(B28,'5ème J.'!$BH$9:$BK$62,3,0)=0,"0",VLOOKUP(B28,'5ème J.'!$BH$9:$BK$62,3,0)))</f>
        <v>-15</v>
      </c>
      <c r="U28" s="248">
        <f>IF(ISNA(VLOOKUP(B28,'5ème J.'!$BH$9:$BK$62,4,0))," ",IF(VLOOKUP(B28,'5ème J.'!$BH$9:$BK$62,4,0)=0,"0",VLOOKUP(B28,'5ème J.'!$BH$9:$BK$62,4,0)))</f>
        <v>11</v>
      </c>
      <c r="V28" s="299"/>
      <c r="W28" s="248">
        <f>IF(ISNA(VLOOKUP(B28,'6ème J.'!$BH$9:$BK$62,2,0))," ",IF(VLOOKUP(B28,'6ème J.'!$BH$9:$BK$62,2,0)=0,"0",VLOOKUP(B28,'6ème J.'!$BH$9:$BK$62,2,0)))</f>
        <v>7</v>
      </c>
      <c r="X28" s="248">
        <f>IF(ISNA(VLOOKUP(B28,'6ème J.'!$BH$9:$BK$62,3,0))," ",IF(VLOOKUP(B28,'6ème J.'!$BH$9:$BK$62,3,0)=0,"0",VLOOKUP(B28,'6ème J.'!$BH$9:$BK$62,3,0)))</f>
        <v>6</v>
      </c>
      <c r="Y28" s="248">
        <f>IF(ISNA(VLOOKUP(B28,'6ème J.'!$BH$9:$BK$62,4,0))," ",IF(VLOOKUP(B28,'6ème J.'!$BH$9:$BK$62,4,0)=0,"0",VLOOKUP(B28,'6ème J.'!$BH$9:$BK$62,4,0)))</f>
        <v>27</v>
      </c>
      <c r="Z28" s="88"/>
      <c r="AA28" s="344" t="str">
        <f t="shared" si="0"/>
        <v>B5</v>
      </c>
      <c r="AB28" s="252">
        <f t="shared" si="5"/>
        <v>33</v>
      </c>
      <c r="AC28" s="390">
        <f t="shared" si="6"/>
        <v>-15</v>
      </c>
      <c r="AD28" s="345">
        <f t="shared" si="7"/>
        <v>104</v>
      </c>
      <c r="AE28" s="250">
        <f t="shared" si="8"/>
        <v>8.1396002799999998</v>
      </c>
      <c r="AF28" s="251">
        <f>IF(AB28="","",SMALL(AE$6:AE$59,ROWS(AB$6:AB28)))</f>
        <v>21.882800320000001</v>
      </c>
      <c r="AG28" s="251"/>
      <c r="AH28" s="304">
        <f>IF(AF28="","",IF(AND(AJ27=AJ28,AK27=AK28,AL28=AL27),AH27,$AH$6+22))</f>
        <v>23</v>
      </c>
      <c r="AI28" s="252" t="str">
        <f t="shared" si="1"/>
        <v>B9</v>
      </c>
      <c r="AJ28" s="252">
        <f t="shared" si="2"/>
        <v>26</v>
      </c>
      <c r="AK28" s="306">
        <f t="shared" si="3"/>
        <v>11</v>
      </c>
      <c r="AL28" s="309">
        <f t="shared" si="4"/>
        <v>72</v>
      </c>
      <c r="AN28" s="254">
        <v>23</v>
      </c>
    </row>
    <row r="29" spans="1:40">
      <c r="A29" s="354">
        <v>24</v>
      </c>
      <c r="B29" s="351" t="str">
        <f>+Inscrits!D8</f>
        <v>B6</v>
      </c>
      <c r="C29" s="248">
        <f>IF(ISNA(VLOOKUP(B29,'1ère J.'!$BH$9:$BK$62,2,0))," ",IF(VLOOKUP(B29,'1ère J.'!$BH$9:$BK$62,2,0)=0,"0",VLOOKUP(B29,'1ère J.'!$BH$9:$BK$62,2,0)))</f>
        <v>6</v>
      </c>
      <c r="D29" s="248">
        <f>IF(ISNA(VLOOKUP(B29,'1ère J.'!$BH$9:$BK$62,3,0))," ",IF(VLOOKUP(B29,'1ère J.'!$BH$9:$BK$62,3,0)=0,"0",VLOOKUP(B29,'1ère J.'!$BH$9:$BK$62,3,0)))</f>
        <v>8</v>
      </c>
      <c r="E29" s="248">
        <f>IF(ISNA(VLOOKUP(B29,'1ère J.'!$BH$9:$BK$62,4,0))," ",IF(VLOOKUP(B29,'1ère J.'!$BH$9:$BK$62,4,0)=0,"0",VLOOKUP(B29,'1ère J.'!$BH$9:$BK$62,4,0)))</f>
        <v>17</v>
      </c>
      <c r="F29" s="299"/>
      <c r="G29" s="248">
        <f>IF(ISNA(VLOOKUP(B29,'2ème J.'!$BH$9:$BK$62,2,0))," ",IF(VLOOKUP(B29,'2ème J.'!$BH$9:$BK$62,2,0)=0,"0",VLOOKUP(B29,'2ème J.'!$BH$9:$BK$62,2,0)))</f>
        <v>3</v>
      </c>
      <c r="H29" s="248">
        <f>IF(ISNA(VLOOKUP(B29,'2ème J.'!$BH$9:$BK$62,3,0))," ",IF(VLOOKUP(B29,'2ème J.'!$BH$9:$BK$62,3,0)=0,"0",VLOOKUP(B29,'2ème J.'!$BH$9:$BK$62,3,0)))</f>
        <v>-18</v>
      </c>
      <c r="I29" s="248">
        <f>IF(ISNA(VLOOKUP(B29,'2ème J.'!$BH$9:$BK$62,4,0))," ",IF(VLOOKUP(B29,'2ème J.'!$BH$9:$BK$62,4,0)=0,"0",VLOOKUP(B29,'2ème J.'!$BH$9:$BK$62,4,0)))</f>
        <v>13</v>
      </c>
      <c r="J29" s="315"/>
      <c r="K29" s="248">
        <f>IF(ISNA(VLOOKUP(B29,'3ème J.'!$BH$9:$BK$62,2,0))," ",IF(VLOOKUP(B29,'3ème J.'!$BH$9:$BK$62,2,0)=0,"0",VLOOKUP(B29,'3ème J.'!$BH$9:$BK$62,2,0)))</f>
        <v>9</v>
      </c>
      <c r="L29" s="248">
        <f>IF(ISNA(VLOOKUP(B29,'3ème J.'!$BH$9:$BK$62,3,0))," ",IF(VLOOKUP(B29,'3ème J.'!$BH$9:$BK$62,3,0)=0,"0",VLOOKUP(B29,'3ème J.'!$BH$9:$BK$62,3,0)))</f>
        <v>19</v>
      </c>
      <c r="M29" s="248">
        <f>IF(ISNA(VLOOKUP(B29,'3ème J.'!$BH$9:$BK$62,4,0))," ",IF(VLOOKUP(B29,'3ème J.'!$BH$9:$BK$62,4,0)=0,"0",VLOOKUP(B29,'3ème J.'!$BH$9:$BK$62,4,0)))</f>
        <v>37</v>
      </c>
      <c r="N29" s="315"/>
      <c r="O29" s="248">
        <f>IF(ISNA(VLOOKUP(B29,'4ème J.'!$BH$9:$BK$62,2,0))," ",IF(VLOOKUP(B29,'4ème J.'!$BH$9:$BK$62,2,0)=0,"0",VLOOKUP(B29,'4ème J.'!$BH$9:$BK$62,2,0)))</f>
        <v>7</v>
      </c>
      <c r="P29" s="248">
        <f>IF(ISNA(VLOOKUP(B29,'4ème J.'!$BH$9:$BK$62,3,0))," ",IF(VLOOKUP(B29,'4ème J.'!$BH$9:$BK$62,3,0)=0,"0",VLOOKUP(B29,'4ème J.'!$BH$9:$BK$62,3,0)))</f>
        <v>4</v>
      </c>
      <c r="Q29" s="248">
        <f>IF(ISNA(VLOOKUP(B29,'4ème J.'!$BH$9:$BK$62,4,0))," ",IF(VLOOKUP(B29,'4ème J.'!$BH$9:$BK$62,4,0)=0,"0",VLOOKUP(B29,'4ème J.'!$BH$9:$BK$62,4,0)))</f>
        <v>15</v>
      </c>
      <c r="R29" s="299"/>
      <c r="S29" s="248">
        <f>IF(ISNA(VLOOKUP(B29,'5ème J.'!$BH$9:$BK$62,2,0))," ",IF(VLOOKUP(B29,'5ème J.'!$BH$9:$BK$62,2,0)=0,"0",VLOOKUP(B29,'5ème J.'!$BH$9:$BK$62,2,0)))</f>
        <v>9</v>
      </c>
      <c r="T29" s="248">
        <f>IF(ISNA(VLOOKUP(B29,'5ème J.'!$BH$9:$BK$62,3,0))," ",IF(VLOOKUP(B29,'5ème J.'!$BH$9:$BK$62,3,0)=0,"0",VLOOKUP(B29,'5ème J.'!$BH$9:$BK$62,3,0)))</f>
        <v>15</v>
      </c>
      <c r="U29" s="248">
        <f>IF(ISNA(VLOOKUP(B29,'5ème J.'!$BH$9:$BK$62,4,0))," ",IF(VLOOKUP(B29,'5ème J.'!$BH$9:$BK$62,4,0)=0,"0",VLOOKUP(B29,'5ème J.'!$BH$9:$BK$62,4,0)))</f>
        <v>26</v>
      </c>
      <c r="V29" s="299"/>
      <c r="W29" s="248">
        <f>IF(ISNA(VLOOKUP(B29,'6ème J.'!$BH$9:$BK$62,2,0))," ",IF(VLOOKUP(B29,'6ème J.'!$BH$9:$BK$62,2,0)=0,"0",VLOOKUP(B29,'6ème J.'!$BH$9:$BK$62,2,0)))</f>
        <v>5</v>
      </c>
      <c r="X29" s="248">
        <f>IF(ISNA(VLOOKUP(B29,'6ème J.'!$BH$9:$BK$62,3,0))," ",IF(VLOOKUP(B29,'6ème J.'!$BH$9:$BK$62,3,0)=0,"0",VLOOKUP(B29,'6ème J.'!$BH$9:$BK$62,3,0)))</f>
        <v>-6</v>
      </c>
      <c r="Y29" s="248">
        <f>IF(ISNA(VLOOKUP(B29,'6ème J.'!$BH$9:$BK$62,4,0))," ",IF(VLOOKUP(B29,'6ème J.'!$BH$9:$BK$62,4,0)=0,"0",VLOOKUP(B29,'6ème J.'!$BH$9:$BK$62,4,0)))</f>
        <v>21</v>
      </c>
      <c r="Z29" s="88"/>
      <c r="AA29" s="344" t="str">
        <f t="shared" si="0"/>
        <v>B6</v>
      </c>
      <c r="AB29" s="252">
        <f t="shared" si="5"/>
        <v>39</v>
      </c>
      <c r="AC29" s="390">
        <f t="shared" si="6"/>
        <v>22</v>
      </c>
      <c r="AD29" s="345">
        <f t="shared" si="7"/>
        <v>129</v>
      </c>
      <c r="AE29" s="250">
        <f t="shared" si="8"/>
        <v>0.76710029000000002</v>
      </c>
      <c r="AF29" s="251">
        <f>IF(AB29="","",SMALL(AE$6:AE$59,ROWS(AB$6:AB29)))</f>
        <v>21.972400490000002</v>
      </c>
      <c r="AG29" s="251"/>
      <c r="AH29" s="304">
        <f>IF(AF29="","",IF(AND(AJ28=AJ29,AK28=AK29,AL29=AL28),AH28,$AH$6+23))</f>
        <v>24</v>
      </c>
      <c r="AI29" s="252" t="str">
        <f t="shared" si="1"/>
        <v>C8</v>
      </c>
      <c r="AJ29" s="252">
        <f t="shared" si="2"/>
        <v>26</v>
      </c>
      <c r="AK29" s="306">
        <f t="shared" si="3"/>
        <v>2</v>
      </c>
      <c r="AL29" s="309">
        <f t="shared" si="4"/>
        <v>76</v>
      </c>
      <c r="AN29" s="254">
        <v>24</v>
      </c>
    </row>
    <row r="30" spans="1:40">
      <c r="A30" s="354">
        <v>25</v>
      </c>
      <c r="B30" s="351" t="str">
        <f>+Inscrits!D9</f>
        <v>B7</v>
      </c>
      <c r="C30" s="248">
        <f>IF(ISNA(VLOOKUP(B30,'1ère J.'!$BH$9:$BK$62,2,0))," ",IF(VLOOKUP(B30,'1ère J.'!$BH$9:$BK$62,2,0)=0,"0",VLOOKUP(B30,'1ère J.'!$BH$9:$BK$62,2,0)))</f>
        <v>3</v>
      </c>
      <c r="D30" s="248">
        <f>IF(ISNA(VLOOKUP(B30,'1ère J.'!$BH$9:$BK$62,3,0))," ",IF(VLOOKUP(B30,'1ère J.'!$BH$9:$BK$62,3,0)=0,"0",VLOOKUP(B30,'1ère J.'!$BH$9:$BK$62,3,0)))</f>
        <v>5</v>
      </c>
      <c r="E30" s="248">
        <f>IF(ISNA(VLOOKUP(B30,'1ère J.'!$BH$9:$BK$62,4,0))," ",IF(VLOOKUP(B30,'1ère J.'!$BH$9:$BK$62,4,0)=0,"0",VLOOKUP(B30,'1ère J.'!$BH$9:$BK$62,4,0)))</f>
        <v>14</v>
      </c>
      <c r="F30" s="299"/>
      <c r="G30" s="248">
        <f>IF(ISNA(VLOOKUP(B30,'2ème J.'!$BH$9:$BK$62,2,0))," ",IF(VLOOKUP(B30,'2ème J.'!$BH$9:$BK$62,2,0)=0,"0",VLOOKUP(B30,'2ème J.'!$BH$9:$BK$62,2,0)))</f>
        <v>4</v>
      </c>
      <c r="H30" s="248">
        <f>IF(ISNA(VLOOKUP(B30,'2ème J.'!$BH$9:$BK$62,3,0))," ",IF(VLOOKUP(B30,'2ème J.'!$BH$9:$BK$62,3,0)=0,"0",VLOOKUP(B30,'2ème J.'!$BH$9:$BK$62,3,0)))</f>
        <v>-2</v>
      </c>
      <c r="I30" s="248">
        <f>IF(ISNA(VLOOKUP(B30,'2ème J.'!$BH$9:$BK$62,4,0))," ",IF(VLOOKUP(B30,'2ème J.'!$BH$9:$BK$62,4,0)=0,"0",VLOOKUP(B30,'2ème J.'!$BH$9:$BK$62,4,0)))</f>
        <v>14</v>
      </c>
      <c r="J30" s="315"/>
      <c r="K30" s="248">
        <f>IF(ISNA(VLOOKUP(B30,'3ème J.'!$BH$9:$BK$62,2,0))," ",IF(VLOOKUP(B30,'3ème J.'!$BH$9:$BK$62,2,0)=0,"0",VLOOKUP(B30,'3ème J.'!$BH$9:$BK$62,2,0)))</f>
        <v>7</v>
      </c>
      <c r="L30" s="248">
        <f>IF(ISNA(VLOOKUP(B30,'3ème J.'!$BH$9:$BK$62,3,0))," ",IF(VLOOKUP(B30,'3ème J.'!$BH$9:$BK$62,3,0)=0,"0",VLOOKUP(B30,'3ème J.'!$BH$9:$BK$62,3,0)))</f>
        <v>1</v>
      </c>
      <c r="M30" s="248">
        <f>IF(ISNA(VLOOKUP(B30,'3ème J.'!$BH$9:$BK$62,4,0))," ",IF(VLOOKUP(B30,'3ème J.'!$BH$9:$BK$62,4,0)=0,"0",VLOOKUP(B30,'3ème J.'!$BH$9:$BK$62,4,0)))</f>
        <v>26</v>
      </c>
      <c r="N30" s="315"/>
      <c r="O30" s="248">
        <f>IF(ISNA(VLOOKUP(B30,'4ème J.'!$BH$9:$BK$62,2,0))," ",IF(VLOOKUP(B30,'4ème J.'!$BH$9:$BK$62,2,0)=0,"0",VLOOKUP(B30,'4ème J.'!$BH$9:$BK$62,2,0)))</f>
        <v>5</v>
      </c>
      <c r="P30" s="248">
        <f>IF(ISNA(VLOOKUP(B30,'4ème J.'!$BH$9:$BK$62,3,0))," ",IF(VLOOKUP(B30,'4ème J.'!$BH$9:$BK$62,3,0)=0,"0",VLOOKUP(B30,'4ème J.'!$BH$9:$BK$62,3,0)))</f>
        <v>-5</v>
      </c>
      <c r="Q30" s="248">
        <f>IF(ISNA(VLOOKUP(B30,'4ème J.'!$BH$9:$BK$62,4,0))," ",IF(VLOOKUP(B30,'4ème J.'!$BH$9:$BK$62,4,0)=0,"0",VLOOKUP(B30,'4ème J.'!$BH$9:$BK$62,4,0)))</f>
        <v>10</v>
      </c>
      <c r="R30" s="299"/>
      <c r="S30" s="248">
        <f>IF(ISNA(VLOOKUP(B30,'5ème J.'!$BH$9:$BK$62,2,0))," ",IF(VLOOKUP(B30,'5ème J.'!$BH$9:$BK$62,2,0)=0,"0",VLOOKUP(B30,'5ème J.'!$BH$9:$BK$62,2,0)))</f>
        <v>7</v>
      </c>
      <c r="T30" s="248">
        <f>IF(ISNA(VLOOKUP(B30,'5ème J.'!$BH$9:$BK$62,3,0))," ",IF(VLOOKUP(B30,'5ème J.'!$BH$9:$BK$62,3,0)=0,"0",VLOOKUP(B30,'5ème J.'!$BH$9:$BK$62,3,0)))</f>
        <v>1</v>
      </c>
      <c r="U30" s="248">
        <f>IF(ISNA(VLOOKUP(B30,'5ème J.'!$BH$9:$BK$62,4,0))," ",IF(VLOOKUP(B30,'5ème J.'!$BH$9:$BK$62,4,0)=0,"0",VLOOKUP(B30,'5ème J.'!$BH$9:$BK$62,4,0)))</f>
        <v>23</v>
      </c>
      <c r="V30" s="299"/>
      <c r="W30" s="248">
        <f>IF(ISNA(VLOOKUP(B30,'6ème J.'!$BH$9:$BK$62,2,0))," ",IF(VLOOKUP(B30,'6ème J.'!$BH$9:$BK$62,2,0)=0,"0",VLOOKUP(B30,'6ème J.'!$BH$9:$BK$62,2,0)))</f>
        <v>7</v>
      </c>
      <c r="X30" s="248">
        <f>IF(ISNA(VLOOKUP(B30,'6ème J.'!$BH$9:$BK$62,3,0))," ",IF(VLOOKUP(B30,'6ème J.'!$BH$9:$BK$62,3,0)=0,"0",VLOOKUP(B30,'6ème J.'!$BH$9:$BK$62,3,0)))</f>
        <v>12</v>
      </c>
      <c r="Y30" s="248">
        <f>IF(ISNA(VLOOKUP(B30,'6ème J.'!$BH$9:$BK$62,4,0))," ",IF(VLOOKUP(B30,'6ème J.'!$BH$9:$BK$62,4,0)=0,"0",VLOOKUP(B30,'6ème J.'!$BH$9:$BK$62,4,0)))</f>
        <v>30</v>
      </c>
      <c r="Z30" s="88"/>
      <c r="AA30" s="344" t="str">
        <f t="shared" si="0"/>
        <v>B7</v>
      </c>
      <c r="AB30" s="252">
        <f t="shared" si="5"/>
        <v>33</v>
      </c>
      <c r="AC30" s="390">
        <f t="shared" si="6"/>
        <v>12</v>
      </c>
      <c r="AD30" s="345">
        <f t="shared" si="7"/>
        <v>117</v>
      </c>
      <c r="AE30" s="250">
        <f t="shared" si="8"/>
        <v>7.8683002999999996</v>
      </c>
      <c r="AF30" s="251">
        <f>IF(AB30="","",SMALL(AE$6:AE$59,ROWS(AB$6:AB30)))</f>
        <v>25.003700150000004</v>
      </c>
      <c r="AG30" s="251"/>
      <c r="AH30" s="304">
        <f>IF(AF30="","",IF(AND(AJ29=AJ30,AK29=AK30,AL30=AL29),AH29,$AH$6+24))</f>
        <v>25</v>
      </c>
      <c r="AI30" s="252" t="str">
        <f t="shared" si="1"/>
        <v>A10</v>
      </c>
      <c r="AJ30" s="252">
        <f t="shared" si="2"/>
        <v>24</v>
      </c>
      <c r="AK30" s="306">
        <f t="shared" si="3"/>
        <v>-1</v>
      </c>
      <c r="AL30" s="309">
        <f t="shared" si="4"/>
        <v>63</v>
      </c>
      <c r="AN30" s="254">
        <v>25</v>
      </c>
    </row>
    <row r="31" spans="1:40">
      <c r="A31" s="354">
        <v>26</v>
      </c>
      <c r="B31" s="351" t="str">
        <f>+Inscrits!D10</f>
        <v>B8</v>
      </c>
      <c r="C31" s="248">
        <f>IF(ISNA(VLOOKUP(B31,'1ère J.'!$BH$9:$BK$62,2,0))," ",IF(VLOOKUP(B31,'1ère J.'!$BH$9:$BK$62,2,0)=0,"0",VLOOKUP(B31,'1ère J.'!$BH$9:$BK$62,2,0)))</f>
        <v>1</v>
      </c>
      <c r="D31" s="248">
        <f>IF(ISNA(VLOOKUP(B31,'1ère J.'!$BH$9:$BK$62,3,0))," ",IF(VLOOKUP(B31,'1ère J.'!$BH$9:$BK$62,3,0)=0,"0",VLOOKUP(B31,'1ère J.'!$BH$9:$BK$62,3,0)))</f>
        <v>-5</v>
      </c>
      <c r="E31" s="248">
        <f>IF(ISNA(VLOOKUP(B31,'1ère J.'!$BH$9:$BK$62,4,0))," ",IF(VLOOKUP(B31,'1ère J.'!$BH$9:$BK$62,4,0)=0,"0",VLOOKUP(B31,'1ère J.'!$BH$9:$BK$62,4,0)))</f>
        <v>9</v>
      </c>
      <c r="F31" s="299"/>
      <c r="G31" s="248">
        <f>IF(ISNA(VLOOKUP(B31,'2ème J.'!$BH$9:$BK$62,2,0))," ",IF(VLOOKUP(B31,'2ème J.'!$BH$9:$BK$62,2,0)=0,"0",VLOOKUP(B31,'2ème J.'!$BH$9:$BK$62,2,0)))</f>
        <v>3</v>
      </c>
      <c r="H31" s="248">
        <f>IF(ISNA(VLOOKUP(B31,'2ème J.'!$BH$9:$BK$62,3,0))," ",IF(VLOOKUP(B31,'2ème J.'!$BH$9:$BK$62,3,0)=0,"0",VLOOKUP(B31,'2ème J.'!$BH$9:$BK$62,3,0)))</f>
        <v>3</v>
      </c>
      <c r="I31" s="248">
        <f>IF(ISNA(VLOOKUP(B31,'2ème J.'!$BH$9:$BK$62,4,0))," ",IF(VLOOKUP(B31,'2ème J.'!$BH$9:$BK$62,4,0)=0,"0",VLOOKUP(B31,'2ème J.'!$BH$9:$BK$62,4,0)))</f>
        <v>9</v>
      </c>
      <c r="J31" s="315"/>
      <c r="K31" s="248">
        <f>IF(ISNA(VLOOKUP(B31,'3ème J.'!$BH$9:$BK$62,2,0))," ",IF(VLOOKUP(B31,'3ème J.'!$BH$9:$BK$62,2,0)=0,"0",VLOOKUP(B31,'3ème J.'!$BH$9:$BK$62,2,0)))</f>
        <v>3</v>
      </c>
      <c r="L31" s="248">
        <f>IF(ISNA(VLOOKUP(B31,'3ème J.'!$BH$9:$BK$62,3,0))," ",IF(VLOOKUP(B31,'3ème J.'!$BH$9:$BK$62,3,0)=0,"0",VLOOKUP(B31,'3ème J.'!$BH$9:$BK$62,3,0)))</f>
        <v>-16</v>
      </c>
      <c r="M31" s="248">
        <f>IF(ISNA(VLOOKUP(B31,'3ème J.'!$BH$9:$BK$62,4,0))," ",IF(VLOOKUP(B31,'3ème J.'!$BH$9:$BK$62,4,0)=0,"0",VLOOKUP(B31,'3ème J.'!$BH$9:$BK$62,4,0)))</f>
        <v>15</v>
      </c>
      <c r="N31" s="315"/>
      <c r="O31" s="248">
        <f>IF(ISNA(VLOOKUP(B31,'4ème J.'!$BH$9:$BK$62,2,0))," ",IF(VLOOKUP(B31,'4ème J.'!$BH$9:$BK$62,2,0)=0,"0",VLOOKUP(B31,'4ème J.'!$BH$9:$BK$62,2,0)))</f>
        <v>7</v>
      </c>
      <c r="P31" s="248">
        <f>IF(ISNA(VLOOKUP(B31,'4ème J.'!$BH$9:$BK$62,3,0))," ",IF(VLOOKUP(B31,'4ème J.'!$BH$9:$BK$62,3,0)=0,"0",VLOOKUP(B31,'4ème J.'!$BH$9:$BK$62,3,0)))</f>
        <v>5</v>
      </c>
      <c r="Q31" s="248">
        <f>IF(ISNA(VLOOKUP(B31,'4ème J.'!$BH$9:$BK$62,4,0))," ",IF(VLOOKUP(B31,'4ème J.'!$BH$9:$BK$62,4,0)=0,"0",VLOOKUP(B31,'4ème J.'!$BH$9:$BK$62,4,0)))</f>
        <v>6</v>
      </c>
      <c r="R31" s="299"/>
      <c r="S31" s="248">
        <f>IF(ISNA(VLOOKUP(B31,'5ème J.'!$BH$9:$BK$62,2,0))," ",IF(VLOOKUP(B31,'5ème J.'!$BH$9:$BK$62,2,0)=0,"0",VLOOKUP(B31,'5ème J.'!$BH$9:$BK$62,2,0)))</f>
        <v>5</v>
      </c>
      <c r="T31" s="248">
        <f>IF(ISNA(VLOOKUP(B31,'5ème J.'!$BH$9:$BK$62,3,0))," ",IF(VLOOKUP(B31,'5ème J.'!$BH$9:$BK$62,3,0)=0,"0",VLOOKUP(B31,'5ème J.'!$BH$9:$BK$62,3,0)))</f>
        <v>-1</v>
      </c>
      <c r="U31" s="248">
        <f>IF(ISNA(VLOOKUP(B31,'5ème J.'!$BH$9:$BK$62,4,0))," ",IF(VLOOKUP(B31,'5ème J.'!$BH$9:$BK$62,4,0)=0,"0",VLOOKUP(B31,'5ème J.'!$BH$9:$BK$62,4,0)))</f>
        <v>22</v>
      </c>
      <c r="V31" s="299"/>
      <c r="W31" s="248">
        <f>IF(ISNA(VLOOKUP(B31,'6ème J.'!$BH$9:$BK$62,2,0))," ",IF(VLOOKUP(B31,'6ème J.'!$BH$9:$BK$62,2,0)=0,"0",VLOOKUP(B31,'6ème J.'!$BH$9:$BK$62,2,0)))</f>
        <v>5</v>
      </c>
      <c r="X31" s="248">
        <f>IF(ISNA(VLOOKUP(B31,'6ème J.'!$BH$9:$BK$62,3,0))," ",IF(VLOOKUP(B31,'6ème J.'!$BH$9:$BK$62,3,0)=0,"0",VLOOKUP(B31,'6ème J.'!$BH$9:$BK$62,3,0)))</f>
        <v>-12</v>
      </c>
      <c r="Y31" s="248">
        <f>IF(ISNA(VLOOKUP(B31,'6ème J.'!$BH$9:$BK$62,4,0))," ",IF(VLOOKUP(B31,'6ème J.'!$BH$9:$BK$62,4,0)=0,"0",VLOOKUP(B31,'6ème J.'!$BH$9:$BK$62,4,0)))</f>
        <v>18</v>
      </c>
      <c r="Z31" s="88"/>
      <c r="AA31" s="344" t="str">
        <f t="shared" si="0"/>
        <v>B8</v>
      </c>
      <c r="AB31" s="252">
        <f t="shared" si="5"/>
        <v>24</v>
      </c>
      <c r="AC31" s="390">
        <f t="shared" si="6"/>
        <v>-26</v>
      </c>
      <c r="AD31" s="345">
        <f t="shared" si="7"/>
        <v>79</v>
      </c>
      <c r="AE31" s="250">
        <f t="shared" si="8"/>
        <v>25.252100310000003</v>
      </c>
      <c r="AF31" s="251">
        <f>IF(AB31="","",SMALL(AE$6:AE$59,ROWS(AB$6:AB31)))</f>
        <v>25.252100310000003</v>
      </c>
      <c r="AG31" s="251"/>
      <c r="AH31" s="304">
        <f>IF(AF31="","",IF(AND(AJ30=AJ31,AK30=AK31,AL31=AL30),AH30,$AH$6+25))</f>
        <v>26</v>
      </c>
      <c r="AI31" s="252" t="str">
        <f t="shared" si="1"/>
        <v>B8</v>
      </c>
      <c r="AJ31" s="252">
        <f t="shared" si="2"/>
        <v>24</v>
      </c>
      <c r="AK31" s="306">
        <f t="shared" si="3"/>
        <v>-26</v>
      </c>
      <c r="AL31" s="309">
        <f t="shared" si="4"/>
        <v>79</v>
      </c>
      <c r="AN31" s="254">
        <v>26</v>
      </c>
    </row>
    <row r="32" spans="1:40">
      <c r="A32" s="354">
        <v>27</v>
      </c>
      <c r="B32" s="351" t="str">
        <f>+Inscrits!D11</f>
        <v>B9</v>
      </c>
      <c r="C32" s="248" t="str">
        <f>IF(ISNA(VLOOKUP(B32,'1ère J.'!$BH$9:$BK$62,2,0))," ",IF(VLOOKUP(B32,'1ère J.'!$BH$9:$BK$62,2,0)=0,"0",VLOOKUP(B32,'1ère J.'!$BH$9:$BK$62,2,0)))</f>
        <v>0</v>
      </c>
      <c r="D32" s="248" t="str">
        <f>IF(ISNA(VLOOKUP(B32,'1ère J.'!$BH$9:$BK$62,3,0))," ",IF(VLOOKUP(B32,'1ère J.'!$BH$9:$BK$62,3,0)=0,"0",VLOOKUP(B32,'1ère J.'!$BH$9:$BK$62,3,0)))</f>
        <v>0</v>
      </c>
      <c r="E32" s="248" t="str">
        <f>IF(ISNA(VLOOKUP(B32,'1ère J.'!$BH$9:$BK$62,4,0))," ",IF(VLOOKUP(B32,'1ère J.'!$BH$9:$BK$62,4,0)=0,"0",VLOOKUP(B32,'1ère J.'!$BH$9:$BK$62,4,0)))</f>
        <v>0</v>
      </c>
      <c r="F32" s="299"/>
      <c r="G32" s="248" t="str">
        <f>IF(ISNA(VLOOKUP(B32,'2ème J.'!$BH$9:$BK$62,2,0))," ",IF(VLOOKUP(B32,'2ème J.'!$BH$9:$BK$62,2,0)=0,"0",VLOOKUP(B32,'2ème J.'!$BH$9:$BK$62,2,0)))</f>
        <v>0</v>
      </c>
      <c r="H32" s="248" t="str">
        <f>IF(ISNA(VLOOKUP(B32,'2ème J.'!$BH$9:$BK$62,3,0))," ",IF(VLOOKUP(B32,'2ème J.'!$BH$9:$BK$62,3,0)=0,"0",VLOOKUP(B32,'2ème J.'!$BH$9:$BK$62,3,0)))</f>
        <v>0</v>
      </c>
      <c r="I32" s="248" t="str">
        <f>IF(ISNA(VLOOKUP(B32,'2ème J.'!$BH$9:$BK$62,4,0))," ",IF(VLOOKUP(B32,'2ème J.'!$BH$9:$BK$62,4,0)=0,"0",VLOOKUP(B32,'2ème J.'!$BH$9:$BK$62,4,0)))</f>
        <v>0</v>
      </c>
      <c r="J32" s="315"/>
      <c r="K32" s="248">
        <f>IF(ISNA(VLOOKUP(B32,'3ème J.'!$BH$9:$BK$62,2,0))," ",IF(VLOOKUP(B32,'3ème J.'!$BH$9:$BK$62,2,0)=0,"0",VLOOKUP(B32,'3ème J.'!$BH$9:$BK$62,2,0)))</f>
        <v>5</v>
      </c>
      <c r="L32" s="248">
        <f>IF(ISNA(VLOOKUP(B32,'3ème J.'!$BH$9:$BK$62,3,0))," ",IF(VLOOKUP(B32,'3ème J.'!$BH$9:$BK$62,3,0)=0,"0",VLOOKUP(B32,'3ème J.'!$BH$9:$BK$62,3,0)))</f>
        <v>-12</v>
      </c>
      <c r="M32" s="248">
        <f>IF(ISNA(VLOOKUP(B32,'3ème J.'!$BH$9:$BK$62,4,0))," ",IF(VLOOKUP(B32,'3ème J.'!$BH$9:$BK$62,4,0)=0,"0",VLOOKUP(B32,'3ème J.'!$BH$9:$BK$62,4,0)))</f>
        <v>9</v>
      </c>
      <c r="N32" s="315"/>
      <c r="O32" s="248">
        <f>IF(ISNA(VLOOKUP(B32,'4ème J.'!$BH$9:$BK$62,2,0))," ",IF(VLOOKUP(B32,'4ème J.'!$BH$9:$BK$62,2,0)=0,"0",VLOOKUP(B32,'4ème J.'!$BH$9:$BK$62,2,0)))</f>
        <v>7</v>
      </c>
      <c r="P32" s="248">
        <f>IF(ISNA(VLOOKUP(B32,'4ème J.'!$BH$9:$BK$62,3,0))," ",IF(VLOOKUP(B32,'4ème J.'!$BH$9:$BK$62,3,0)=0,"0",VLOOKUP(B32,'4ème J.'!$BH$9:$BK$62,3,0)))</f>
        <v>1</v>
      </c>
      <c r="Q32" s="248">
        <f>IF(ISNA(VLOOKUP(B32,'4ème J.'!$BH$9:$BK$62,4,0))," ",IF(VLOOKUP(B32,'4ème J.'!$BH$9:$BK$62,4,0)=0,"0",VLOOKUP(B32,'4ème J.'!$BH$9:$BK$62,4,0)))</f>
        <v>6</v>
      </c>
      <c r="R32" s="299"/>
      <c r="S32" s="248">
        <f>IF(ISNA(VLOOKUP(B32,'5ème J.'!$BH$9:$BK$62,2,0))," ",IF(VLOOKUP(B32,'5ème J.'!$BH$9:$BK$62,2,0)=0,"0",VLOOKUP(B32,'5ème J.'!$BH$9:$BK$62,2,0)))</f>
        <v>7</v>
      </c>
      <c r="T32" s="248">
        <f>IF(ISNA(VLOOKUP(B32,'5ème J.'!$BH$9:$BK$62,3,0))," ",IF(VLOOKUP(B32,'5ème J.'!$BH$9:$BK$62,3,0)=0,"0",VLOOKUP(B32,'5ème J.'!$BH$9:$BK$62,3,0)))</f>
        <v>10</v>
      </c>
      <c r="U32" s="248">
        <f>IF(ISNA(VLOOKUP(B32,'5ème J.'!$BH$9:$BK$62,4,0))," ",IF(VLOOKUP(B32,'5ème J.'!$BH$9:$BK$62,4,0)=0,"0",VLOOKUP(B32,'5ème J.'!$BH$9:$BK$62,4,0)))</f>
        <v>28</v>
      </c>
      <c r="V32" s="299"/>
      <c r="W32" s="248">
        <f>IF(ISNA(VLOOKUP(B32,'6ème J.'!$BH$9:$BK$62,2,0))," ",IF(VLOOKUP(B32,'6ème J.'!$BH$9:$BK$62,2,0)=0,"0",VLOOKUP(B32,'6ème J.'!$BH$9:$BK$62,2,0)))</f>
        <v>7</v>
      </c>
      <c r="X32" s="248">
        <f>IF(ISNA(VLOOKUP(B32,'6ème J.'!$BH$9:$BK$62,3,0))," ",IF(VLOOKUP(B32,'6ème J.'!$BH$9:$BK$62,3,0)=0,"0",VLOOKUP(B32,'6ème J.'!$BH$9:$BK$62,3,0)))</f>
        <v>12</v>
      </c>
      <c r="Y32" s="248">
        <f>IF(ISNA(VLOOKUP(B32,'6ème J.'!$BH$9:$BK$62,4,0))," ",IF(VLOOKUP(B32,'6ème J.'!$BH$9:$BK$62,4,0)=0,"0",VLOOKUP(B32,'6ème J.'!$BH$9:$BK$62,4,0)))</f>
        <v>29</v>
      </c>
      <c r="Z32" s="88"/>
      <c r="AA32" s="344" t="str">
        <f t="shared" si="0"/>
        <v>B9</v>
      </c>
      <c r="AB32" s="252">
        <f t="shared" si="5"/>
        <v>26</v>
      </c>
      <c r="AC32" s="390">
        <f t="shared" si="6"/>
        <v>11</v>
      </c>
      <c r="AD32" s="345">
        <f t="shared" si="7"/>
        <v>72</v>
      </c>
      <c r="AE32" s="250">
        <f t="shared" si="8"/>
        <v>21.882800320000001</v>
      </c>
      <c r="AF32" s="251">
        <f>IF(AB32="","",SMALL(AE$6:AE$59,ROWS(AB$6:AB32)))</f>
        <v>25.421900470000001</v>
      </c>
      <c r="AG32" s="251"/>
      <c r="AH32" s="304">
        <f>IF(AF32="","",IF(AND(AJ31=AJ32,AK31=AK32,AL32=AL31),AH31,$AH$6+26))</f>
        <v>27</v>
      </c>
      <c r="AI32" s="252" t="str">
        <f t="shared" si="1"/>
        <v>C6</v>
      </c>
      <c r="AJ32" s="252">
        <f t="shared" si="2"/>
        <v>24</v>
      </c>
      <c r="AK32" s="306">
        <f t="shared" si="3"/>
        <v>-43</v>
      </c>
      <c r="AL32" s="309">
        <f t="shared" si="4"/>
        <v>81</v>
      </c>
      <c r="AN32" s="254">
        <v>27</v>
      </c>
    </row>
    <row r="33" spans="1:40">
      <c r="A33" s="354">
        <v>28</v>
      </c>
      <c r="B33" s="351" t="str">
        <f>+Inscrits!D12</f>
        <v>B10</v>
      </c>
      <c r="C33" s="248" t="str">
        <f>IF(ISNA(VLOOKUP(B33,'1ère J.'!$BH$9:$BK$62,2,0))," ",IF(VLOOKUP(B33,'1ère J.'!$BH$9:$BK$62,2,0)=0,"0",VLOOKUP(B33,'1ère J.'!$BH$9:$BK$62,2,0)))</f>
        <v>0</v>
      </c>
      <c r="D33" s="248" t="str">
        <f>IF(ISNA(VLOOKUP(B33,'1ère J.'!$BH$9:$BK$62,3,0))," ",IF(VLOOKUP(B33,'1ère J.'!$BH$9:$BK$62,3,0)=0,"0",VLOOKUP(B33,'1ère J.'!$BH$9:$BK$62,3,0)))</f>
        <v>0</v>
      </c>
      <c r="E33" s="248" t="str">
        <f>IF(ISNA(VLOOKUP(B33,'1ère J.'!$BH$9:$BK$62,4,0))," ",IF(VLOOKUP(B33,'1ère J.'!$BH$9:$BK$62,4,0)=0,"0",VLOOKUP(B33,'1ère J.'!$BH$9:$BK$62,4,0)))</f>
        <v>0</v>
      </c>
      <c r="F33" s="299"/>
      <c r="G33" s="248" t="str">
        <f>IF(ISNA(VLOOKUP(B33,'2ème J.'!$BH$9:$BK$62,2,0))," ",IF(VLOOKUP(B33,'2ème J.'!$BH$9:$BK$62,2,0)=0,"0",VLOOKUP(B33,'2ème J.'!$BH$9:$BK$62,2,0)))</f>
        <v>0</v>
      </c>
      <c r="H33" s="248" t="str">
        <f>IF(ISNA(VLOOKUP(B33,'2ème J.'!$BH$9:$BK$62,3,0))," ",IF(VLOOKUP(B33,'2ème J.'!$BH$9:$BK$62,3,0)=0,"0",VLOOKUP(B33,'2ème J.'!$BH$9:$BK$62,3,0)))</f>
        <v>0</v>
      </c>
      <c r="I33" s="248" t="str">
        <f>IF(ISNA(VLOOKUP(B33,'2ème J.'!$BH$9:$BK$62,4,0))," ",IF(VLOOKUP(B33,'2ème J.'!$BH$9:$BK$62,4,0)=0,"0",VLOOKUP(B33,'2ème J.'!$BH$9:$BK$62,4,0)))</f>
        <v>0</v>
      </c>
      <c r="J33" s="315"/>
      <c r="K33" s="248">
        <f>IF(ISNA(VLOOKUP(B33,'3ème J.'!$BH$9:$BK$62,2,0))," ",IF(VLOOKUP(B33,'3ème J.'!$BH$9:$BK$62,2,0)=0,"0",VLOOKUP(B33,'3ème J.'!$BH$9:$BK$62,2,0)))</f>
        <v>7</v>
      </c>
      <c r="L33" s="248">
        <f>IF(ISNA(VLOOKUP(B33,'3ème J.'!$BH$9:$BK$62,3,0))," ",IF(VLOOKUP(B33,'3ème J.'!$BH$9:$BK$62,3,0)=0,"0",VLOOKUP(B33,'3ème J.'!$BH$9:$BK$62,3,0)))</f>
        <v>15</v>
      </c>
      <c r="M33" s="248">
        <f>IF(ISNA(VLOOKUP(B33,'3ème J.'!$BH$9:$BK$62,4,0))," ",IF(VLOOKUP(B33,'3ème J.'!$BH$9:$BK$62,4,0)=0,"0",VLOOKUP(B33,'3ème J.'!$BH$9:$BK$62,4,0)))</f>
        <v>18</v>
      </c>
      <c r="N33" s="315"/>
      <c r="O33" s="248">
        <f>IF(ISNA(VLOOKUP(B33,'4ème J.'!$BH$9:$BK$62,2,0))," ",IF(VLOOKUP(B33,'4ème J.'!$BH$9:$BK$62,2,0)=0,"0",VLOOKUP(B33,'4ème J.'!$BH$9:$BK$62,2,0)))</f>
        <v>3</v>
      </c>
      <c r="P33" s="248">
        <f>IF(ISNA(VLOOKUP(B33,'4ème J.'!$BH$9:$BK$62,3,0))," ",IF(VLOOKUP(B33,'4ème J.'!$BH$9:$BK$62,3,0)=0,"0",VLOOKUP(B33,'4ème J.'!$BH$9:$BK$62,3,0)))</f>
        <v>-7</v>
      </c>
      <c r="Q33" s="248" t="str">
        <f>IF(ISNA(VLOOKUP(B33,'4ème J.'!$BH$9:$BK$62,4,0))," ",IF(VLOOKUP(B33,'4ème J.'!$BH$9:$BK$62,4,0)=0,"0",VLOOKUP(B33,'4ème J.'!$BH$9:$BK$62,4,0)))</f>
        <v>0</v>
      </c>
      <c r="R33" s="299"/>
      <c r="S33" s="248">
        <f>IF(ISNA(VLOOKUP(B33,'5ème J.'!$BH$9:$BK$62,2,0))," ",IF(VLOOKUP(B33,'5ème J.'!$BH$9:$BK$62,2,0)=0,"0",VLOOKUP(B33,'5ème J.'!$BH$9:$BK$62,2,0)))</f>
        <v>5</v>
      </c>
      <c r="T33" s="248">
        <f>IF(ISNA(VLOOKUP(B33,'5ème J.'!$BH$9:$BK$62,3,0))," ",IF(VLOOKUP(B33,'5ème J.'!$BH$9:$BK$62,3,0)=0,"0",VLOOKUP(B33,'5ème J.'!$BH$9:$BK$62,3,0)))</f>
        <v>-10</v>
      </c>
      <c r="U33" s="248">
        <f>IF(ISNA(VLOOKUP(B33,'5ème J.'!$BH$9:$BK$62,4,0))," ",IF(VLOOKUP(B33,'5ème J.'!$BH$9:$BK$62,4,0)=0,"0",VLOOKUP(B33,'5ème J.'!$BH$9:$BK$62,4,0)))</f>
        <v>18</v>
      </c>
      <c r="V33" s="299"/>
      <c r="W33" s="248">
        <f>IF(ISNA(VLOOKUP(B33,'6ème J.'!$BH$9:$BK$62,2,0))," ",IF(VLOOKUP(B33,'6ème J.'!$BH$9:$BK$62,2,0)=0,"0",VLOOKUP(B33,'6ème J.'!$BH$9:$BK$62,2,0)))</f>
        <v>5</v>
      </c>
      <c r="X33" s="248">
        <f>IF(ISNA(VLOOKUP(B33,'6ème J.'!$BH$9:$BK$62,3,0))," ",IF(VLOOKUP(B33,'6ème J.'!$BH$9:$BK$62,3,0)=0,"0",VLOOKUP(B33,'6ème J.'!$BH$9:$BK$62,3,0)))</f>
        <v>-12</v>
      </c>
      <c r="Y33" s="248">
        <f>IF(ISNA(VLOOKUP(B33,'6ème J.'!$BH$9:$BK$62,4,0))," ",IF(VLOOKUP(B33,'6ème J.'!$BH$9:$BK$62,4,0)=0,"0",VLOOKUP(B33,'6ème J.'!$BH$9:$BK$62,4,0)))</f>
        <v>17</v>
      </c>
      <c r="Z33" s="88"/>
      <c r="AA33" s="344" t="str">
        <f t="shared" si="0"/>
        <v>B10</v>
      </c>
      <c r="AB33" s="252">
        <f t="shared" si="5"/>
        <v>20</v>
      </c>
      <c r="AC33" s="390">
        <f t="shared" si="6"/>
        <v>-14</v>
      </c>
      <c r="AD33" s="345">
        <f t="shared" si="7"/>
        <v>53</v>
      </c>
      <c r="AE33" s="250">
        <f t="shared" si="8"/>
        <v>28.134700330000001</v>
      </c>
      <c r="AF33" s="251">
        <f>IF(AB33="","",SMALL(AE$6:AE$59,ROWS(AB$6:AB33)))</f>
        <v>28.134700330000001</v>
      </c>
      <c r="AG33" s="251"/>
      <c r="AH33" s="304">
        <f>IF(AF33="","",IF(AND(AJ32=AJ33,AK32=AK33,AL33=AL32),AH32,$AH$6+27))</f>
        <v>28</v>
      </c>
      <c r="AI33" s="252" t="str">
        <f t="shared" si="1"/>
        <v>B10</v>
      </c>
      <c r="AJ33" s="252">
        <f t="shared" si="2"/>
        <v>20</v>
      </c>
      <c r="AK33" s="306">
        <f t="shared" si="3"/>
        <v>-14</v>
      </c>
      <c r="AL33" s="309">
        <f t="shared" si="4"/>
        <v>53</v>
      </c>
      <c r="AN33" s="254">
        <v>28</v>
      </c>
    </row>
    <row r="34" spans="1:40">
      <c r="A34" s="354">
        <v>29</v>
      </c>
      <c r="B34" s="351" t="str">
        <f>+Inscrits!D13</f>
        <v>B11</v>
      </c>
      <c r="C34" s="248" t="str">
        <f>IF(ISNA(VLOOKUP(B34,'1ère J.'!$BH$9:$BK$62,2,0))," ",IF(VLOOKUP(B34,'1ère J.'!$BH$9:$BK$62,2,0)=0,"0",VLOOKUP(B34,'1ère J.'!$BH$9:$BK$62,2,0)))</f>
        <v>0</v>
      </c>
      <c r="D34" s="248" t="str">
        <f>IF(ISNA(VLOOKUP(B34,'1ère J.'!$BH$9:$BK$62,3,0))," ",IF(VLOOKUP(B34,'1ère J.'!$BH$9:$BK$62,3,0)=0,"0",VLOOKUP(B34,'1ère J.'!$BH$9:$BK$62,3,0)))</f>
        <v>0</v>
      </c>
      <c r="E34" s="248">
        <f>IF(ISNA(VLOOKUP(B34,'1ère J.'!$BH$9:$BK$62,4,0))," ",IF(VLOOKUP(B34,'1ère J.'!$BH$9:$BK$62,4,0)=0,"0",VLOOKUP(B34,'1ère J.'!$BH$9:$BK$62,4,0)))</f>
        <v>5</v>
      </c>
      <c r="F34" s="299"/>
      <c r="G34" s="248" t="str">
        <f>IF(ISNA(VLOOKUP(B34,'2ème J.'!$BH$9:$BK$62,2,0))," ",IF(VLOOKUP(B34,'2ème J.'!$BH$9:$BK$62,2,0)=0,"0",VLOOKUP(B34,'2ème J.'!$BH$9:$BK$62,2,0)))</f>
        <v>0</v>
      </c>
      <c r="H34" s="248" t="str">
        <f>IF(ISNA(VLOOKUP(B34,'2ème J.'!$BH$9:$BK$62,3,0))," ",IF(VLOOKUP(B34,'2ème J.'!$BH$9:$BK$62,3,0)=0,"0",VLOOKUP(B34,'2ème J.'!$BH$9:$BK$62,3,0)))</f>
        <v>0</v>
      </c>
      <c r="I34" s="248" t="str">
        <f>IF(ISNA(VLOOKUP(B34,'2ème J.'!$BH$9:$BK$62,4,0))," ",IF(VLOOKUP(B34,'2ème J.'!$BH$9:$BK$62,4,0)=0,"0",VLOOKUP(B34,'2ème J.'!$BH$9:$BK$62,4,0)))</f>
        <v>0</v>
      </c>
      <c r="J34" s="315"/>
      <c r="K34" s="248" t="str">
        <f>IF(ISNA(VLOOKUP(B34,'3ème J.'!$BH$9:$BK$62,2,0))," ",IF(VLOOKUP(B34,'3ème J.'!$BH$9:$BK$62,2,0)=0,"0",VLOOKUP(B34,'3ème J.'!$BH$9:$BK$62,2,0)))</f>
        <v>0</v>
      </c>
      <c r="L34" s="248" t="str">
        <f>IF(ISNA(VLOOKUP(B34,'3ème J.'!$BH$9:$BK$62,3,0))," ",IF(VLOOKUP(B34,'3ème J.'!$BH$9:$BK$62,3,0)=0,"0",VLOOKUP(B34,'3ème J.'!$BH$9:$BK$62,3,0)))</f>
        <v>0</v>
      </c>
      <c r="M34" s="248" t="str">
        <f>IF(ISNA(VLOOKUP(B34,'3ème J.'!$BH$9:$BK$62,4,0))," ",IF(VLOOKUP(B34,'3ème J.'!$BH$9:$BK$62,4,0)=0,"0",VLOOKUP(B34,'3ème J.'!$BH$9:$BK$62,4,0)))</f>
        <v>0</v>
      </c>
      <c r="N34" s="315"/>
      <c r="O34" s="248">
        <f>IF(ISNA(VLOOKUP(B34,'4ème J.'!$BH$9:$BK$62,2,0))," ",IF(VLOOKUP(B34,'4ème J.'!$BH$9:$BK$62,2,0)=0,"0",VLOOKUP(B34,'4ème J.'!$BH$9:$BK$62,2,0)))</f>
        <v>7</v>
      </c>
      <c r="P34" s="248">
        <f>IF(ISNA(VLOOKUP(B34,'4ème J.'!$BH$9:$BK$62,3,0))," ",IF(VLOOKUP(B34,'4ème J.'!$BH$9:$BK$62,3,0)=0,"0",VLOOKUP(B34,'4ème J.'!$BH$9:$BK$62,3,0)))</f>
        <v>1</v>
      </c>
      <c r="Q34" s="248">
        <f>IF(ISNA(VLOOKUP(B34,'4ème J.'!$BH$9:$BK$62,4,0))," ",IF(VLOOKUP(B34,'4ème J.'!$BH$9:$BK$62,4,0)=0,"0",VLOOKUP(B34,'4ème J.'!$BH$9:$BK$62,4,0)))</f>
        <v>2</v>
      </c>
      <c r="R34" s="299"/>
      <c r="S34" s="248">
        <f>IF(ISNA(VLOOKUP(B34,'5ème J.'!$BH$9:$BK$62,2,0))," ",IF(VLOOKUP(B34,'5ème J.'!$BH$9:$BK$62,2,0)=0,"0",VLOOKUP(B34,'5ème J.'!$BH$9:$BK$62,2,0)))</f>
        <v>3</v>
      </c>
      <c r="T34" s="248">
        <f>IF(ISNA(VLOOKUP(B34,'5ème J.'!$BH$9:$BK$62,3,0))," ",IF(VLOOKUP(B34,'5ème J.'!$BH$9:$BK$62,3,0)=0,"0",VLOOKUP(B34,'5ème J.'!$BH$9:$BK$62,3,0)))</f>
        <v>-21</v>
      </c>
      <c r="U34" s="248">
        <f>IF(ISNA(VLOOKUP(B34,'5ème J.'!$BH$9:$BK$62,4,0))," ",IF(VLOOKUP(B34,'5ème J.'!$BH$9:$BK$62,4,0)=0,"0",VLOOKUP(B34,'5ème J.'!$BH$9:$BK$62,4,0)))</f>
        <v>8</v>
      </c>
      <c r="V34" s="299"/>
      <c r="W34" s="248">
        <f>IF(ISNA(VLOOKUP(B34,'6ème J.'!$BH$9:$BK$62,2,0))," ",IF(VLOOKUP(B34,'6ème J.'!$BH$9:$BK$62,2,0)=0,"0",VLOOKUP(B34,'6ème J.'!$BH$9:$BK$62,2,0)))</f>
        <v>3</v>
      </c>
      <c r="X34" s="248">
        <f>IF(ISNA(VLOOKUP(B34,'6ème J.'!$BH$9:$BK$62,3,0))," ",IF(VLOOKUP(B34,'6ème J.'!$BH$9:$BK$62,3,0)=0,"0",VLOOKUP(B34,'6ème J.'!$BH$9:$BK$62,3,0)))</f>
        <v>-5</v>
      </c>
      <c r="Y34" s="248">
        <f>IF(ISNA(VLOOKUP(B34,'6ème J.'!$BH$9:$BK$62,4,0))," ",IF(VLOOKUP(B34,'6ème J.'!$BH$9:$BK$62,4,0)=0,"0",VLOOKUP(B34,'6ème J.'!$BH$9:$BK$62,4,0)))</f>
        <v>23</v>
      </c>
      <c r="Z34" s="88"/>
      <c r="AA34" s="344" t="str">
        <f t="shared" si="0"/>
        <v>B11</v>
      </c>
      <c r="AB34" s="252">
        <f t="shared" si="5"/>
        <v>13</v>
      </c>
      <c r="AC34" s="390">
        <f t="shared" si="6"/>
        <v>-25</v>
      </c>
      <c r="AD34" s="345">
        <f t="shared" si="7"/>
        <v>38</v>
      </c>
      <c r="AE34" s="250">
        <f t="shared" si="8"/>
        <v>38.246200340000001</v>
      </c>
      <c r="AF34" s="251">
        <f>IF(AB34="","",SMALL(AE$6:AE$59,ROWS(AB$6:AB34)))</f>
        <v>28.194000129999999</v>
      </c>
      <c r="AG34" s="251"/>
      <c r="AH34" s="304">
        <f>IF(AF34="","",IF(AND(AJ33=AJ34,AK33=AK34,AL34=AL33),AH33,$AH$6+28))</f>
        <v>29</v>
      </c>
      <c r="AI34" s="252" t="str">
        <f t="shared" si="1"/>
        <v>A8</v>
      </c>
      <c r="AJ34" s="252">
        <f t="shared" si="2"/>
        <v>20</v>
      </c>
      <c r="AK34" s="306">
        <f t="shared" si="3"/>
        <v>-20</v>
      </c>
      <c r="AL34" s="309">
        <f t="shared" si="4"/>
        <v>60</v>
      </c>
      <c r="AN34" s="254">
        <v>29</v>
      </c>
    </row>
    <row r="35" spans="1:40">
      <c r="A35" s="354">
        <v>30</v>
      </c>
      <c r="B35" s="351" t="str">
        <f>+Inscrits!D14</f>
        <v>B12</v>
      </c>
      <c r="C35" s="248" t="str">
        <f>IF(ISNA(VLOOKUP(B35,'1ère J.'!$BH$9:$BK$62,2,0))," ",IF(VLOOKUP(B35,'1ère J.'!$BH$9:$BK$62,2,0)=0,"0",VLOOKUP(B35,'1ère J.'!$BH$9:$BK$62,2,0)))</f>
        <v>0</v>
      </c>
      <c r="D35" s="248" t="str">
        <f>IF(ISNA(VLOOKUP(B35,'1ère J.'!$BH$9:$BK$62,3,0))," ",IF(VLOOKUP(B35,'1ère J.'!$BH$9:$BK$62,3,0)=0,"0",VLOOKUP(B35,'1ère J.'!$BH$9:$BK$62,3,0)))</f>
        <v>0</v>
      </c>
      <c r="E35" s="248" t="str">
        <f>IF(ISNA(VLOOKUP(B35,'1ère J.'!$BH$9:$BK$62,4,0))," ",IF(VLOOKUP(B35,'1ère J.'!$BH$9:$BK$62,4,0)=0,"0",VLOOKUP(B35,'1ère J.'!$BH$9:$BK$62,4,0)))</f>
        <v>0</v>
      </c>
      <c r="F35" s="299"/>
      <c r="G35" s="248" t="str">
        <f>IF(ISNA(VLOOKUP(B35,'2ème J.'!$BH$9:$BK$62,2,0))," ",IF(VLOOKUP(B35,'2ème J.'!$BH$9:$BK$62,2,0)=0,"0",VLOOKUP(B35,'2ème J.'!$BH$9:$BK$62,2,0)))</f>
        <v>0</v>
      </c>
      <c r="H35" s="248" t="str">
        <f>IF(ISNA(VLOOKUP(B35,'2ème J.'!$BH$9:$BK$62,3,0))," ",IF(VLOOKUP(B35,'2ème J.'!$BH$9:$BK$62,3,0)=0,"0",VLOOKUP(B35,'2ème J.'!$BH$9:$BK$62,3,0)))</f>
        <v>0</v>
      </c>
      <c r="I35" s="248" t="str">
        <f>IF(ISNA(VLOOKUP(B35,'2ème J.'!$BH$9:$BK$62,4,0))," ",IF(VLOOKUP(B35,'2ème J.'!$BH$9:$BK$62,4,0)=0,"0",VLOOKUP(B35,'2ème J.'!$BH$9:$BK$62,4,0)))</f>
        <v>0</v>
      </c>
      <c r="J35" s="315"/>
      <c r="K35" s="248" t="str">
        <f>IF(ISNA(VLOOKUP(B35,'3ème J.'!$BH$9:$BK$62,2,0))," ",IF(VLOOKUP(B35,'3ème J.'!$BH$9:$BK$62,2,0)=0,"0",VLOOKUP(B35,'3ème J.'!$BH$9:$BK$62,2,0)))</f>
        <v>0</v>
      </c>
      <c r="L35" s="248" t="str">
        <f>IF(ISNA(VLOOKUP(B35,'3ème J.'!$BH$9:$BK$62,3,0))," ",IF(VLOOKUP(B35,'3ème J.'!$BH$9:$BK$62,3,0)=0,"0",VLOOKUP(B35,'3ème J.'!$BH$9:$BK$62,3,0)))</f>
        <v>0</v>
      </c>
      <c r="M35" s="248" t="str">
        <f>IF(ISNA(VLOOKUP(B35,'3ème J.'!$BH$9:$BK$62,4,0))," ",IF(VLOOKUP(B35,'3ème J.'!$BH$9:$BK$62,4,0)=0,"0",VLOOKUP(B35,'3ème J.'!$BH$9:$BK$62,4,0)))</f>
        <v>0</v>
      </c>
      <c r="N35" s="315"/>
      <c r="O35" s="248" t="str">
        <f>IF(ISNA(VLOOKUP(B35,'4ème J.'!$BH$9:$BK$62,2,0))," ",IF(VLOOKUP(B35,'4ème J.'!$BH$9:$BK$62,2,0)=0,"0",VLOOKUP(B35,'4ème J.'!$BH$9:$BK$62,2,0)))</f>
        <v>0</v>
      </c>
      <c r="P35" s="248" t="str">
        <f>IF(ISNA(VLOOKUP(B35,'4ème J.'!$BH$9:$BK$62,3,0))," ",IF(VLOOKUP(B35,'4ème J.'!$BH$9:$BK$62,3,0)=0,"0",VLOOKUP(B35,'4ème J.'!$BH$9:$BK$62,3,0)))</f>
        <v>0</v>
      </c>
      <c r="Q35" s="248" t="str">
        <f>IF(ISNA(VLOOKUP(B35,'4ème J.'!$BH$9:$BK$62,4,0))," ",IF(VLOOKUP(B35,'4ème J.'!$BH$9:$BK$62,4,0)=0,"0",VLOOKUP(B35,'4ème J.'!$BH$9:$BK$62,4,0)))</f>
        <v>0</v>
      </c>
      <c r="R35" s="299"/>
      <c r="S35" s="248">
        <f>IF(ISNA(VLOOKUP(B35,'5ème J.'!$BH$9:$BK$62,2,0))," ",IF(VLOOKUP(B35,'5ème J.'!$BH$9:$BK$62,2,0)=0,"0",VLOOKUP(B35,'5ème J.'!$BH$9:$BK$62,2,0)))</f>
        <v>9</v>
      </c>
      <c r="T35" s="248">
        <f>IF(ISNA(VLOOKUP(B35,'5ème J.'!$BH$9:$BK$62,3,0))," ",IF(VLOOKUP(B35,'5ème J.'!$BH$9:$BK$62,3,0)=0,"0",VLOOKUP(B35,'5ème J.'!$BH$9:$BK$62,3,0)))</f>
        <v>21</v>
      </c>
      <c r="U35" s="248">
        <f>IF(ISNA(VLOOKUP(B35,'5ème J.'!$BH$9:$BK$62,4,0))," ",IF(VLOOKUP(B35,'5ème J.'!$BH$9:$BK$62,4,0)=0,"0",VLOOKUP(B35,'5ème J.'!$BH$9:$BK$62,4,0)))</f>
        <v>29</v>
      </c>
      <c r="V35" s="299"/>
      <c r="W35" s="248">
        <f>IF(ISNA(VLOOKUP(B35,'6ème J.'!$BH$9:$BK$62,2,0))," ",IF(VLOOKUP(B35,'6ème J.'!$BH$9:$BK$62,2,0)=0,"0",VLOOKUP(B35,'6ème J.'!$BH$9:$BK$62,2,0)))</f>
        <v>9</v>
      </c>
      <c r="X35" s="248">
        <f>IF(ISNA(VLOOKUP(B35,'6ème J.'!$BH$9:$BK$62,3,0))," ",IF(VLOOKUP(B35,'6ème J.'!$BH$9:$BK$62,3,0)=0,"0",VLOOKUP(B35,'6ème J.'!$BH$9:$BK$62,3,0)))</f>
        <v>5</v>
      </c>
      <c r="Y35" s="248">
        <f>IF(ISNA(VLOOKUP(B35,'6ème J.'!$BH$9:$BK$62,4,0))," ",IF(VLOOKUP(B35,'6ème J.'!$BH$9:$BK$62,4,0)=0,"0",VLOOKUP(B35,'6ème J.'!$BH$9:$BK$62,4,0)))</f>
        <v>28</v>
      </c>
      <c r="Z35" s="88"/>
      <c r="AA35" s="344" t="str">
        <f t="shared" si="0"/>
        <v>B12</v>
      </c>
      <c r="AB35" s="252">
        <f t="shared" si="5"/>
        <v>18</v>
      </c>
      <c r="AC35" s="390">
        <f t="shared" si="6"/>
        <v>26</v>
      </c>
      <c r="AD35" s="345">
        <f t="shared" si="7"/>
        <v>57</v>
      </c>
      <c r="AE35" s="250">
        <f t="shared" si="8"/>
        <v>31.734300349999998</v>
      </c>
      <c r="AF35" s="251">
        <f>IF(AB35="","",SMALL(AE$6:AE$59,ROWS(AB$6:AB35)))</f>
        <v>29.905200170000001</v>
      </c>
      <c r="AG35" s="251"/>
      <c r="AH35" s="304">
        <f>IF(AF35="","",IF(AND(AJ34=AJ35,AK34=AK35,AL35=AL34),AH34,$AH$6+29))</f>
        <v>30</v>
      </c>
      <c r="AI35" s="252" t="str">
        <f t="shared" si="1"/>
        <v>A12</v>
      </c>
      <c r="AJ35" s="252">
        <f t="shared" si="2"/>
        <v>19</v>
      </c>
      <c r="AK35" s="306">
        <f t="shared" si="3"/>
        <v>9</v>
      </c>
      <c r="AL35" s="309">
        <f t="shared" si="4"/>
        <v>48</v>
      </c>
      <c r="AN35" s="254">
        <v>30</v>
      </c>
    </row>
    <row r="36" spans="1:40">
      <c r="A36" s="354">
        <v>31</v>
      </c>
      <c r="B36" s="351" t="str">
        <f>+Inscrits!D15</f>
        <v>B13</v>
      </c>
      <c r="C36" s="248" t="str">
        <f>IF(ISNA(VLOOKUP(B36,'1ère J.'!$BH$9:$BK$62,2,0))," ",IF(VLOOKUP(B36,'1ère J.'!$BH$9:$BK$62,2,0)=0,"0",VLOOKUP(B36,'1ère J.'!$BH$9:$BK$62,2,0)))</f>
        <v>0</v>
      </c>
      <c r="D36" s="248" t="str">
        <f>IF(ISNA(VLOOKUP(B36,'1ère J.'!$BH$9:$BK$62,3,0))," ",IF(VLOOKUP(B36,'1ère J.'!$BH$9:$BK$62,3,0)=0,"0",VLOOKUP(B36,'1ère J.'!$BH$9:$BK$62,3,0)))</f>
        <v>0</v>
      </c>
      <c r="E36" s="248" t="str">
        <f>IF(ISNA(VLOOKUP(B36,'1ère J.'!$BH$9:$BK$62,4,0))," ",IF(VLOOKUP(B36,'1ère J.'!$BH$9:$BK$62,4,0)=0,"0",VLOOKUP(B36,'1ère J.'!$BH$9:$BK$62,4,0)))</f>
        <v>0</v>
      </c>
      <c r="F36" s="299"/>
      <c r="G36" s="248" t="str">
        <f>IF(ISNA(VLOOKUP(B36,'2ème J.'!$BH$9:$BK$62,2,0))," ",IF(VLOOKUP(B36,'2ème J.'!$BH$9:$BK$62,2,0)=0,"0",VLOOKUP(B36,'2ème J.'!$BH$9:$BK$62,2,0)))</f>
        <v>0</v>
      </c>
      <c r="H36" s="248" t="str">
        <f>IF(ISNA(VLOOKUP(B36,'2ème J.'!$BH$9:$BK$62,3,0))," ",IF(VLOOKUP(B36,'2ème J.'!$BH$9:$BK$62,3,0)=0,"0",VLOOKUP(B36,'2ème J.'!$BH$9:$BK$62,3,0)))</f>
        <v>0</v>
      </c>
      <c r="I36" s="248" t="str">
        <f>IF(ISNA(VLOOKUP(B36,'2ème J.'!$BH$9:$BK$62,4,0))," ",IF(VLOOKUP(B36,'2ème J.'!$BH$9:$BK$62,4,0)=0,"0",VLOOKUP(B36,'2ème J.'!$BH$9:$BK$62,4,0)))</f>
        <v>0</v>
      </c>
      <c r="J36" s="315"/>
      <c r="K36" s="248" t="str">
        <f>IF(ISNA(VLOOKUP(B36,'3ème J.'!$BH$9:$BK$62,2,0))," ",IF(VLOOKUP(B36,'3ème J.'!$BH$9:$BK$62,2,0)=0,"0",VLOOKUP(B36,'3ème J.'!$BH$9:$BK$62,2,0)))</f>
        <v>0</v>
      </c>
      <c r="L36" s="248" t="str">
        <f>IF(ISNA(VLOOKUP(B36,'3ème J.'!$BH$9:$BK$62,3,0))," ",IF(VLOOKUP(B36,'3ème J.'!$BH$9:$BK$62,3,0)=0,"0",VLOOKUP(B36,'3ème J.'!$BH$9:$BK$62,3,0)))</f>
        <v>0</v>
      </c>
      <c r="M36" s="248" t="str">
        <f>IF(ISNA(VLOOKUP(B36,'3ème J.'!$BH$9:$BK$62,4,0))," ",IF(VLOOKUP(B36,'3ème J.'!$BH$9:$BK$62,4,0)=0,"0",VLOOKUP(B36,'3ème J.'!$BH$9:$BK$62,4,0)))</f>
        <v>0</v>
      </c>
      <c r="N36" s="315"/>
      <c r="O36" s="248" t="str">
        <f>IF(ISNA(VLOOKUP(B36,'4ème J.'!$BH$9:$BK$62,2,0))," ",IF(VLOOKUP(B36,'4ème J.'!$BH$9:$BK$62,2,0)=0,"0",VLOOKUP(B36,'4ème J.'!$BH$9:$BK$62,2,0)))</f>
        <v>0</v>
      </c>
      <c r="P36" s="248" t="str">
        <f>IF(ISNA(VLOOKUP(B36,'4ème J.'!$BH$9:$BK$62,3,0))," ",IF(VLOOKUP(B36,'4ème J.'!$BH$9:$BK$62,3,0)=0,"0",VLOOKUP(B36,'4ème J.'!$BH$9:$BK$62,3,0)))</f>
        <v>0</v>
      </c>
      <c r="Q36" s="248" t="str">
        <f>IF(ISNA(VLOOKUP(B36,'4ème J.'!$BH$9:$BK$62,4,0))," ",IF(VLOOKUP(B36,'4ème J.'!$BH$9:$BK$62,4,0)=0,"0",VLOOKUP(B36,'4ème J.'!$BH$9:$BK$62,4,0)))</f>
        <v>0</v>
      </c>
      <c r="R36" s="299"/>
      <c r="S36" s="248">
        <f>IF(ISNA(VLOOKUP(B36,'5ème J.'!$BH$9:$BK$62,2,0))," ",IF(VLOOKUP(B36,'5ème J.'!$BH$9:$BK$62,2,0)=0,"0",VLOOKUP(B36,'5ème J.'!$BH$9:$BK$62,2,0)))</f>
        <v>3</v>
      </c>
      <c r="T36" s="248">
        <f>IF(ISNA(VLOOKUP(B36,'5ème J.'!$BH$9:$BK$62,3,0))," ",IF(VLOOKUP(B36,'5ème J.'!$BH$9:$BK$62,3,0)=0,"0",VLOOKUP(B36,'5ème J.'!$BH$9:$BK$62,3,0)))</f>
        <v>-19</v>
      </c>
      <c r="U36" s="248">
        <f>IF(ISNA(VLOOKUP(B36,'5ème J.'!$BH$9:$BK$62,4,0))," ",IF(VLOOKUP(B36,'5ème J.'!$BH$9:$BK$62,4,0)=0,"0",VLOOKUP(B36,'5ème J.'!$BH$9:$BK$62,4,0)))</f>
        <v>7</v>
      </c>
      <c r="V36" s="299"/>
      <c r="W36" s="248">
        <f>IF(ISNA(VLOOKUP(B36,'6ème J.'!$BH$9:$BK$62,2,0))," ",IF(VLOOKUP(B36,'6ème J.'!$BH$9:$BK$62,2,0)=0,"0",VLOOKUP(B36,'6ème J.'!$BH$9:$BK$62,2,0)))</f>
        <v>7</v>
      </c>
      <c r="X36" s="248">
        <f>IF(ISNA(VLOOKUP(B36,'6ème J.'!$BH$9:$BK$62,3,0))," ",IF(VLOOKUP(B36,'6ème J.'!$BH$9:$BK$62,3,0)=0,"0",VLOOKUP(B36,'6ème J.'!$BH$9:$BK$62,3,0)))</f>
        <v>-3</v>
      </c>
      <c r="Y36" s="248">
        <f>IF(ISNA(VLOOKUP(B36,'6ème J.'!$BH$9:$BK$62,4,0))," ",IF(VLOOKUP(B36,'6ème J.'!$BH$9:$BK$62,4,0)=0,"0",VLOOKUP(B36,'6ème J.'!$BH$9:$BK$62,4,0)))</f>
        <v>19</v>
      </c>
      <c r="Z36" s="88"/>
      <c r="AA36" s="344" t="str">
        <f t="shared" si="0"/>
        <v>B13</v>
      </c>
      <c r="AB36" s="252">
        <f t="shared" si="5"/>
        <v>10</v>
      </c>
      <c r="AC36" s="390">
        <f t="shared" si="6"/>
        <v>-22</v>
      </c>
      <c r="AD36" s="345">
        <f t="shared" si="7"/>
        <v>26</v>
      </c>
      <c r="AE36" s="250">
        <f t="shared" si="8"/>
        <v>42.217400359999999</v>
      </c>
      <c r="AF36" s="251">
        <f>IF(AB36="","",SMALL(AE$6:AE$59,ROWS(AB$6:AB36)))</f>
        <v>30.02550016</v>
      </c>
      <c r="AG36" s="251"/>
      <c r="AH36" s="304">
        <f>IF(AF36="","",IF(AND(AJ35=AJ36,AK35=AK36,AL36=AL35),AH35,$AH$6+30))</f>
        <v>31</v>
      </c>
      <c r="AI36" s="252" t="str">
        <f t="shared" si="1"/>
        <v>A11</v>
      </c>
      <c r="AJ36" s="252">
        <f t="shared" si="2"/>
        <v>19</v>
      </c>
      <c r="AK36" s="306">
        <f t="shared" si="3"/>
        <v>-3</v>
      </c>
      <c r="AL36" s="309">
        <f t="shared" si="4"/>
        <v>45</v>
      </c>
      <c r="AN36" s="254">
        <v>31</v>
      </c>
    </row>
    <row r="37" spans="1:40">
      <c r="A37" s="354">
        <v>32</v>
      </c>
      <c r="B37" s="351" t="str">
        <f>+Inscrits!D16</f>
        <v>B14</v>
      </c>
      <c r="C37" s="248" t="str">
        <f>IF(ISNA(VLOOKUP(B37,'1ère J.'!$BH$9:$BK$62,2,0))," ",IF(VLOOKUP(B37,'1ère J.'!$BH$9:$BK$62,2,0)=0,"0",VLOOKUP(B37,'1ère J.'!$BH$9:$BK$62,2,0)))</f>
        <v>0</v>
      </c>
      <c r="D37" s="248" t="str">
        <f>IF(ISNA(VLOOKUP(B37,'1ère J.'!$BH$9:$BK$62,3,0))," ",IF(VLOOKUP(B37,'1ère J.'!$BH$9:$BK$62,3,0)=0,"0",VLOOKUP(B37,'1ère J.'!$BH$9:$BK$62,3,0)))</f>
        <v>0</v>
      </c>
      <c r="E37" s="248" t="str">
        <f>IF(ISNA(VLOOKUP(B37,'1ère J.'!$BH$9:$BK$62,4,0))," ",IF(VLOOKUP(B37,'1ère J.'!$BH$9:$BK$62,4,0)=0,"0",VLOOKUP(B37,'1ère J.'!$BH$9:$BK$62,4,0)))</f>
        <v>0</v>
      </c>
      <c r="F37" s="299"/>
      <c r="G37" s="248" t="str">
        <f>IF(ISNA(VLOOKUP(B37,'2ème J.'!$BH$9:$BK$62,2,0))," ",IF(VLOOKUP(B37,'2ème J.'!$BH$9:$BK$62,2,0)=0,"0",VLOOKUP(B37,'2ème J.'!$BH$9:$BK$62,2,0)))</f>
        <v>0</v>
      </c>
      <c r="H37" s="248" t="str">
        <f>IF(ISNA(VLOOKUP(B37,'2ème J.'!$BH$9:$BK$62,3,0))," ",IF(VLOOKUP(B37,'2ème J.'!$BH$9:$BK$62,3,0)=0,"0",VLOOKUP(B37,'2ème J.'!$BH$9:$BK$62,3,0)))</f>
        <v>0</v>
      </c>
      <c r="I37" s="248" t="str">
        <f>IF(ISNA(VLOOKUP(B37,'2ème J.'!$BH$9:$BK$62,4,0))," ",IF(VLOOKUP(B37,'2ème J.'!$BH$9:$BK$62,4,0)=0,"0",VLOOKUP(B37,'2ème J.'!$BH$9:$BK$62,4,0)))</f>
        <v>0</v>
      </c>
      <c r="J37" s="315"/>
      <c r="K37" s="248" t="str">
        <f>IF(ISNA(VLOOKUP(B37,'3ème J.'!$BH$9:$BK$62,2,0))," ",IF(VLOOKUP(B37,'3ème J.'!$BH$9:$BK$62,2,0)=0,"0",VLOOKUP(B37,'3ème J.'!$BH$9:$BK$62,2,0)))</f>
        <v>0</v>
      </c>
      <c r="L37" s="248" t="str">
        <f>IF(ISNA(VLOOKUP(B37,'3ème J.'!$BH$9:$BK$62,3,0))," ",IF(VLOOKUP(B37,'3ème J.'!$BH$9:$BK$62,3,0)=0,"0",VLOOKUP(B37,'3ème J.'!$BH$9:$BK$62,3,0)))</f>
        <v>0</v>
      </c>
      <c r="M37" s="248" t="str">
        <f>IF(ISNA(VLOOKUP(B37,'3ème J.'!$BH$9:$BK$62,4,0))," ",IF(VLOOKUP(B37,'3ème J.'!$BH$9:$BK$62,4,0)=0,"0",VLOOKUP(B37,'3ème J.'!$BH$9:$BK$62,4,0)))</f>
        <v>0</v>
      </c>
      <c r="N37" s="315"/>
      <c r="O37" s="248" t="str">
        <f>IF(ISNA(VLOOKUP(B37,'4ème J.'!$BH$9:$BK$62,2,0))," ",IF(VLOOKUP(B37,'4ème J.'!$BH$9:$BK$62,2,0)=0,"0",VLOOKUP(B37,'4ème J.'!$BH$9:$BK$62,2,0)))</f>
        <v>0</v>
      </c>
      <c r="P37" s="248" t="str">
        <f>IF(ISNA(VLOOKUP(B37,'4ème J.'!$BH$9:$BK$62,3,0))," ",IF(VLOOKUP(B37,'4ème J.'!$BH$9:$BK$62,3,0)=0,"0",VLOOKUP(B37,'4ème J.'!$BH$9:$BK$62,3,0)))</f>
        <v>0</v>
      </c>
      <c r="Q37" s="248" t="str">
        <f>IF(ISNA(VLOOKUP(B37,'4ème J.'!$BH$9:$BK$62,4,0))," ",IF(VLOOKUP(B37,'4ème J.'!$BH$9:$BK$62,4,0)=0,"0",VLOOKUP(B37,'4ème J.'!$BH$9:$BK$62,4,0)))</f>
        <v>0</v>
      </c>
      <c r="R37" s="299"/>
      <c r="S37" s="248">
        <f>IF(ISNA(VLOOKUP(B37,'5ème J.'!$BH$9:$BK$62,2,0))," ",IF(VLOOKUP(B37,'5ème J.'!$BH$9:$BK$62,2,0)=0,"0",VLOOKUP(B37,'5ème J.'!$BH$9:$BK$62,2,0)))</f>
        <v>9</v>
      </c>
      <c r="T37" s="248">
        <f>IF(ISNA(VLOOKUP(B37,'5ème J.'!$BH$9:$BK$62,3,0))," ",IF(VLOOKUP(B37,'5ème J.'!$BH$9:$BK$62,3,0)=0,"0",VLOOKUP(B37,'5ème J.'!$BH$9:$BK$62,3,0)))</f>
        <v>19</v>
      </c>
      <c r="U37" s="248">
        <f>IF(ISNA(VLOOKUP(B37,'5ème J.'!$BH$9:$BK$62,4,0))," ",IF(VLOOKUP(B37,'5ème J.'!$BH$9:$BK$62,4,0)=0,"0",VLOOKUP(B37,'5ème J.'!$BH$9:$BK$62,4,0)))</f>
        <v>26</v>
      </c>
      <c r="V37" s="299"/>
      <c r="W37" s="248">
        <f>IF(ISNA(VLOOKUP(B37,'6ème J.'!$BH$9:$BK$62,2,0))," ",IF(VLOOKUP(B37,'6ème J.'!$BH$9:$BK$62,2,0)=0,"0",VLOOKUP(B37,'6ème J.'!$BH$9:$BK$62,2,0)))</f>
        <v>5</v>
      </c>
      <c r="X37" s="248">
        <f>IF(ISNA(VLOOKUP(B37,'6ème J.'!$BH$9:$BK$62,3,0))," ",IF(VLOOKUP(B37,'6ème J.'!$BH$9:$BK$62,3,0)=0,"0",VLOOKUP(B37,'6ème J.'!$BH$9:$BK$62,3,0)))</f>
        <v>3</v>
      </c>
      <c r="Y37" s="248">
        <f>IF(ISNA(VLOOKUP(B37,'6ème J.'!$BH$9:$BK$62,4,0))," ",IF(VLOOKUP(B37,'6ème J.'!$BH$9:$BK$62,4,0)=0,"0",VLOOKUP(B37,'6ème J.'!$BH$9:$BK$62,4,0)))</f>
        <v>22</v>
      </c>
      <c r="Z37" s="88"/>
      <c r="AA37" s="344" t="str">
        <f t="shared" si="0"/>
        <v>B14</v>
      </c>
      <c r="AB37" s="252">
        <f t="shared" si="5"/>
        <v>14</v>
      </c>
      <c r="AC37" s="390">
        <f t="shared" si="6"/>
        <v>22</v>
      </c>
      <c r="AD37" s="345">
        <f t="shared" si="7"/>
        <v>48</v>
      </c>
      <c r="AE37" s="250">
        <f t="shared" si="8"/>
        <v>34.77520037</v>
      </c>
      <c r="AF37" s="251">
        <f>IF(AB37="","",SMALL(AE$6:AE$59,ROWS(AB$6:AB37)))</f>
        <v>31.734300349999998</v>
      </c>
      <c r="AG37" s="251"/>
      <c r="AH37" s="304">
        <f>IF(AF37="","",IF(AND(AJ36=AJ37,AK36=AK37,AL37=AL36),AH36,$AH$6+31))</f>
        <v>32</v>
      </c>
      <c r="AI37" s="252" t="str">
        <f t="shared" si="1"/>
        <v>B12</v>
      </c>
      <c r="AJ37" s="252">
        <f t="shared" si="2"/>
        <v>18</v>
      </c>
      <c r="AK37" s="306">
        <f t="shared" si="3"/>
        <v>26</v>
      </c>
      <c r="AL37" s="309">
        <f t="shared" si="4"/>
        <v>57</v>
      </c>
      <c r="AN37" s="254">
        <v>32</v>
      </c>
    </row>
    <row r="38" spans="1:40">
      <c r="A38" s="354">
        <v>33</v>
      </c>
      <c r="B38" s="351" t="str">
        <f>+Inscrits!D17</f>
        <v>B15</v>
      </c>
      <c r="C38" s="248" t="str">
        <f>IF(ISNA(VLOOKUP(B38,'1ère J.'!$BH$9:$BK$62,2,0))," ",IF(VLOOKUP(B38,'1ère J.'!$BH$9:$BK$62,2,0)=0,"0",VLOOKUP(B38,'1ère J.'!$BH$9:$BK$62,2,0)))</f>
        <v>0</v>
      </c>
      <c r="D38" s="248" t="str">
        <f>IF(ISNA(VLOOKUP(B38,'1ère J.'!$BH$9:$BK$62,3,0))," ",IF(VLOOKUP(B38,'1ère J.'!$BH$9:$BK$62,3,0)=0,"0",VLOOKUP(B38,'1ère J.'!$BH$9:$BK$62,3,0)))</f>
        <v>0</v>
      </c>
      <c r="E38" s="248" t="str">
        <f>IF(ISNA(VLOOKUP(B38,'1ère J.'!$BH$9:$BK$62,4,0))," ",IF(VLOOKUP(B38,'1ère J.'!$BH$9:$BK$62,4,0)=0,"0",VLOOKUP(B38,'1ère J.'!$BH$9:$BK$62,4,0)))</f>
        <v>0</v>
      </c>
      <c r="F38" s="299"/>
      <c r="G38" s="248" t="str">
        <f>IF(ISNA(VLOOKUP(B38,'2ème J.'!$BH$9:$BK$62,2,0))," ",IF(VLOOKUP(B38,'2ème J.'!$BH$9:$BK$62,2,0)=0,"0",VLOOKUP(B38,'2ème J.'!$BH$9:$BK$62,2,0)))</f>
        <v>0</v>
      </c>
      <c r="H38" s="248" t="str">
        <f>IF(ISNA(VLOOKUP(B38,'2ème J.'!$BH$9:$BK$62,3,0))," ",IF(VLOOKUP(B38,'2ème J.'!$BH$9:$BK$62,3,0)=0,"0",VLOOKUP(B38,'2ème J.'!$BH$9:$BK$62,3,0)))</f>
        <v>0</v>
      </c>
      <c r="I38" s="248" t="str">
        <f>IF(ISNA(VLOOKUP(B38,'2ème J.'!$BH$9:$BK$62,4,0))," ",IF(VLOOKUP(B38,'2ème J.'!$BH$9:$BK$62,4,0)=0,"0",VLOOKUP(B38,'2ème J.'!$BH$9:$BK$62,4,0)))</f>
        <v>0</v>
      </c>
      <c r="J38" s="315"/>
      <c r="K38" s="248" t="str">
        <f>IF(ISNA(VLOOKUP(B38,'3ème J.'!$BH$9:$BK$62,2,0))," ",IF(VLOOKUP(B38,'3ème J.'!$BH$9:$BK$62,2,0)=0,"0",VLOOKUP(B38,'3ème J.'!$BH$9:$BK$62,2,0)))</f>
        <v>0</v>
      </c>
      <c r="L38" s="248" t="str">
        <f>IF(ISNA(VLOOKUP(B38,'3ème J.'!$BH$9:$BK$62,3,0))," ",IF(VLOOKUP(B38,'3ème J.'!$BH$9:$BK$62,3,0)=0,"0",VLOOKUP(B38,'3ème J.'!$BH$9:$BK$62,3,0)))</f>
        <v>0</v>
      </c>
      <c r="M38" s="248" t="str">
        <f>IF(ISNA(VLOOKUP(B38,'3ème J.'!$BH$9:$BK$62,4,0))," ",IF(VLOOKUP(B38,'3ème J.'!$BH$9:$BK$62,4,0)=0,"0",VLOOKUP(B38,'3ème J.'!$BH$9:$BK$62,4,0)))</f>
        <v>0</v>
      </c>
      <c r="N38" s="315"/>
      <c r="O38" s="248" t="str">
        <f>IF(ISNA(VLOOKUP(B38,'4ème J.'!$BH$9:$BK$62,2,0))," ",IF(VLOOKUP(B38,'4ème J.'!$BH$9:$BK$62,2,0)=0,"0",VLOOKUP(B38,'4ème J.'!$BH$9:$BK$62,2,0)))</f>
        <v>0</v>
      </c>
      <c r="P38" s="248" t="str">
        <f>IF(ISNA(VLOOKUP(B38,'4ème J.'!$BH$9:$BK$62,3,0))," ",IF(VLOOKUP(B38,'4ème J.'!$BH$9:$BK$62,3,0)=0,"0",VLOOKUP(B38,'4ème J.'!$BH$9:$BK$62,3,0)))</f>
        <v>0</v>
      </c>
      <c r="Q38" s="248" t="str">
        <f>IF(ISNA(VLOOKUP(B38,'4ème J.'!$BH$9:$BK$62,4,0))," ",IF(VLOOKUP(B38,'4ème J.'!$BH$9:$BK$62,4,0)=0,"0",VLOOKUP(B38,'4ème J.'!$BH$9:$BK$62,4,0)))</f>
        <v>0</v>
      </c>
      <c r="R38" s="299"/>
      <c r="S38" s="248">
        <f>IF(ISNA(VLOOKUP(B38,'5ème J.'!$BH$9:$BK$62,2,0))," ",IF(VLOOKUP(B38,'5ème J.'!$BH$9:$BK$62,2,0)=0,"0",VLOOKUP(B38,'5ème J.'!$BH$9:$BK$62,2,0)))</f>
        <v>7</v>
      </c>
      <c r="T38" s="248">
        <f>IF(ISNA(VLOOKUP(B38,'5ème J.'!$BH$9:$BK$62,3,0))," ",IF(VLOOKUP(B38,'5ème J.'!$BH$9:$BK$62,3,0)=0,"0",VLOOKUP(B38,'5ème J.'!$BH$9:$BK$62,3,0)))</f>
        <v>11</v>
      </c>
      <c r="U38" s="248">
        <f>IF(ISNA(VLOOKUP(B38,'5ème J.'!$BH$9:$BK$62,4,0))," ",IF(VLOOKUP(B38,'5ème J.'!$BH$9:$BK$62,4,0)=0,"0",VLOOKUP(B38,'5ème J.'!$BH$9:$BK$62,4,0)))</f>
        <v>26</v>
      </c>
      <c r="V38" s="299"/>
      <c r="W38" s="248">
        <f>IF(ISNA(VLOOKUP(B38,'6ème J.'!$BH$9:$BK$62,2,0))," ",IF(VLOOKUP(B38,'6ème J.'!$BH$9:$BK$62,2,0)=0,"0",VLOOKUP(B38,'6ème J.'!$BH$9:$BK$62,2,0)))</f>
        <v>3</v>
      </c>
      <c r="X38" s="248">
        <f>IF(ISNA(VLOOKUP(B38,'6ème J.'!$BH$9:$BK$62,3,0))," ",IF(VLOOKUP(B38,'6ème J.'!$BH$9:$BK$62,3,0)=0,"0",VLOOKUP(B38,'6ème J.'!$BH$9:$BK$62,3,0)))</f>
        <v>-8</v>
      </c>
      <c r="Y38" s="248">
        <f>IF(ISNA(VLOOKUP(B38,'6ème J.'!$BH$9:$BK$62,4,0))," ",IF(VLOOKUP(B38,'6ème J.'!$BH$9:$BK$62,4,0)=0,"0",VLOOKUP(B38,'6ème J.'!$BH$9:$BK$62,4,0)))</f>
        <v>27</v>
      </c>
      <c r="Z38" s="88"/>
      <c r="AA38" s="344" t="str">
        <f t="shared" ref="AA38:AA59" si="9">VLOOKUP(A38,$A$6:$B$59,2,0)</f>
        <v>B15</v>
      </c>
      <c r="AB38" s="252">
        <f t="shared" ref="AB38:AB59" si="10">SUMIFS(C38:W38,$C$5:$W$5,"Pts",C38:W38,"&lt;&gt;#N/A")</f>
        <v>10</v>
      </c>
      <c r="AC38" s="390">
        <f t="shared" si="6"/>
        <v>3</v>
      </c>
      <c r="AD38" s="345">
        <f t="shared" si="7"/>
        <v>53</v>
      </c>
      <c r="AE38" s="250">
        <f t="shared" si="8"/>
        <v>41.964700380000004</v>
      </c>
      <c r="AF38" s="251">
        <f>IF(AB38="","",SMALL(AE$6:AE$59,ROWS(AB$6:AB38)))</f>
        <v>33.05520052</v>
      </c>
      <c r="AG38" s="251"/>
      <c r="AH38" s="304">
        <f>IF(AF38="","",IF(AND(AJ37=AJ38,AK37=AK38,AL38=AL37),AH37,$AH$6+32))</f>
        <v>33</v>
      </c>
      <c r="AI38" s="252" t="str">
        <f t="shared" ref="AI38:AI59" si="11">IF(OR(AA38="",AB38=""),"",INDEX($AA$6:$AA$59,MATCH(AF38,$AE$6:$AE$59,0)))</f>
        <v>C11</v>
      </c>
      <c r="AJ38" s="252">
        <f t="shared" ref="AJ38:AJ59" si="12">IF(AA38="","",INDEX($AB$6:$AB$59,MATCH(AF38,$AE$6:$AE$59,0)))</f>
        <v>17</v>
      </c>
      <c r="AK38" s="306">
        <f t="shared" ref="AK38:AK59" si="13">IF(AA38="","",INDEX($AC$6:$AC$59,MATCH(AF38,$AE$6:$AE$59,0)))</f>
        <v>-6</v>
      </c>
      <c r="AL38" s="309">
        <f t="shared" ref="AL38:AL59" si="14">IF(AA38="","",INDEX($AD$6:$AD$59,MATCH(AF38,$AE$6:$AE$59,0)))</f>
        <v>48</v>
      </c>
      <c r="AN38" s="254">
        <v>33</v>
      </c>
    </row>
    <row r="39" spans="1:40">
      <c r="A39" s="354">
        <v>34</v>
      </c>
      <c r="B39" s="351" t="str">
        <f>+Inscrits!D18</f>
        <v>B16</v>
      </c>
      <c r="C39" s="248" t="str">
        <f>IF(ISNA(VLOOKUP(B39,'1ère J.'!$BH$9:$BK$62,2,0))," ",IF(VLOOKUP(B39,'1ère J.'!$BH$9:$BK$62,2,0)=0,"0",VLOOKUP(B39,'1ère J.'!$BH$9:$BK$62,2,0)))</f>
        <v>0</v>
      </c>
      <c r="D39" s="248" t="str">
        <f>IF(ISNA(VLOOKUP(B39,'1ère J.'!$BH$9:$BK$62,3,0))," ",IF(VLOOKUP(B39,'1ère J.'!$BH$9:$BK$62,3,0)=0,"0",VLOOKUP(B39,'1ère J.'!$BH$9:$BK$62,3,0)))</f>
        <v>0</v>
      </c>
      <c r="E39" s="248" t="str">
        <f>IF(ISNA(VLOOKUP(B39,'1ère J.'!$BH$9:$BK$62,4,0))," ",IF(VLOOKUP(B39,'1ère J.'!$BH$9:$BK$62,4,0)=0,"0",VLOOKUP(B39,'1ère J.'!$BH$9:$BK$62,4,0)))</f>
        <v>0</v>
      </c>
      <c r="F39" s="299"/>
      <c r="G39" s="248" t="str">
        <f>IF(ISNA(VLOOKUP(B39,'2ème J.'!$BH$9:$BK$62,2,0))," ",IF(VLOOKUP(B39,'2ème J.'!$BH$9:$BK$62,2,0)=0,"0",VLOOKUP(B39,'2ème J.'!$BH$9:$BK$62,2,0)))</f>
        <v>0</v>
      </c>
      <c r="H39" s="248" t="str">
        <f>IF(ISNA(VLOOKUP(B39,'2ème J.'!$BH$9:$BK$62,3,0))," ",IF(VLOOKUP(B39,'2ème J.'!$BH$9:$BK$62,3,0)=0,"0",VLOOKUP(B39,'2ème J.'!$BH$9:$BK$62,3,0)))</f>
        <v>0</v>
      </c>
      <c r="I39" s="248" t="str">
        <f>IF(ISNA(VLOOKUP(B39,'2ème J.'!$BH$9:$BK$62,4,0))," ",IF(VLOOKUP(B39,'2ème J.'!$BH$9:$BK$62,4,0)=0,"0",VLOOKUP(B39,'2ème J.'!$BH$9:$BK$62,4,0)))</f>
        <v>0</v>
      </c>
      <c r="J39" s="315"/>
      <c r="K39" s="248" t="str">
        <f>IF(ISNA(VLOOKUP(B39,'3ème J.'!$BH$9:$BK$62,2,0))," ",IF(VLOOKUP(B39,'3ème J.'!$BH$9:$BK$62,2,0)=0,"0",VLOOKUP(B39,'3ème J.'!$BH$9:$BK$62,2,0)))</f>
        <v>0</v>
      </c>
      <c r="L39" s="248" t="str">
        <f>IF(ISNA(VLOOKUP(B39,'3ème J.'!$BH$9:$BK$62,3,0))," ",IF(VLOOKUP(B39,'3ème J.'!$BH$9:$BK$62,3,0)=0,"0",VLOOKUP(B39,'3ème J.'!$BH$9:$BK$62,3,0)))</f>
        <v>0</v>
      </c>
      <c r="M39" s="248" t="str">
        <f>IF(ISNA(VLOOKUP(B39,'3ème J.'!$BH$9:$BK$62,4,0))," ",IF(VLOOKUP(B39,'3ème J.'!$BH$9:$BK$62,4,0)=0,"0",VLOOKUP(B39,'3ème J.'!$BH$9:$BK$62,4,0)))</f>
        <v>0</v>
      </c>
      <c r="N39" s="315"/>
      <c r="O39" s="248" t="str">
        <f>IF(ISNA(VLOOKUP(B39,'4ème J.'!$BH$9:$BK$62,2,0))," ",IF(VLOOKUP(B39,'4ème J.'!$BH$9:$BK$62,2,0)=0,"0",VLOOKUP(B39,'4ème J.'!$BH$9:$BK$62,2,0)))</f>
        <v>0</v>
      </c>
      <c r="P39" s="248" t="str">
        <f>IF(ISNA(VLOOKUP(B39,'4ème J.'!$BH$9:$BK$62,3,0))," ",IF(VLOOKUP(B39,'4ème J.'!$BH$9:$BK$62,3,0)=0,"0",VLOOKUP(B39,'4ème J.'!$BH$9:$BK$62,3,0)))</f>
        <v>0</v>
      </c>
      <c r="Q39" s="248" t="str">
        <f>IF(ISNA(VLOOKUP(B39,'4ème J.'!$BH$9:$BK$62,4,0))," ",IF(VLOOKUP(B39,'4ème J.'!$BH$9:$BK$62,4,0)=0,"0",VLOOKUP(B39,'4ème J.'!$BH$9:$BK$62,4,0)))</f>
        <v>0</v>
      </c>
      <c r="R39" s="299"/>
      <c r="S39" s="248" t="str">
        <f>IF(ISNA(VLOOKUP(B39,'5ème J.'!$BH$9:$BK$62,2,0))," ",IF(VLOOKUP(B39,'5ème J.'!$BH$9:$BK$62,2,0)=0,"0",VLOOKUP(B39,'5ème J.'!$BH$9:$BK$62,2,0)))</f>
        <v>0</v>
      </c>
      <c r="T39" s="248" t="str">
        <f>IF(ISNA(VLOOKUP(B39,'5ème J.'!$BH$9:$BK$62,3,0))," ",IF(VLOOKUP(B39,'5ème J.'!$BH$9:$BK$62,3,0)=0,"0",VLOOKUP(B39,'5ème J.'!$BH$9:$BK$62,3,0)))</f>
        <v>0</v>
      </c>
      <c r="U39" s="248" t="str">
        <f>IF(ISNA(VLOOKUP(B39,'5ème J.'!$BH$9:$BK$62,4,0))," ",IF(VLOOKUP(B39,'5ème J.'!$BH$9:$BK$62,4,0)=0,"0",VLOOKUP(B39,'5ème J.'!$BH$9:$BK$62,4,0)))</f>
        <v>0</v>
      </c>
      <c r="V39" s="299"/>
      <c r="W39" s="248">
        <f>IF(ISNA(VLOOKUP(B39,'6ème J.'!$BH$9:$BK$62,2,0))," ",IF(VLOOKUP(B39,'6ème J.'!$BH$9:$BK$62,2,0)=0,"0",VLOOKUP(B39,'6ème J.'!$BH$9:$BK$62,2,0)))</f>
        <v>9</v>
      </c>
      <c r="X39" s="248">
        <f>IF(ISNA(VLOOKUP(B39,'6ème J.'!$BH$9:$BK$62,3,0))," ",IF(VLOOKUP(B39,'6ème J.'!$BH$9:$BK$62,3,0)=0,"0",VLOOKUP(B39,'6ème J.'!$BH$9:$BK$62,3,0)))</f>
        <v>8</v>
      </c>
      <c r="Y39" s="248">
        <f>IF(ISNA(VLOOKUP(B39,'6ème J.'!$BH$9:$BK$62,4,0))," ",IF(VLOOKUP(B39,'6ème J.'!$BH$9:$BK$62,4,0)=0,"0",VLOOKUP(B39,'6ème J.'!$BH$9:$BK$62,4,0)))</f>
        <v>35</v>
      </c>
      <c r="Z39" s="88"/>
      <c r="AA39" s="344" t="str">
        <f t="shared" si="9"/>
        <v>B16</v>
      </c>
      <c r="AB39" s="252">
        <f t="shared" si="10"/>
        <v>9</v>
      </c>
      <c r="AC39" s="390">
        <f t="shared" si="6"/>
        <v>8</v>
      </c>
      <c r="AD39" s="345">
        <f t="shared" si="7"/>
        <v>35</v>
      </c>
      <c r="AE39" s="250">
        <f t="shared" si="8"/>
        <v>44.916500389999996</v>
      </c>
      <c r="AF39" s="251">
        <f>IF(AB39="","",SMALL(AE$6:AE$59,ROWS(AB$6:AB39)))</f>
        <v>33.222800509999999</v>
      </c>
      <c r="AG39" s="251"/>
      <c r="AH39" s="304">
        <f>IF(AF39="","",IF(AND(AJ38=AJ39,AK38=AK39,AL39=AL38),AH38,$AH$6+33))</f>
        <v>34</v>
      </c>
      <c r="AI39" s="252" t="str">
        <f t="shared" si="11"/>
        <v>C10</v>
      </c>
      <c r="AJ39" s="252">
        <f t="shared" si="12"/>
        <v>17</v>
      </c>
      <c r="AK39" s="306">
        <f t="shared" si="13"/>
        <v>-23</v>
      </c>
      <c r="AL39" s="309">
        <f t="shared" si="14"/>
        <v>72</v>
      </c>
      <c r="AN39" s="254">
        <v>34</v>
      </c>
    </row>
    <row r="40" spans="1:40">
      <c r="A40" s="354">
        <v>35</v>
      </c>
      <c r="B40" s="351" t="str">
        <f>+Inscrits!D19</f>
        <v>B17</v>
      </c>
      <c r="C40" s="248" t="str">
        <f>IF(ISNA(VLOOKUP(B40,'1ère J.'!$BH$9:$BK$62,2,0))," ",IF(VLOOKUP(B40,'1ère J.'!$BH$9:$BK$62,2,0)=0,"0",VLOOKUP(B40,'1ère J.'!$BH$9:$BK$62,2,0)))</f>
        <v>0</v>
      </c>
      <c r="D40" s="248" t="str">
        <f>IF(ISNA(VLOOKUP(B40,'1ère J.'!$BH$9:$BK$62,3,0))," ",IF(VLOOKUP(B40,'1ère J.'!$BH$9:$BK$62,3,0)=0,"0",VLOOKUP(B40,'1ère J.'!$BH$9:$BK$62,3,0)))</f>
        <v>0</v>
      </c>
      <c r="E40" s="248" t="str">
        <f>IF(ISNA(VLOOKUP(B40,'1ère J.'!$BH$9:$BK$62,4,0))," ",IF(VLOOKUP(B40,'1ère J.'!$BH$9:$BK$62,4,0)=0,"0",VLOOKUP(B40,'1ère J.'!$BH$9:$BK$62,4,0)))</f>
        <v>0</v>
      </c>
      <c r="F40" s="299"/>
      <c r="G40" s="248" t="str">
        <f>IF(ISNA(VLOOKUP(B40,'2ème J.'!$BH$9:$BK$62,2,0))," ",IF(VLOOKUP(B40,'2ème J.'!$BH$9:$BK$62,2,0)=0,"0",VLOOKUP(B40,'2ème J.'!$BH$9:$BK$62,2,0)))</f>
        <v>0</v>
      </c>
      <c r="H40" s="248" t="str">
        <f>IF(ISNA(VLOOKUP(B40,'2ème J.'!$BH$9:$BK$62,3,0))," ",IF(VLOOKUP(B40,'2ème J.'!$BH$9:$BK$62,3,0)=0,"0",VLOOKUP(B40,'2ème J.'!$BH$9:$BK$62,3,0)))</f>
        <v>0</v>
      </c>
      <c r="I40" s="248" t="str">
        <f>IF(ISNA(VLOOKUP(B40,'2ème J.'!$BH$9:$BK$62,4,0))," ",IF(VLOOKUP(B40,'2ème J.'!$BH$9:$BK$62,4,0)=0,"0",VLOOKUP(B40,'2ème J.'!$BH$9:$BK$62,4,0)))</f>
        <v>0</v>
      </c>
      <c r="J40" s="315"/>
      <c r="K40" s="248" t="str">
        <f>IF(ISNA(VLOOKUP(B40,'3ème J.'!$BH$9:$BK$62,2,0))," ",IF(VLOOKUP(B40,'3ème J.'!$BH$9:$BK$62,2,0)=0,"0",VLOOKUP(B40,'3ème J.'!$BH$9:$BK$62,2,0)))</f>
        <v>0</v>
      </c>
      <c r="L40" s="248" t="str">
        <f>IF(ISNA(VLOOKUP(B40,'3ème J.'!$BH$9:$BK$62,3,0))," ",IF(VLOOKUP(B40,'3ème J.'!$BH$9:$BK$62,3,0)=0,"0",VLOOKUP(B40,'3ème J.'!$BH$9:$BK$62,3,0)))</f>
        <v>0</v>
      </c>
      <c r="M40" s="248" t="str">
        <f>IF(ISNA(VLOOKUP(B40,'3ème J.'!$BH$9:$BK$62,4,0))," ",IF(VLOOKUP(B40,'3ème J.'!$BH$9:$BK$62,4,0)=0,"0",VLOOKUP(B40,'3ème J.'!$BH$9:$BK$62,4,0)))</f>
        <v>0</v>
      </c>
      <c r="N40" s="315"/>
      <c r="O40" s="248" t="str">
        <f>IF(ISNA(VLOOKUP(B40,'4ème J.'!$BH$9:$BK$62,2,0))," ",IF(VLOOKUP(B40,'4ème J.'!$BH$9:$BK$62,2,0)=0,"0",VLOOKUP(B40,'4ème J.'!$BH$9:$BK$62,2,0)))</f>
        <v>0</v>
      </c>
      <c r="P40" s="248" t="str">
        <f>IF(ISNA(VLOOKUP(B40,'4ème J.'!$BH$9:$BK$62,3,0))," ",IF(VLOOKUP(B40,'4ème J.'!$BH$9:$BK$62,3,0)=0,"0",VLOOKUP(B40,'4ème J.'!$BH$9:$BK$62,3,0)))</f>
        <v>0</v>
      </c>
      <c r="Q40" s="248" t="str">
        <f>IF(ISNA(VLOOKUP(B40,'4ème J.'!$BH$9:$BK$62,4,0))," ",IF(VLOOKUP(B40,'4ème J.'!$BH$9:$BK$62,4,0)=0,"0",VLOOKUP(B40,'4ème J.'!$BH$9:$BK$62,4,0)))</f>
        <v>0</v>
      </c>
      <c r="R40" s="299"/>
      <c r="S40" s="248" t="str">
        <f>IF(ISNA(VLOOKUP(B40,'5ème J.'!$BH$9:$BK$62,2,0))," ",IF(VLOOKUP(B40,'5ème J.'!$BH$9:$BK$62,2,0)=0,"0",VLOOKUP(B40,'5ème J.'!$BH$9:$BK$62,2,0)))</f>
        <v>0</v>
      </c>
      <c r="T40" s="248" t="str">
        <f>IF(ISNA(VLOOKUP(B40,'5ème J.'!$BH$9:$BK$62,3,0))," ",IF(VLOOKUP(B40,'5ème J.'!$BH$9:$BK$62,3,0)=0,"0",VLOOKUP(B40,'5ème J.'!$BH$9:$BK$62,3,0)))</f>
        <v>0</v>
      </c>
      <c r="U40" s="248" t="str">
        <f>IF(ISNA(VLOOKUP(B40,'5ème J.'!$BH$9:$BK$62,4,0))," ",IF(VLOOKUP(B40,'5ème J.'!$BH$9:$BK$62,4,0)=0,"0",VLOOKUP(B40,'5ème J.'!$BH$9:$BK$62,4,0)))</f>
        <v>0</v>
      </c>
      <c r="V40" s="299"/>
      <c r="W40" s="248">
        <f>IF(ISNA(VLOOKUP(B40,'6ème J.'!$BH$9:$BK$62,2,0))," ",IF(VLOOKUP(B40,'6ème J.'!$BH$9:$BK$62,2,0)=0,"0",VLOOKUP(B40,'6ème J.'!$BH$9:$BK$62,2,0)))</f>
        <v>9</v>
      </c>
      <c r="X40" s="248">
        <f>IF(ISNA(VLOOKUP(B40,'6ème J.'!$BH$9:$BK$62,3,0))," ",IF(VLOOKUP(B40,'6ème J.'!$BH$9:$BK$62,3,0)=0,"0",VLOOKUP(B40,'6ème J.'!$BH$9:$BK$62,3,0)))</f>
        <v>10</v>
      </c>
      <c r="Y40" s="248">
        <f>IF(ISNA(VLOOKUP(B40,'6ème J.'!$BH$9:$BK$62,4,0))," ",IF(VLOOKUP(B40,'6ème J.'!$BH$9:$BK$62,4,0)=0,"0",VLOOKUP(B40,'6ème J.'!$BH$9:$BK$62,4,0)))</f>
        <v>31</v>
      </c>
      <c r="Z40" s="88"/>
      <c r="AA40" s="344" t="str">
        <f t="shared" si="9"/>
        <v>B17</v>
      </c>
      <c r="AB40" s="252">
        <f t="shared" si="10"/>
        <v>9</v>
      </c>
      <c r="AC40" s="390">
        <f t="shared" si="6"/>
        <v>10</v>
      </c>
      <c r="AD40" s="345">
        <f t="shared" si="7"/>
        <v>31</v>
      </c>
      <c r="AE40" s="250">
        <f t="shared" si="8"/>
        <v>44.896900399999993</v>
      </c>
      <c r="AF40" s="251">
        <f>IF(AB40="","",SMALL(AE$6:AE$59,ROWS(AB$6:AB40)))</f>
        <v>34.77520037</v>
      </c>
      <c r="AG40" s="251"/>
      <c r="AH40" s="304">
        <f>IF(AF40="","",IF(AND(AJ39=AJ40,AK39=AK40,AL40=AL39),AH39,$AH$6+34))</f>
        <v>35</v>
      </c>
      <c r="AI40" s="252" t="str">
        <f t="shared" si="11"/>
        <v>B14</v>
      </c>
      <c r="AJ40" s="252">
        <f t="shared" si="12"/>
        <v>14</v>
      </c>
      <c r="AK40" s="306">
        <f t="shared" si="13"/>
        <v>22</v>
      </c>
      <c r="AL40" s="309">
        <f t="shared" si="14"/>
        <v>48</v>
      </c>
      <c r="AN40" s="254">
        <v>35</v>
      </c>
    </row>
    <row r="41" spans="1:40">
      <c r="A41" s="354">
        <v>36</v>
      </c>
      <c r="B41" s="351" t="str">
        <f>+Inscrits!D20</f>
        <v>B18</v>
      </c>
      <c r="C41" s="248" t="str">
        <f>IF(ISNA(VLOOKUP(B41,'1ère J.'!$BH$9:$BK$62,2,0))," ",IF(VLOOKUP(B41,'1ère J.'!$BH$9:$BK$62,2,0)=0,"0",VLOOKUP(B41,'1ère J.'!$BH$9:$BK$62,2,0)))</f>
        <v>0</v>
      </c>
      <c r="D41" s="248" t="str">
        <f>IF(ISNA(VLOOKUP(B41,'1ère J.'!$BH$9:$BK$62,3,0))," ",IF(VLOOKUP(B41,'1ère J.'!$BH$9:$BK$62,3,0)=0,"0",VLOOKUP(B41,'1ère J.'!$BH$9:$BK$62,3,0)))</f>
        <v>0</v>
      </c>
      <c r="E41" s="248" t="str">
        <f>IF(ISNA(VLOOKUP(B41,'1ère J.'!$BH$9:$BK$62,4,0))," ",IF(VLOOKUP(B41,'1ère J.'!$BH$9:$BK$62,4,0)=0,"0",VLOOKUP(B41,'1ère J.'!$BH$9:$BK$62,4,0)))</f>
        <v>0</v>
      </c>
      <c r="F41" s="299"/>
      <c r="G41" s="248" t="str">
        <f>IF(ISNA(VLOOKUP(B41,'2ème J.'!$BH$9:$BK$62,2,0))," ",IF(VLOOKUP(B41,'2ème J.'!$BH$9:$BK$62,2,0)=0,"0",VLOOKUP(B41,'2ème J.'!$BH$9:$BK$62,2,0)))</f>
        <v>0</v>
      </c>
      <c r="H41" s="248" t="str">
        <f>IF(ISNA(VLOOKUP(B41,'2ème J.'!$BH$9:$BK$62,3,0))," ",IF(VLOOKUP(B41,'2ème J.'!$BH$9:$BK$62,3,0)=0,"0",VLOOKUP(B41,'2ème J.'!$BH$9:$BK$62,3,0)))</f>
        <v>0</v>
      </c>
      <c r="I41" s="248" t="str">
        <f>IF(ISNA(VLOOKUP(B41,'2ème J.'!$BH$9:$BK$62,4,0))," ",IF(VLOOKUP(B41,'2ème J.'!$BH$9:$BK$62,4,0)=0,"0",VLOOKUP(B41,'2ème J.'!$BH$9:$BK$62,4,0)))</f>
        <v>0</v>
      </c>
      <c r="J41" s="315"/>
      <c r="K41" s="248" t="str">
        <f>IF(ISNA(VLOOKUP(B41,'3ème J.'!$BH$9:$BK$62,2,0))," ",IF(VLOOKUP(B41,'3ème J.'!$BH$9:$BK$62,2,0)=0,"0",VLOOKUP(B41,'3ème J.'!$BH$9:$BK$62,2,0)))</f>
        <v>0</v>
      </c>
      <c r="L41" s="248" t="str">
        <f>IF(ISNA(VLOOKUP(B41,'3ème J.'!$BH$9:$BK$62,3,0))," ",IF(VLOOKUP(B41,'3ème J.'!$BH$9:$BK$62,3,0)=0,"0",VLOOKUP(B41,'3ème J.'!$BH$9:$BK$62,3,0)))</f>
        <v>0</v>
      </c>
      <c r="M41" s="248" t="str">
        <f>IF(ISNA(VLOOKUP(B41,'3ème J.'!$BH$9:$BK$62,4,0))," ",IF(VLOOKUP(B41,'3ème J.'!$BH$9:$BK$62,4,0)=0,"0",VLOOKUP(B41,'3ème J.'!$BH$9:$BK$62,4,0)))</f>
        <v>0</v>
      </c>
      <c r="N41" s="315"/>
      <c r="O41" s="248" t="str">
        <f>IF(ISNA(VLOOKUP(B41,'4ème J.'!$BH$9:$BK$62,2,0))," ",IF(VLOOKUP(B41,'4ème J.'!$BH$9:$BK$62,2,0)=0,"0",VLOOKUP(B41,'4ème J.'!$BH$9:$BK$62,2,0)))</f>
        <v>0</v>
      </c>
      <c r="P41" s="248" t="str">
        <f>IF(ISNA(VLOOKUP(B41,'4ème J.'!$BH$9:$BK$62,3,0))," ",IF(VLOOKUP(B41,'4ème J.'!$BH$9:$BK$62,3,0)=0,"0",VLOOKUP(B41,'4ème J.'!$BH$9:$BK$62,3,0)))</f>
        <v>0</v>
      </c>
      <c r="Q41" s="248" t="str">
        <f>IF(ISNA(VLOOKUP(B41,'4ème J.'!$BH$9:$BK$62,4,0))," ",IF(VLOOKUP(B41,'4ème J.'!$BH$9:$BK$62,4,0)=0,"0",VLOOKUP(B41,'4ème J.'!$BH$9:$BK$62,4,0)))</f>
        <v>0</v>
      </c>
      <c r="R41" s="299"/>
      <c r="S41" s="248" t="str">
        <f>IF(ISNA(VLOOKUP(B41,'5ème J.'!$BH$9:$BK$62,2,0))," ",IF(VLOOKUP(B41,'5ème J.'!$BH$9:$BK$62,2,0)=0,"0",VLOOKUP(B41,'5ème J.'!$BH$9:$BK$62,2,0)))</f>
        <v>0</v>
      </c>
      <c r="T41" s="248" t="str">
        <f>IF(ISNA(VLOOKUP(B41,'5ème J.'!$BH$9:$BK$62,3,0))," ",IF(VLOOKUP(B41,'5ème J.'!$BH$9:$BK$62,3,0)=0,"0",VLOOKUP(B41,'5ème J.'!$BH$9:$BK$62,3,0)))</f>
        <v>0</v>
      </c>
      <c r="U41" s="248" t="str">
        <f>IF(ISNA(VLOOKUP(B41,'5ème J.'!$BH$9:$BK$62,4,0))," ",IF(VLOOKUP(B41,'5ème J.'!$BH$9:$BK$62,4,0)=0,"0",VLOOKUP(B41,'5ème J.'!$BH$9:$BK$62,4,0)))</f>
        <v>0</v>
      </c>
      <c r="V41" s="299"/>
      <c r="W41" s="248">
        <f>IF(ISNA(VLOOKUP(B41,'6ème J.'!$BH$9:$BK$62,2,0))," ",IF(VLOOKUP(B41,'6ème J.'!$BH$9:$BK$62,2,0)=0,"0",VLOOKUP(B41,'6ème J.'!$BH$9:$BK$62,2,0)))</f>
        <v>3</v>
      </c>
      <c r="X41" s="248">
        <f>IF(ISNA(VLOOKUP(B41,'6ème J.'!$BH$9:$BK$62,3,0))," ",IF(VLOOKUP(B41,'6ème J.'!$BH$9:$BK$62,3,0)=0,"0",VLOOKUP(B41,'6ème J.'!$BH$9:$BK$62,3,0)))</f>
        <v>-10</v>
      </c>
      <c r="Y41" s="248">
        <f>IF(ISNA(VLOOKUP(B41,'6ème J.'!$BH$9:$BK$62,4,0))," ",IF(VLOOKUP(B41,'6ème J.'!$BH$9:$BK$62,4,0)=0,"0",VLOOKUP(B41,'6ème J.'!$BH$9:$BK$62,4,0)))</f>
        <v>21</v>
      </c>
      <c r="Z41" s="88"/>
      <c r="AA41" s="344" t="str">
        <f t="shared" si="9"/>
        <v>B18</v>
      </c>
      <c r="AB41" s="252">
        <f t="shared" si="10"/>
        <v>3</v>
      </c>
      <c r="AC41" s="390">
        <f t="shared" si="6"/>
        <v>-10</v>
      </c>
      <c r="AD41" s="345">
        <f t="shared" si="7"/>
        <v>21</v>
      </c>
      <c r="AE41" s="250">
        <f t="shared" si="8"/>
        <v>53.097900410000001</v>
      </c>
      <c r="AF41" s="251">
        <f>IF(AB41="","",SMALL(AE$6:AE$59,ROWS(AB$6:AB41)))</f>
        <v>34.854600189999999</v>
      </c>
      <c r="AG41" s="251"/>
      <c r="AH41" s="304">
        <f>IF(AF41="","",IF(AND(AJ40=AJ41,AK40=AK41,AL41=AL40),AH40,$AH$6+35))</f>
        <v>36</v>
      </c>
      <c r="AI41" s="252" t="str">
        <f t="shared" si="11"/>
        <v>A14</v>
      </c>
      <c r="AJ41" s="252">
        <f t="shared" si="12"/>
        <v>14</v>
      </c>
      <c r="AK41" s="306">
        <f t="shared" si="13"/>
        <v>14</v>
      </c>
      <c r="AL41" s="309">
        <f t="shared" si="14"/>
        <v>54</v>
      </c>
      <c r="AN41" s="254">
        <v>36</v>
      </c>
    </row>
    <row r="42" spans="1:40">
      <c r="A42" s="354">
        <v>37</v>
      </c>
      <c r="B42" s="351" t="str">
        <f>+Inscrits!F3</f>
        <v>C1</v>
      </c>
      <c r="C42" s="248">
        <f>IF(ISNA(VLOOKUP(B42,'1ère J.'!$BH$9:$BK$62,2,0))," ",IF(VLOOKUP(B42,'1ère J.'!$BH$9:$BK$62,2,0)=0,"0",VLOOKUP(B42,'1ère J.'!$BH$9:$BK$62,2,0)))</f>
        <v>1</v>
      </c>
      <c r="D42" s="248">
        <f>IF(ISNA(VLOOKUP(B42,'1ère J.'!$BH$9:$BK$62,3,0))," ",IF(VLOOKUP(B42,'1ère J.'!$BH$9:$BK$62,3,0)=0,"0",VLOOKUP(B42,'1ère J.'!$BH$9:$BK$62,3,0)))</f>
        <v>-1</v>
      </c>
      <c r="E42" s="248">
        <f>IF(ISNA(VLOOKUP(B42,'1ère J.'!$BH$9:$BK$62,4,0))," ",IF(VLOOKUP(B42,'1ère J.'!$BH$9:$BK$62,4,0)=0,"0",VLOOKUP(B42,'1ère J.'!$BH$9:$BK$62,4,0)))</f>
        <v>5</v>
      </c>
      <c r="F42" s="299"/>
      <c r="G42" s="248">
        <f>IF(ISNA(VLOOKUP(B42,'2ème J.'!$BH$9:$BK$62,2,0))," ",IF(VLOOKUP(B42,'2ème J.'!$BH$9:$BK$62,2,0)=0,"0",VLOOKUP(B42,'2ème J.'!$BH$9:$BK$62,2,0)))</f>
        <v>4</v>
      </c>
      <c r="H42" s="248">
        <f>IF(ISNA(VLOOKUP(B42,'2ème J.'!$BH$9:$BK$62,3,0))," ",IF(VLOOKUP(B42,'2ème J.'!$BH$9:$BK$62,3,0)=0,"0",VLOOKUP(B42,'2ème J.'!$BH$9:$BK$62,3,0)))</f>
        <v>2</v>
      </c>
      <c r="I42" s="248">
        <f>IF(ISNA(VLOOKUP(B42,'2ème J.'!$BH$9:$BK$62,4,0))," ",IF(VLOOKUP(B42,'2ème J.'!$BH$9:$BK$62,4,0)=0,"0",VLOOKUP(B42,'2ème J.'!$BH$9:$BK$62,4,0)))</f>
        <v>17</v>
      </c>
      <c r="J42" s="315"/>
      <c r="K42" s="248">
        <f>IF(ISNA(VLOOKUP(B42,'3ème J.'!$BH$9:$BK$62,2,0))," ",IF(VLOOKUP(B42,'3ème J.'!$BH$9:$BK$62,2,0)=0,"0",VLOOKUP(B42,'3ème J.'!$BH$9:$BK$62,2,0)))</f>
        <v>5</v>
      </c>
      <c r="L42" s="248">
        <f>IF(ISNA(VLOOKUP(B42,'3ème J.'!$BH$9:$BK$62,3,0))," ",IF(VLOOKUP(B42,'3ème J.'!$BH$9:$BK$62,3,0)=0,"0",VLOOKUP(B42,'3ème J.'!$BH$9:$BK$62,3,0)))</f>
        <v>-9</v>
      </c>
      <c r="M42" s="248">
        <f>IF(ISNA(VLOOKUP(B42,'3ème J.'!$BH$9:$BK$62,4,0))," ",IF(VLOOKUP(B42,'3ème J.'!$BH$9:$BK$62,4,0)=0,"0",VLOOKUP(B42,'3ème J.'!$BH$9:$BK$62,4,0)))</f>
        <v>14</v>
      </c>
      <c r="N42" s="315"/>
      <c r="O42" s="248">
        <f>IF(ISNA(VLOOKUP(B42,'4ème J.'!$BH$9:$BK$62,2,0))," ",IF(VLOOKUP(B42,'4ème J.'!$BH$9:$BK$62,2,0)=0,"0",VLOOKUP(B42,'4ème J.'!$BH$9:$BK$62,2,0)))</f>
        <v>8</v>
      </c>
      <c r="P42" s="248">
        <f>IF(ISNA(VLOOKUP(B42,'4ème J.'!$BH$9:$BK$62,3,0))," ",IF(VLOOKUP(B42,'4ème J.'!$BH$9:$BK$62,3,0)=0,"0",VLOOKUP(B42,'4ème J.'!$BH$9:$BK$62,3,0)))</f>
        <v>2</v>
      </c>
      <c r="Q42" s="248">
        <f>IF(ISNA(VLOOKUP(B42,'4ème J.'!$BH$9:$BK$62,4,0))," ",IF(VLOOKUP(B42,'4ème J.'!$BH$9:$BK$62,4,0)=0,"0",VLOOKUP(B42,'4ème J.'!$BH$9:$BK$62,4,0)))</f>
        <v>8</v>
      </c>
      <c r="R42" s="299"/>
      <c r="S42" s="248">
        <f>IF(ISNA(VLOOKUP(B42,'5ème J.'!$BH$9:$BK$62,2,0))," ",IF(VLOOKUP(B42,'5ème J.'!$BH$9:$BK$62,2,0)=0,"0",VLOOKUP(B42,'5ème J.'!$BH$9:$BK$62,2,0)))</f>
        <v>7</v>
      </c>
      <c r="T42" s="248">
        <f>IF(ISNA(VLOOKUP(B42,'5ème J.'!$BH$9:$BK$62,3,0))," ",IF(VLOOKUP(B42,'5ème J.'!$BH$9:$BK$62,3,0)=0,"0",VLOOKUP(B42,'5ème J.'!$BH$9:$BK$62,3,0)))</f>
        <v>-4</v>
      </c>
      <c r="U42" s="248">
        <f>IF(ISNA(VLOOKUP(B42,'5ème J.'!$BH$9:$BK$62,4,0))," ",IF(VLOOKUP(B42,'5ème J.'!$BH$9:$BK$62,4,0)=0,"0",VLOOKUP(B42,'5ème J.'!$BH$9:$BK$62,4,0)))</f>
        <v>19</v>
      </c>
      <c r="V42" s="299"/>
      <c r="W42" s="248">
        <f>IF(ISNA(VLOOKUP(B42,'6ème J.'!$BH$9:$BK$62,2,0))," ",IF(VLOOKUP(B42,'6ème J.'!$BH$9:$BK$62,2,0)=0,"0",VLOOKUP(B42,'6ème J.'!$BH$9:$BK$62,2,0)))</f>
        <v>5</v>
      </c>
      <c r="X42" s="248">
        <f>IF(ISNA(VLOOKUP(B42,'6ème J.'!$BH$9:$BK$62,3,0))," ",IF(VLOOKUP(B42,'6ème J.'!$BH$9:$BK$62,3,0)=0,"0",VLOOKUP(B42,'6ème J.'!$BH$9:$BK$62,3,0)))</f>
        <v>-1</v>
      </c>
      <c r="Y42" s="248">
        <f>IF(ISNA(VLOOKUP(B42,'6ème J.'!$BH$9:$BK$62,4,0))," ",IF(VLOOKUP(B42,'6ème J.'!$BH$9:$BK$62,4,0)=0,"0",VLOOKUP(B42,'6ème J.'!$BH$9:$BK$62,4,0)))</f>
        <v>24</v>
      </c>
      <c r="Z42" s="88"/>
      <c r="AA42" s="344" t="str">
        <f t="shared" si="9"/>
        <v>C1</v>
      </c>
      <c r="AB42" s="252">
        <f t="shared" si="10"/>
        <v>30</v>
      </c>
      <c r="AC42" s="390">
        <f t="shared" si="6"/>
        <v>-11</v>
      </c>
      <c r="AD42" s="345">
        <f t="shared" si="7"/>
        <v>87</v>
      </c>
      <c r="AE42" s="250">
        <f t="shared" si="8"/>
        <v>16.101300419999998</v>
      </c>
      <c r="AF42" s="251">
        <f>IF(AB42="","",SMALL(AE$6:AE$59,ROWS(AB$6:AB42)))</f>
        <v>34.905900549999998</v>
      </c>
      <c r="AG42" s="251"/>
      <c r="AH42" s="304">
        <f>IF(AF42="","",IF(AND(AJ41=AJ42,AK41=AK42,AL42=AL41),AH41,$AH$6+36))</f>
        <v>37</v>
      </c>
      <c r="AI42" s="252" t="str">
        <f t="shared" si="11"/>
        <v>C14</v>
      </c>
      <c r="AJ42" s="252">
        <f t="shared" si="12"/>
        <v>14</v>
      </c>
      <c r="AK42" s="306">
        <f t="shared" si="13"/>
        <v>9</v>
      </c>
      <c r="AL42" s="309">
        <f t="shared" si="14"/>
        <v>41</v>
      </c>
      <c r="AN42" s="254">
        <v>37</v>
      </c>
    </row>
    <row r="43" spans="1:40">
      <c r="A43" s="354">
        <v>38</v>
      </c>
      <c r="B43" s="351" t="str">
        <f>+Inscrits!F4</f>
        <v>C2</v>
      </c>
      <c r="C43" s="248">
        <f>IF(ISNA(VLOOKUP(B43,'1ère J.'!$BH$9:$BK$62,2,0))," ",IF(VLOOKUP(B43,'1ère J.'!$BH$9:$BK$62,2,0)=0,"0",VLOOKUP(B43,'1ère J.'!$BH$9:$BK$62,2,0)))</f>
        <v>3</v>
      </c>
      <c r="D43" s="248">
        <f>IF(ISNA(VLOOKUP(B43,'1ère J.'!$BH$9:$BK$62,3,0))," ",IF(VLOOKUP(B43,'1ère J.'!$BH$9:$BK$62,3,0)=0,"0",VLOOKUP(B43,'1ère J.'!$BH$9:$BK$62,3,0)))</f>
        <v>1</v>
      </c>
      <c r="E43" s="248">
        <f>IF(ISNA(VLOOKUP(B43,'1ère J.'!$BH$9:$BK$62,4,0))," ",IF(VLOOKUP(B43,'1ère J.'!$BH$9:$BK$62,4,0)=0,"0",VLOOKUP(B43,'1ère J.'!$BH$9:$BK$62,4,0)))</f>
        <v>6</v>
      </c>
      <c r="F43" s="299"/>
      <c r="G43" s="248">
        <f>IF(ISNA(VLOOKUP(B43,'2ème J.'!$BH$9:$BK$62,2,0))," ",IF(VLOOKUP(B43,'2ème J.'!$BH$9:$BK$62,2,0)=0,"0",VLOOKUP(B43,'2ème J.'!$BH$9:$BK$62,2,0)))</f>
        <v>7</v>
      </c>
      <c r="H43" s="248">
        <f>IF(ISNA(VLOOKUP(B43,'2ème J.'!$BH$9:$BK$62,3,0))," ",IF(VLOOKUP(B43,'2ème J.'!$BH$9:$BK$62,3,0)=0,"0",VLOOKUP(B43,'2ème J.'!$BH$9:$BK$62,3,0)))</f>
        <v>6</v>
      </c>
      <c r="I43" s="248">
        <f>IF(ISNA(VLOOKUP(B43,'2ème J.'!$BH$9:$BK$62,4,0))," ",IF(VLOOKUP(B43,'2ème J.'!$BH$9:$BK$62,4,0)=0,"0",VLOOKUP(B43,'2ème J.'!$BH$9:$BK$62,4,0)))</f>
        <v>27</v>
      </c>
      <c r="J43" s="315"/>
      <c r="K43" s="248">
        <f>IF(ISNA(VLOOKUP(B43,'3ème J.'!$BH$9:$BK$62,2,0))," ",IF(VLOOKUP(B43,'3ème J.'!$BH$9:$BK$62,2,0)=0,"0",VLOOKUP(B43,'3ème J.'!$BH$9:$BK$62,2,0)))</f>
        <v>7</v>
      </c>
      <c r="L43" s="248">
        <f>IF(ISNA(VLOOKUP(B43,'3ème J.'!$BH$9:$BK$62,3,0))," ",IF(VLOOKUP(B43,'3ème J.'!$BH$9:$BK$62,3,0)=0,"0",VLOOKUP(B43,'3ème J.'!$BH$9:$BK$62,3,0)))</f>
        <v>8</v>
      </c>
      <c r="M43" s="248">
        <f>IF(ISNA(VLOOKUP(B43,'3ème J.'!$BH$9:$BK$62,4,0))," ",IF(VLOOKUP(B43,'3ème J.'!$BH$9:$BK$62,4,0)=0,"0",VLOOKUP(B43,'3ème J.'!$BH$9:$BK$62,4,0)))</f>
        <v>31</v>
      </c>
      <c r="N43" s="315"/>
      <c r="O43" s="248">
        <f>IF(ISNA(VLOOKUP(B43,'4ème J.'!$BH$9:$BK$62,2,0))," ",IF(VLOOKUP(B43,'4ème J.'!$BH$9:$BK$62,2,0)=0,"0",VLOOKUP(B43,'4ème J.'!$BH$9:$BK$62,2,0)))</f>
        <v>6</v>
      </c>
      <c r="P43" s="248">
        <f>IF(ISNA(VLOOKUP(B43,'4ème J.'!$BH$9:$BK$62,3,0))," ",IF(VLOOKUP(B43,'4ème J.'!$BH$9:$BK$62,3,0)=0,"0",VLOOKUP(B43,'4ème J.'!$BH$9:$BK$62,3,0)))</f>
        <v>4</v>
      </c>
      <c r="Q43" s="248">
        <f>IF(ISNA(VLOOKUP(B43,'4ème J.'!$BH$9:$BK$62,4,0))," ",IF(VLOOKUP(B43,'4ème J.'!$BH$9:$BK$62,4,0)=0,"0",VLOOKUP(B43,'4ème J.'!$BH$9:$BK$62,4,0)))</f>
        <v>20</v>
      </c>
      <c r="R43" s="299"/>
      <c r="S43" s="248">
        <f>IF(ISNA(VLOOKUP(B43,'5ème J.'!$BH$9:$BK$62,2,0))," ",IF(VLOOKUP(B43,'5ème J.'!$BH$9:$BK$62,2,0)=0,"0",VLOOKUP(B43,'5ème J.'!$BH$9:$BK$62,2,0)))</f>
        <v>3</v>
      </c>
      <c r="T43" s="248">
        <f>IF(ISNA(VLOOKUP(B43,'5ème J.'!$BH$9:$BK$62,3,0))," ",IF(VLOOKUP(B43,'5ème J.'!$BH$9:$BK$62,3,0)=0,"0",VLOOKUP(B43,'5ème J.'!$BH$9:$BK$62,3,0)))</f>
        <v>-18</v>
      </c>
      <c r="U43" s="248">
        <f>IF(ISNA(VLOOKUP(B43,'5ème J.'!$BH$9:$BK$62,4,0))," ",IF(VLOOKUP(B43,'5ème J.'!$BH$9:$BK$62,4,0)=0,"0",VLOOKUP(B43,'5ème J.'!$BH$9:$BK$62,4,0)))</f>
        <v>12</v>
      </c>
      <c r="V43" s="299"/>
      <c r="W43" s="248">
        <f>IF(ISNA(VLOOKUP(B43,'6ème J.'!$BH$9:$BK$62,2,0))," ",IF(VLOOKUP(B43,'6ème J.'!$BH$9:$BK$62,2,0)=0,"0",VLOOKUP(B43,'6ème J.'!$BH$9:$BK$62,2,0)))</f>
        <v>5</v>
      </c>
      <c r="X43" s="248">
        <f>IF(ISNA(VLOOKUP(B43,'6ème J.'!$BH$9:$BK$62,3,0))," ",IF(VLOOKUP(B43,'6ème J.'!$BH$9:$BK$62,3,0)=0,"0",VLOOKUP(B43,'6ème J.'!$BH$9:$BK$62,3,0)))</f>
        <v>-8</v>
      </c>
      <c r="Y43" s="248">
        <f>IF(ISNA(VLOOKUP(B43,'6ème J.'!$BH$9:$BK$62,4,0))," ",IF(VLOOKUP(B43,'6ème J.'!$BH$9:$BK$62,4,0)=0,"0",VLOOKUP(B43,'6ème J.'!$BH$9:$BK$62,4,0)))</f>
        <v>20</v>
      </c>
      <c r="Z43" s="88"/>
      <c r="AA43" s="344" t="str">
        <f t="shared" si="9"/>
        <v>C2</v>
      </c>
      <c r="AB43" s="252">
        <f t="shared" si="10"/>
        <v>31</v>
      </c>
      <c r="AC43" s="390">
        <f t="shared" si="6"/>
        <v>-7</v>
      </c>
      <c r="AD43" s="345">
        <f t="shared" si="7"/>
        <v>116</v>
      </c>
      <c r="AE43" s="250">
        <f t="shared" si="8"/>
        <v>11.058400430000001</v>
      </c>
      <c r="AF43" s="251">
        <f>IF(AB43="","",SMALL(AE$6:AE$59,ROWS(AB$6:AB43)))</f>
        <v>38.246200340000001</v>
      </c>
      <c r="AG43" s="251"/>
      <c r="AH43" s="304">
        <f>IF(AF43="","",IF(AND(AJ42=AJ43,AK42=AK43,AL43=AL42),AH42,$AH$6+37))</f>
        <v>38</v>
      </c>
      <c r="AI43" s="252" t="str">
        <f t="shared" si="11"/>
        <v>B11</v>
      </c>
      <c r="AJ43" s="252">
        <f t="shared" si="12"/>
        <v>13</v>
      </c>
      <c r="AK43" s="306">
        <f t="shared" si="13"/>
        <v>-25</v>
      </c>
      <c r="AL43" s="309">
        <f t="shared" si="14"/>
        <v>38</v>
      </c>
      <c r="AN43" s="254">
        <v>38</v>
      </c>
    </row>
    <row r="44" spans="1:40">
      <c r="A44" s="354">
        <v>39</v>
      </c>
      <c r="B44" s="351" t="str">
        <f>+Inscrits!F5</f>
        <v>C3</v>
      </c>
      <c r="C44" s="248">
        <f>IF(ISNA(VLOOKUP(B44,'1ère J.'!$BH$9:$BK$62,2,0))," ",IF(VLOOKUP(B44,'1ère J.'!$BH$9:$BK$62,2,0)=0,"0",VLOOKUP(B44,'1ère J.'!$BH$9:$BK$62,2,0)))</f>
        <v>3</v>
      </c>
      <c r="D44" s="248">
        <f>IF(ISNA(VLOOKUP(B44,'1ère J.'!$BH$9:$BK$62,3,0))," ",IF(VLOOKUP(B44,'1ère J.'!$BH$9:$BK$62,3,0)=0,"0",VLOOKUP(B44,'1ère J.'!$BH$9:$BK$62,3,0)))</f>
        <v>6</v>
      </c>
      <c r="E44" s="248">
        <f>IF(ISNA(VLOOKUP(B44,'1ère J.'!$BH$9:$BK$62,4,0))," ",IF(VLOOKUP(B44,'1ère J.'!$BH$9:$BK$62,4,0)=0,"0",VLOOKUP(B44,'1ère J.'!$BH$9:$BK$62,4,0)))</f>
        <v>12</v>
      </c>
      <c r="F44" s="299"/>
      <c r="G44" s="248">
        <f>IF(ISNA(VLOOKUP(B44,'2ème J.'!$BH$9:$BK$62,2,0))," ",IF(VLOOKUP(B44,'2ème J.'!$BH$9:$BK$62,2,0)=0,"0",VLOOKUP(B44,'2ème J.'!$BH$9:$BK$62,2,0)))</f>
        <v>2</v>
      </c>
      <c r="H44" s="248">
        <f>IF(ISNA(VLOOKUP(B44,'2ème J.'!$BH$9:$BK$62,3,0))," ",IF(VLOOKUP(B44,'2ème J.'!$BH$9:$BK$62,3,0)=0,"0",VLOOKUP(B44,'2ème J.'!$BH$9:$BK$62,3,0)))</f>
        <v>-7</v>
      </c>
      <c r="I44" s="248">
        <f>IF(ISNA(VLOOKUP(B44,'2ème J.'!$BH$9:$BK$62,4,0))," ",IF(VLOOKUP(B44,'2ème J.'!$BH$9:$BK$62,4,0)=0,"0",VLOOKUP(B44,'2ème J.'!$BH$9:$BK$62,4,0)))</f>
        <v>13</v>
      </c>
      <c r="J44" s="315"/>
      <c r="K44" s="248">
        <f>IF(ISNA(VLOOKUP(B44,'3ème J.'!$BH$9:$BK$62,2,0))," ",IF(VLOOKUP(B44,'3ème J.'!$BH$9:$BK$62,2,0)=0,"0",VLOOKUP(B44,'3ème J.'!$BH$9:$BK$62,2,0)))</f>
        <v>7</v>
      </c>
      <c r="L44" s="248">
        <f>IF(ISNA(VLOOKUP(B44,'3ème J.'!$BH$9:$BK$62,3,0))," ",IF(VLOOKUP(B44,'3ème J.'!$BH$9:$BK$62,3,0)=0,"0",VLOOKUP(B44,'3ème J.'!$BH$9:$BK$62,3,0)))</f>
        <v>5</v>
      </c>
      <c r="M44" s="248">
        <f>IF(ISNA(VLOOKUP(B44,'3ème J.'!$BH$9:$BK$62,4,0))," ",IF(VLOOKUP(B44,'3ème J.'!$BH$9:$BK$62,4,0)=0,"0",VLOOKUP(B44,'3ème J.'!$BH$9:$BK$62,4,0)))</f>
        <v>24</v>
      </c>
      <c r="N44" s="315"/>
      <c r="O44" s="248">
        <f>IF(ISNA(VLOOKUP(B44,'4ème J.'!$BH$9:$BK$62,2,0))," ",IF(VLOOKUP(B44,'4ème J.'!$BH$9:$BK$62,2,0)=0,"0",VLOOKUP(B44,'4ème J.'!$BH$9:$BK$62,2,0)))</f>
        <v>5</v>
      </c>
      <c r="P44" s="248">
        <f>IF(ISNA(VLOOKUP(B44,'4ème J.'!$BH$9:$BK$62,3,0))," ",IF(VLOOKUP(B44,'4ème J.'!$BH$9:$BK$62,3,0)=0,"0",VLOOKUP(B44,'4ème J.'!$BH$9:$BK$62,3,0)))</f>
        <v>-9</v>
      </c>
      <c r="Q44" s="248">
        <f>IF(ISNA(VLOOKUP(B44,'4ème J.'!$BH$9:$BK$62,4,0))," ",IF(VLOOKUP(B44,'4ème J.'!$BH$9:$BK$62,4,0)=0,"0",VLOOKUP(B44,'4ème J.'!$BH$9:$BK$62,4,0)))</f>
        <v>15</v>
      </c>
      <c r="R44" s="299"/>
      <c r="S44" s="248">
        <f>IF(ISNA(VLOOKUP(B44,'5ème J.'!$BH$9:$BK$62,2,0))," ",IF(VLOOKUP(B44,'5ème J.'!$BH$9:$BK$62,2,0)=0,"0",VLOOKUP(B44,'5ème J.'!$BH$9:$BK$62,2,0)))</f>
        <v>7</v>
      </c>
      <c r="T44" s="248">
        <f>IF(ISNA(VLOOKUP(B44,'5ème J.'!$BH$9:$BK$62,3,0))," ",IF(VLOOKUP(B44,'5ème J.'!$BH$9:$BK$62,3,0)=0,"0",VLOOKUP(B44,'5ème J.'!$BH$9:$BK$62,3,0)))</f>
        <v>10</v>
      </c>
      <c r="U44" s="248">
        <f>IF(ISNA(VLOOKUP(B44,'5ème J.'!$BH$9:$BK$62,4,0))," ",IF(VLOOKUP(B44,'5ème J.'!$BH$9:$BK$62,4,0)=0,"0",VLOOKUP(B44,'5ème J.'!$BH$9:$BK$62,4,0)))</f>
        <v>26</v>
      </c>
      <c r="V44" s="299"/>
      <c r="W44" s="248">
        <f>IF(ISNA(VLOOKUP(B44,'6ème J.'!$BH$9:$BK$62,2,0))," ",IF(VLOOKUP(B44,'6ème J.'!$BH$9:$BK$62,2,0)=0,"0",VLOOKUP(B44,'6ème J.'!$BH$9:$BK$62,2,0)))</f>
        <v>7</v>
      </c>
      <c r="X44" s="248">
        <f>IF(ISNA(VLOOKUP(B44,'6ème J.'!$BH$9:$BK$62,3,0))," ",IF(VLOOKUP(B44,'6ème J.'!$BH$9:$BK$62,3,0)=0,"0",VLOOKUP(B44,'6ème J.'!$BH$9:$BK$62,3,0)))</f>
        <v>13</v>
      </c>
      <c r="Y44" s="248">
        <f>IF(ISNA(VLOOKUP(B44,'6ème J.'!$BH$9:$BK$62,4,0))," ",IF(VLOOKUP(B44,'6ème J.'!$BH$9:$BK$62,4,0)=0,"0",VLOOKUP(B44,'6ème J.'!$BH$9:$BK$62,4,0)))</f>
        <v>30</v>
      </c>
      <c r="Z44" s="88"/>
      <c r="AA44" s="344" t="str">
        <f t="shared" si="9"/>
        <v>C3</v>
      </c>
      <c r="AB44" s="252">
        <f t="shared" si="10"/>
        <v>31</v>
      </c>
      <c r="AC44" s="390">
        <f t="shared" si="6"/>
        <v>18</v>
      </c>
      <c r="AD44" s="345">
        <f t="shared" si="7"/>
        <v>120</v>
      </c>
      <c r="AE44" s="250">
        <f t="shared" si="8"/>
        <v>10.808000440000001</v>
      </c>
      <c r="AF44" s="251">
        <f>IF(AB44="","",SMALL(AE$6:AE$59,ROWS(AB$6:AB44)))</f>
        <v>38.935700559999994</v>
      </c>
      <c r="AG44" s="251"/>
      <c r="AH44" s="304">
        <f>IF(AF44="","",IF(AND(AJ43=AJ44,AK43=AK44,AL44=AL43),AH43,$AH$6+38))</f>
        <v>39</v>
      </c>
      <c r="AI44" s="252" t="str">
        <f t="shared" si="11"/>
        <v>C15</v>
      </c>
      <c r="AJ44" s="252">
        <f t="shared" si="12"/>
        <v>12</v>
      </c>
      <c r="AK44" s="306">
        <f t="shared" si="13"/>
        <v>6</v>
      </c>
      <c r="AL44" s="309">
        <f t="shared" si="14"/>
        <v>43</v>
      </c>
      <c r="AN44" s="254">
        <v>39</v>
      </c>
    </row>
    <row r="45" spans="1:40">
      <c r="A45" s="354">
        <v>40</v>
      </c>
      <c r="B45" s="351" t="str">
        <f>+Inscrits!F6</f>
        <v>C4</v>
      </c>
      <c r="C45" s="248">
        <f>IF(ISNA(VLOOKUP(B45,'1ère J.'!$BH$9:$BK$62,2,0))," ",IF(VLOOKUP(B45,'1ère J.'!$BH$9:$BK$62,2,0)=0,"0",VLOOKUP(B45,'1ère J.'!$BH$9:$BK$62,2,0)))</f>
        <v>2</v>
      </c>
      <c r="D45" s="248">
        <f>IF(ISNA(VLOOKUP(B45,'1ère J.'!$BH$9:$BK$62,3,0))," ",IF(VLOOKUP(B45,'1ère J.'!$BH$9:$BK$62,3,0)=0,"0",VLOOKUP(B45,'1ère J.'!$BH$9:$BK$62,3,0)))</f>
        <v>-11</v>
      </c>
      <c r="E45" s="248">
        <f>IF(ISNA(VLOOKUP(B45,'1ère J.'!$BH$9:$BK$62,4,0))," ",IF(VLOOKUP(B45,'1ère J.'!$BH$9:$BK$62,4,0)=0,"0",VLOOKUP(B45,'1ère J.'!$BH$9:$BK$62,4,0)))</f>
        <v>11</v>
      </c>
      <c r="F45" s="299"/>
      <c r="G45" s="248">
        <f>IF(ISNA(VLOOKUP(B45,'2ème J.'!$BH$9:$BK$62,2,0))," ",IF(VLOOKUP(B45,'2ème J.'!$BH$9:$BK$62,2,0)=0,"0",VLOOKUP(B45,'2ème J.'!$BH$9:$BK$62,2,0)))</f>
        <v>3</v>
      </c>
      <c r="H45" s="248">
        <f>IF(ISNA(VLOOKUP(B45,'2ème J.'!$BH$9:$BK$62,3,0))," ",IF(VLOOKUP(B45,'2ème J.'!$BH$9:$BK$62,3,0)=0,"0",VLOOKUP(B45,'2ème J.'!$BH$9:$BK$62,3,0)))</f>
        <v>3</v>
      </c>
      <c r="I45" s="248">
        <f>IF(ISNA(VLOOKUP(B45,'2ème J.'!$BH$9:$BK$62,4,0))," ",IF(VLOOKUP(B45,'2ème J.'!$BH$9:$BK$62,4,0)=0,"0",VLOOKUP(B45,'2ème J.'!$BH$9:$BK$62,4,0)))</f>
        <v>11</v>
      </c>
      <c r="J45" s="315"/>
      <c r="K45" s="248">
        <f>IF(ISNA(VLOOKUP(B45,'3ème J.'!$BH$9:$BK$62,2,0))," ",IF(VLOOKUP(B45,'3ème J.'!$BH$9:$BK$62,2,0)=0,"0",VLOOKUP(B45,'3ème J.'!$BH$9:$BK$62,2,0)))</f>
        <v>7</v>
      </c>
      <c r="L45" s="248">
        <f>IF(ISNA(VLOOKUP(B45,'3ème J.'!$BH$9:$BK$62,3,0))," ",IF(VLOOKUP(B45,'3ème J.'!$BH$9:$BK$62,3,0)=0,"0",VLOOKUP(B45,'3ème J.'!$BH$9:$BK$62,3,0)))</f>
        <v>9</v>
      </c>
      <c r="M45" s="248">
        <f>IF(ISNA(VLOOKUP(B45,'3ème J.'!$BH$9:$BK$62,4,0))," ",IF(VLOOKUP(B45,'3ème J.'!$BH$9:$BK$62,4,0)=0,"0",VLOOKUP(B45,'3ème J.'!$BH$9:$BK$62,4,0)))</f>
        <v>25</v>
      </c>
      <c r="N45" s="315"/>
      <c r="O45" s="248">
        <f>IF(ISNA(VLOOKUP(B45,'4ème J.'!$BH$9:$BK$62,2,0))," ",IF(VLOOKUP(B45,'4ème J.'!$BH$9:$BK$62,2,0)=0,"0",VLOOKUP(B45,'4ème J.'!$BH$9:$BK$62,2,0)))</f>
        <v>7</v>
      </c>
      <c r="P45" s="248">
        <f>IF(ISNA(VLOOKUP(B45,'4ème J.'!$BH$9:$BK$62,3,0))," ",IF(VLOOKUP(B45,'4ème J.'!$BH$9:$BK$62,3,0)=0,"0",VLOOKUP(B45,'4ème J.'!$BH$9:$BK$62,3,0)))</f>
        <v>7</v>
      </c>
      <c r="Q45" s="248">
        <f>IF(ISNA(VLOOKUP(B45,'4ème J.'!$BH$9:$BK$62,4,0))," ",IF(VLOOKUP(B45,'4ème J.'!$BH$9:$BK$62,4,0)=0,"0",VLOOKUP(B45,'4ème J.'!$BH$9:$BK$62,4,0)))</f>
        <v>22</v>
      </c>
      <c r="R45" s="299"/>
      <c r="S45" s="248">
        <f>IF(ISNA(VLOOKUP(B45,'5ème J.'!$BH$9:$BK$62,2,0))," ",IF(VLOOKUP(B45,'5ème J.'!$BH$9:$BK$62,2,0)=0,"0",VLOOKUP(B45,'5ème J.'!$BH$9:$BK$62,2,0)))</f>
        <v>5</v>
      </c>
      <c r="T45" s="248">
        <f>IF(ISNA(VLOOKUP(B45,'5ème J.'!$BH$9:$BK$62,3,0))," ",IF(VLOOKUP(B45,'5ème J.'!$BH$9:$BK$62,3,0)=0,"0",VLOOKUP(B45,'5ème J.'!$BH$9:$BK$62,3,0)))</f>
        <v>-8</v>
      </c>
      <c r="U45" s="248">
        <f>IF(ISNA(VLOOKUP(B45,'5ème J.'!$BH$9:$BK$62,4,0))," ",IF(VLOOKUP(B45,'5ème J.'!$BH$9:$BK$62,4,0)=0,"0",VLOOKUP(B45,'5ème J.'!$BH$9:$BK$62,4,0)))</f>
        <v>16</v>
      </c>
      <c r="V45" s="299"/>
      <c r="W45" s="248">
        <f>IF(ISNA(VLOOKUP(B45,'6ème J.'!$BH$9:$BK$62,2,0))," ",IF(VLOOKUP(B45,'6ème J.'!$BH$9:$BK$62,2,0)=0,"0",VLOOKUP(B45,'6ème J.'!$BH$9:$BK$62,2,0)))</f>
        <v>7</v>
      </c>
      <c r="X45" s="248">
        <f>IF(ISNA(VLOOKUP(B45,'6ème J.'!$BH$9:$BK$62,3,0))," ",IF(VLOOKUP(B45,'6ème J.'!$BH$9:$BK$62,3,0)=0,"0",VLOOKUP(B45,'6ème J.'!$BH$9:$BK$62,3,0)))</f>
        <v>-3</v>
      </c>
      <c r="Y45" s="248">
        <f>IF(ISNA(VLOOKUP(B45,'6ème J.'!$BH$9:$BK$62,4,0))," ",IF(VLOOKUP(B45,'6ème J.'!$BH$9:$BK$62,4,0)=0,"0",VLOOKUP(B45,'6ème J.'!$BH$9:$BK$62,4,0)))</f>
        <v>24</v>
      </c>
      <c r="Z45" s="88"/>
      <c r="AA45" s="344" t="str">
        <f t="shared" si="9"/>
        <v>C4</v>
      </c>
      <c r="AB45" s="252">
        <f t="shared" si="10"/>
        <v>31</v>
      </c>
      <c r="AC45" s="390">
        <f t="shared" si="6"/>
        <v>-3</v>
      </c>
      <c r="AD45" s="345">
        <f t="shared" si="7"/>
        <v>109</v>
      </c>
      <c r="AE45" s="250">
        <f t="shared" si="8"/>
        <v>11.01910045</v>
      </c>
      <c r="AF45" s="251">
        <f>IF(AB45="","",SMALL(AE$6:AE$59,ROWS(AB$6:AB45)))</f>
        <v>39.005400529999996</v>
      </c>
      <c r="AG45" s="251"/>
      <c r="AH45" s="304">
        <f>IF(AF45="","",IF(AND(AJ44=AJ45,AK44=AK45,AL45=AL44),AH44,$AH$6+39))</f>
        <v>40</v>
      </c>
      <c r="AI45" s="252" t="str">
        <f t="shared" si="11"/>
        <v>C12</v>
      </c>
      <c r="AJ45" s="252">
        <f t="shared" si="12"/>
        <v>12</v>
      </c>
      <c r="AK45" s="306">
        <f t="shared" si="13"/>
        <v>-1</v>
      </c>
      <c r="AL45" s="309">
        <f t="shared" si="14"/>
        <v>46</v>
      </c>
      <c r="AN45" s="254">
        <v>40</v>
      </c>
    </row>
    <row r="46" spans="1:40">
      <c r="A46" s="354">
        <v>41</v>
      </c>
      <c r="B46" s="351" t="str">
        <f>+Inscrits!F7</f>
        <v>C5</v>
      </c>
      <c r="C46" s="248">
        <f>IF(ISNA(VLOOKUP(B46,'1ère J.'!$BH$9:$BK$62,2,0))," ",IF(VLOOKUP(B46,'1ère J.'!$BH$9:$BK$62,2,0)=0,"0",VLOOKUP(B46,'1ère J.'!$BH$9:$BK$62,2,0)))</f>
        <v>3</v>
      </c>
      <c r="D46" s="248">
        <f>IF(ISNA(VLOOKUP(B46,'1ère J.'!$BH$9:$BK$62,3,0))," ",IF(VLOOKUP(B46,'1ère J.'!$BH$9:$BK$62,3,0)=0,"0",VLOOKUP(B46,'1ère J.'!$BH$9:$BK$62,3,0)))</f>
        <v>5</v>
      </c>
      <c r="E46" s="248">
        <f>IF(ISNA(VLOOKUP(B46,'1ère J.'!$BH$9:$BK$62,4,0))," ",IF(VLOOKUP(B46,'1ère J.'!$BH$9:$BK$62,4,0)=0,"0",VLOOKUP(B46,'1ère J.'!$BH$9:$BK$62,4,0)))</f>
        <v>10</v>
      </c>
      <c r="F46" s="299"/>
      <c r="G46" s="248">
        <f>IF(ISNA(VLOOKUP(B46,'2ème J.'!$BH$9:$BK$62,2,0))," ",IF(VLOOKUP(B46,'2ème J.'!$BH$9:$BK$62,2,0)=0,"0",VLOOKUP(B46,'2ème J.'!$BH$9:$BK$62,2,0)))</f>
        <v>9</v>
      </c>
      <c r="H46" s="248">
        <f>IF(ISNA(VLOOKUP(B46,'2ème J.'!$BH$9:$BK$62,3,0))," ",IF(VLOOKUP(B46,'2ème J.'!$BH$9:$BK$62,3,0)=0,"0",VLOOKUP(B46,'2ème J.'!$BH$9:$BK$62,3,0)))</f>
        <v>25</v>
      </c>
      <c r="I46" s="248">
        <f>IF(ISNA(VLOOKUP(B46,'2ème J.'!$BH$9:$BK$62,4,0))," ",IF(VLOOKUP(B46,'2ème J.'!$BH$9:$BK$62,4,0)=0,"0",VLOOKUP(B46,'2ème J.'!$BH$9:$BK$62,4,0)))</f>
        <v>32</v>
      </c>
      <c r="J46" s="315"/>
      <c r="K46" s="248">
        <f>IF(ISNA(VLOOKUP(B46,'3ème J.'!$BH$9:$BK$62,2,0))," ",IF(VLOOKUP(B46,'3ème J.'!$BH$9:$BK$62,2,0)=0,"0",VLOOKUP(B46,'3ème J.'!$BH$9:$BK$62,2,0)))</f>
        <v>5</v>
      </c>
      <c r="L46" s="248">
        <f>IF(ISNA(VLOOKUP(B46,'3ème J.'!$BH$9:$BK$62,3,0))," ",IF(VLOOKUP(B46,'3ème J.'!$BH$9:$BK$62,3,0)=0,"0",VLOOKUP(B46,'3ème J.'!$BH$9:$BK$62,3,0)))</f>
        <v>-13</v>
      </c>
      <c r="M46" s="248">
        <f>IF(ISNA(VLOOKUP(B46,'3ème J.'!$BH$9:$BK$62,4,0))," ",IF(VLOOKUP(B46,'3ème J.'!$BH$9:$BK$62,4,0)=0,"0",VLOOKUP(B46,'3ème J.'!$BH$9:$BK$62,4,0)))</f>
        <v>18</v>
      </c>
      <c r="N46" s="315"/>
      <c r="O46" s="248">
        <f>IF(ISNA(VLOOKUP(B46,'4ème J.'!$BH$9:$BK$62,2,0))," ",IF(VLOOKUP(B46,'4ème J.'!$BH$9:$BK$62,2,0)=0,"0",VLOOKUP(B46,'4ème J.'!$BH$9:$BK$62,2,0)))</f>
        <v>7</v>
      </c>
      <c r="P46" s="248" t="str">
        <f>IF(ISNA(VLOOKUP(B46,'4ème J.'!$BH$9:$BK$62,3,0))," ",IF(VLOOKUP(B46,'4ème J.'!$BH$9:$BK$62,3,0)=0,"0",VLOOKUP(B46,'4ème J.'!$BH$9:$BK$62,3,0)))</f>
        <v>0</v>
      </c>
      <c r="Q46" s="248">
        <f>IF(ISNA(VLOOKUP(B46,'4ème J.'!$BH$9:$BK$62,4,0))," ",IF(VLOOKUP(B46,'4ème J.'!$BH$9:$BK$62,4,0)=0,"0",VLOOKUP(B46,'4ème J.'!$BH$9:$BK$62,4,0)))</f>
        <v>21</v>
      </c>
      <c r="R46" s="299"/>
      <c r="S46" s="248">
        <f>IF(ISNA(VLOOKUP(B46,'5ème J.'!$BH$9:$BK$62,2,0))," ",IF(VLOOKUP(B46,'5ème J.'!$BH$9:$BK$62,2,0)=0,"0",VLOOKUP(B46,'5ème J.'!$BH$9:$BK$62,2,0)))</f>
        <v>7</v>
      </c>
      <c r="T46" s="248">
        <f>IF(ISNA(VLOOKUP(B46,'5ème J.'!$BH$9:$BK$62,3,0))," ",IF(VLOOKUP(B46,'5ème J.'!$BH$9:$BK$62,3,0)=0,"0",VLOOKUP(B46,'5ème J.'!$BH$9:$BK$62,3,0)))</f>
        <v>9</v>
      </c>
      <c r="U46" s="248">
        <f>IF(ISNA(VLOOKUP(B46,'5ème J.'!$BH$9:$BK$62,4,0))," ",IF(VLOOKUP(B46,'5ème J.'!$BH$9:$BK$62,4,0)=0,"0",VLOOKUP(B46,'5ème J.'!$BH$9:$BK$62,4,0)))</f>
        <v>25</v>
      </c>
      <c r="V46" s="299"/>
      <c r="W46" s="248">
        <f>IF(ISNA(VLOOKUP(B46,'6ème J.'!$BH$9:$BK$62,2,0))," ",IF(VLOOKUP(B46,'6ème J.'!$BH$9:$BK$62,2,0)=0,"0",VLOOKUP(B46,'6ème J.'!$BH$9:$BK$62,2,0)))</f>
        <v>7</v>
      </c>
      <c r="X46" s="248">
        <f>IF(ISNA(VLOOKUP(B46,'6ème J.'!$BH$9:$BK$62,3,0))," ",IF(VLOOKUP(B46,'6ème J.'!$BH$9:$BK$62,3,0)=0,"0",VLOOKUP(B46,'6ème J.'!$BH$9:$BK$62,3,0)))</f>
        <v>9</v>
      </c>
      <c r="Y46" s="248">
        <f>IF(ISNA(VLOOKUP(B46,'6ème J.'!$BH$9:$BK$62,4,0))," ",IF(VLOOKUP(B46,'6ème J.'!$BH$9:$BK$62,4,0)=0,"0",VLOOKUP(B46,'6ème J.'!$BH$9:$BK$62,4,0)))</f>
        <v>36</v>
      </c>
      <c r="Z46" s="88"/>
      <c r="AA46" s="344" t="str">
        <f t="shared" si="9"/>
        <v>C5</v>
      </c>
      <c r="AB46" s="252">
        <f t="shared" si="10"/>
        <v>38</v>
      </c>
      <c r="AC46" s="390">
        <f t="shared" si="6"/>
        <v>35</v>
      </c>
      <c r="AD46" s="345">
        <f t="shared" si="7"/>
        <v>142</v>
      </c>
      <c r="AE46" s="250">
        <f t="shared" si="8"/>
        <v>2.6358004599999996</v>
      </c>
      <c r="AF46" s="251">
        <f>IF(AB46="","",SMALL(AE$6:AE$59,ROWS(AB$6:AB46)))</f>
        <v>39.065600200000006</v>
      </c>
      <c r="AG46" s="251"/>
      <c r="AH46" s="304">
        <f>IF(AF46="","",IF(AND(AJ45=AJ46,AK45=AK46,AL46=AL45),AH45,$AH$6+40))</f>
        <v>41</v>
      </c>
      <c r="AI46" s="252" t="str">
        <f t="shared" si="11"/>
        <v>A15</v>
      </c>
      <c r="AJ46" s="252">
        <f t="shared" si="12"/>
        <v>12</v>
      </c>
      <c r="AK46" s="306">
        <f t="shared" si="13"/>
        <v>-7</v>
      </c>
      <c r="AL46" s="309">
        <f t="shared" si="14"/>
        <v>44</v>
      </c>
      <c r="AN46" s="254">
        <v>41</v>
      </c>
    </row>
    <row r="47" spans="1:40">
      <c r="A47" s="354">
        <v>42</v>
      </c>
      <c r="B47" s="351" t="str">
        <f>+Inscrits!F8</f>
        <v>C6</v>
      </c>
      <c r="C47" s="248">
        <f>IF(ISNA(VLOOKUP(B47,'1ère J.'!$BH$9:$BK$62,2,0))," ",IF(VLOOKUP(B47,'1ère J.'!$BH$9:$BK$62,2,0)=0,"0",VLOOKUP(B47,'1ère J.'!$BH$9:$BK$62,2,0)))</f>
        <v>1</v>
      </c>
      <c r="D47" s="248" t="str">
        <f>IF(ISNA(VLOOKUP(B47,'1ère J.'!$BH$9:$BK$62,3,0))," ",IF(VLOOKUP(B47,'1ère J.'!$BH$9:$BK$62,3,0)," ",VLOOKUP(B47,'1ère J.'!$BH$9:$BK$62,3,0)))</f>
        <v xml:space="preserve"> </v>
      </c>
      <c r="E47" s="248">
        <f>IF(ISNA(VLOOKUP(B47,'1ère J.'!$BH$9:$BK$62,4,0))," ",IF(VLOOKUP(B47,'1ère J.'!$BH$9:$BK$62,4,0)=0,"0",VLOOKUP(B47,'1ère J.'!$BH$9:$BK$62,4,0)))</f>
        <v>5</v>
      </c>
      <c r="F47" s="299"/>
      <c r="G47" s="248">
        <f>IF(ISNA(VLOOKUP(B47,'2ème J.'!$BH$9:$BK$62,2,0))," ",IF(VLOOKUP(B47,'2ème J.'!$BH$9:$BK$62,2,0)=0,"0",VLOOKUP(B47,'2ème J.'!$BH$9:$BK$62,2,0)))</f>
        <v>3</v>
      </c>
      <c r="H47" s="248">
        <f>IF(ISNA(VLOOKUP(B47,'2ème J.'!$BH$9:$BK$62,3,0))," ",IF(VLOOKUP(B47,'2ème J.'!$BH$9:$BK$62,3,0)=0,"0",VLOOKUP(B47,'2ème J.'!$BH$9:$BK$62,3,0)))</f>
        <v>-25</v>
      </c>
      <c r="I47" s="248">
        <f>IF(ISNA(VLOOKUP(B47,'2ème J.'!$BH$9:$BK$62,4,0))," ",IF(VLOOKUP(B47,'2ème J.'!$BH$9:$BK$62,4,0)=0,"0",VLOOKUP(B47,'2ème J.'!$BH$9:$BK$62,4,0)))</f>
        <v>7</v>
      </c>
      <c r="J47" s="315"/>
      <c r="K47" s="248">
        <f>IF(ISNA(VLOOKUP(B47,'3ème J.'!$BH$9:$BK$62,2,0))," ",IF(VLOOKUP(B47,'3ème J.'!$BH$9:$BK$62,2,0)=0,"0",VLOOKUP(B47,'3ème J.'!$BH$9:$BK$62,2,0)))</f>
        <v>7</v>
      </c>
      <c r="L47" s="248">
        <f>IF(ISNA(VLOOKUP(B47,'3ème J.'!$BH$9:$BK$62,3,0))," ",IF(VLOOKUP(B47,'3ème J.'!$BH$9:$BK$62,3,0)=0,"0",VLOOKUP(B47,'3ème J.'!$BH$9:$BK$62,3,0)))</f>
        <v>13</v>
      </c>
      <c r="M47" s="248">
        <f>IF(ISNA(VLOOKUP(B47,'3ème J.'!$BH$9:$BK$62,4,0))," ",IF(VLOOKUP(B47,'3ème J.'!$BH$9:$BK$62,4,0)=0,"0",VLOOKUP(B47,'3ème J.'!$BH$9:$BK$62,4,0)))</f>
        <v>31</v>
      </c>
      <c r="N47" s="315"/>
      <c r="O47" s="248">
        <f>IF(ISNA(VLOOKUP(B47,'4ème J.'!$BH$9:$BK$62,2,0))," ",IF(VLOOKUP(B47,'4ème J.'!$BH$9:$BK$62,2,0)=0,"0",VLOOKUP(B47,'4ème J.'!$BH$9:$BK$62,2,0)))</f>
        <v>5</v>
      </c>
      <c r="P47" s="248">
        <f>IF(ISNA(VLOOKUP(B47,'4ème J.'!$BH$9:$BK$62,3,0))," ",IF(VLOOKUP(B47,'4ème J.'!$BH$9:$BK$62,3,0)=0,"0",VLOOKUP(B47,'4ème J.'!$BH$9:$BK$62,3,0)))</f>
        <v>-6</v>
      </c>
      <c r="Q47" s="248">
        <f>IF(ISNA(VLOOKUP(B47,'4ème J.'!$BH$9:$BK$62,4,0))," ",IF(VLOOKUP(B47,'4ème J.'!$BH$9:$BK$62,4,0)=0,"0",VLOOKUP(B47,'4ème J.'!$BH$9:$BK$62,4,0)))</f>
        <v>1</v>
      </c>
      <c r="R47" s="299"/>
      <c r="S47" s="248">
        <f>IF(ISNA(VLOOKUP(B47,'5ème J.'!$BH$9:$BK$62,2,0))," ",IF(VLOOKUP(B47,'5ème J.'!$BH$9:$BK$62,2,0)=0,"0",VLOOKUP(B47,'5ème J.'!$BH$9:$BK$62,2,0)))</f>
        <v>5</v>
      </c>
      <c r="T47" s="248">
        <f>IF(ISNA(VLOOKUP(B47,'5ème J.'!$BH$9:$BK$62,3,0))," ",IF(VLOOKUP(B47,'5ème J.'!$BH$9:$BK$62,3,0)=0,"0",VLOOKUP(B47,'5ème J.'!$BH$9:$BK$62,3,0)))</f>
        <v>-11</v>
      </c>
      <c r="U47" s="248">
        <f>IF(ISNA(VLOOKUP(B47,'5ème J.'!$BH$9:$BK$62,4,0))," ",IF(VLOOKUP(B47,'5ème J.'!$BH$9:$BK$62,4,0)=0,"0",VLOOKUP(B47,'5ème J.'!$BH$9:$BK$62,4,0)))</f>
        <v>16</v>
      </c>
      <c r="V47" s="299"/>
      <c r="W47" s="248">
        <f>IF(ISNA(VLOOKUP(B47,'6ème J.'!$BH$9:$BK$62,2,0))," ",IF(VLOOKUP(B47,'6ème J.'!$BH$9:$BK$62,2,0)=0,"0",VLOOKUP(B47,'6ème J.'!$BH$9:$BK$62,2,0)))</f>
        <v>3</v>
      </c>
      <c r="X47" s="248">
        <f>IF(ISNA(VLOOKUP(B47,'6ème J.'!$BH$9:$BK$62,3,0))," ",IF(VLOOKUP(B47,'6ème J.'!$BH$9:$BK$62,3,0)=0,"0",VLOOKUP(B47,'6ème J.'!$BH$9:$BK$62,3,0)))</f>
        <v>-14</v>
      </c>
      <c r="Y47" s="248">
        <f>IF(ISNA(VLOOKUP(B47,'6ème J.'!$BH$9:$BK$62,4,0))," ",IF(VLOOKUP(B47,'6ème J.'!$BH$9:$BK$62,4,0)=0,"0",VLOOKUP(B47,'6ème J.'!$BH$9:$BK$62,4,0)))</f>
        <v>21</v>
      </c>
      <c r="Z47" s="88"/>
      <c r="AA47" s="344" t="str">
        <f t="shared" si="9"/>
        <v>C6</v>
      </c>
      <c r="AB47" s="252">
        <f t="shared" si="10"/>
        <v>24</v>
      </c>
      <c r="AC47" s="390">
        <f t="shared" si="6"/>
        <v>-43</v>
      </c>
      <c r="AD47" s="345">
        <f t="shared" si="7"/>
        <v>81</v>
      </c>
      <c r="AE47" s="250">
        <f t="shared" si="8"/>
        <v>25.421900470000001</v>
      </c>
      <c r="AF47" s="251">
        <f>IF(AB47="","",SMALL(AE$6:AE$59,ROWS(AB$6:AB47)))</f>
        <v>41.964700380000004</v>
      </c>
      <c r="AG47" s="251"/>
      <c r="AH47" s="304">
        <f>IF(AF47="","",IF(AND(AJ46=AJ47,AK46=AK47,AL47=AL46),AH46,$AH$6+41))</f>
        <v>42</v>
      </c>
      <c r="AI47" s="252" t="str">
        <f t="shared" si="11"/>
        <v>B15</v>
      </c>
      <c r="AJ47" s="252">
        <f t="shared" si="12"/>
        <v>10</v>
      </c>
      <c r="AK47" s="306">
        <f t="shared" si="13"/>
        <v>3</v>
      </c>
      <c r="AL47" s="309">
        <f t="shared" si="14"/>
        <v>53</v>
      </c>
      <c r="AN47" s="254">
        <v>42</v>
      </c>
    </row>
    <row r="48" spans="1:40">
      <c r="A48" s="354">
        <v>43</v>
      </c>
      <c r="B48" s="351" t="str">
        <f>+Inscrits!F9</f>
        <v>C7</v>
      </c>
      <c r="C48" s="248">
        <f>IF(ISNA(VLOOKUP(B48,'1ère J.'!$BH$9:$BK$62,2,0))," ",IF(VLOOKUP(B48,'1ère J.'!$BH$9:$BK$62,2,0)=0,"0",VLOOKUP(B48,'1ère J.'!$BH$9:$BK$62,2,0)))</f>
        <v>4</v>
      </c>
      <c r="D48" s="248">
        <f>IF(ISNA(VLOOKUP(B48,'1ère J.'!$BH$9:$BK$62,3,0))," ",IF(VLOOKUP(B48,'1ère J.'!$BH$9:$BK$62,3,0)=0,"0",VLOOKUP(B48,'1ère J.'!$BH$9:$BK$62,3,0)))</f>
        <v>6</v>
      </c>
      <c r="E48" s="248">
        <f>IF(ISNA(VLOOKUP(B48,'1ère J.'!$BH$9:$BK$62,4,0))," ",IF(VLOOKUP(B48,'1ère J.'!$BH$9:$BK$62,4,0)=0,"0",VLOOKUP(B48,'1ère J.'!$BH$9:$BK$62,4,0)))</f>
        <v>16</v>
      </c>
      <c r="F48" s="299"/>
      <c r="G48" s="248">
        <f>IF(ISNA(VLOOKUP(B48,'2ème J.'!$BH$9:$BK$62,2,0))," ",IF(VLOOKUP(B48,'2ème J.'!$BH$9:$BK$62,2,0)=0,"0",VLOOKUP(B48,'2ème J.'!$BH$9:$BK$62,2,0)))</f>
        <v>4</v>
      </c>
      <c r="H48" s="248">
        <f>IF(ISNA(VLOOKUP(B48,'2ème J.'!$BH$9:$BK$62,3,0))," ",IF(VLOOKUP(B48,'2ème J.'!$BH$9:$BK$62,3,0)=0,"0",VLOOKUP(B48,'2ème J.'!$BH$9:$BK$62,3,0)))</f>
        <v>-4</v>
      </c>
      <c r="I48" s="248">
        <f>IF(ISNA(VLOOKUP(B48,'2ème J.'!$BH$9:$BK$62,4,0))," ",IF(VLOOKUP(B48,'2ème J.'!$BH$9:$BK$62,4,0)=0,"0",VLOOKUP(B48,'2ème J.'!$BH$9:$BK$62,4,0)))</f>
        <v>13</v>
      </c>
      <c r="J48" s="315"/>
      <c r="K48" s="248">
        <f>IF(ISNA(VLOOKUP(B48,'3ème J.'!$BH$9:$BK$62,2,0))," ",IF(VLOOKUP(B48,'3ème J.'!$BH$9:$BK$62,2,0)=0,"0",VLOOKUP(B48,'3ème J.'!$BH$9:$BK$62,2,0)))</f>
        <v>7</v>
      </c>
      <c r="L48" s="248">
        <f>IF(ISNA(VLOOKUP(B48,'3ème J.'!$BH$9:$BK$62,3,0))," ",IF(VLOOKUP(B48,'3ème J.'!$BH$9:$BK$62,3,0)=0,"0",VLOOKUP(B48,'3ème J.'!$BH$9:$BK$62,3,0)))</f>
        <v>2</v>
      </c>
      <c r="M48" s="248">
        <f>IF(ISNA(VLOOKUP(B48,'3ème J.'!$BH$9:$BK$62,4,0))," ",IF(VLOOKUP(B48,'3ème J.'!$BH$9:$BK$62,4,0)=0,"0",VLOOKUP(B48,'3ème J.'!$BH$9:$BK$62,4,0)))</f>
        <v>28</v>
      </c>
      <c r="N48" s="315"/>
      <c r="O48" s="248">
        <f>IF(ISNA(VLOOKUP(B48,'4ème J.'!$BH$9:$BK$62,2,0))," ",IF(VLOOKUP(B48,'4ème J.'!$BH$9:$BK$62,2,0)=0,"0",VLOOKUP(B48,'4ème J.'!$BH$9:$BK$62,2,0)))</f>
        <v>7</v>
      </c>
      <c r="P48" s="248">
        <f>IF(ISNA(VLOOKUP(B48,'4ème J.'!$BH$9:$BK$62,3,0))," ",IF(VLOOKUP(B48,'4ème J.'!$BH$9:$BK$62,3,0)=0,"0",VLOOKUP(B48,'4ème J.'!$BH$9:$BK$62,3,0)))</f>
        <v>1</v>
      </c>
      <c r="Q48" s="248">
        <f>IF(ISNA(VLOOKUP(B48,'4ème J.'!$BH$9:$BK$62,4,0))," ",IF(VLOOKUP(B48,'4ème J.'!$BH$9:$BK$62,4,0)=0,"0",VLOOKUP(B48,'4ème J.'!$BH$9:$BK$62,4,0)))</f>
        <v>15</v>
      </c>
      <c r="R48" s="299"/>
      <c r="S48" s="248">
        <f>IF(ISNA(VLOOKUP(B48,'5ème J.'!$BH$9:$BK$62,2,0))," ",IF(VLOOKUP(B48,'5ème J.'!$BH$9:$BK$62,2,0)=0,"0",VLOOKUP(B48,'5ème J.'!$BH$9:$BK$62,2,0)))</f>
        <v>5</v>
      </c>
      <c r="T48" s="248">
        <f>IF(ISNA(VLOOKUP(B48,'5ème J.'!$BH$9:$BK$62,3,0))," ",IF(VLOOKUP(B48,'5ème J.'!$BH$9:$BK$62,3,0)=0,"0",VLOOKUP(B48,'5ème J.'!$BH$9:$BK$62,3,0)))</f>
        <v>-5</v>
      </c>
      <c r="U48" s="248">
        <f>IF(ISNA(VLOOKUP(B48,'5ème J.'!$BH$9:$BK$62,4,0))," ",IF(VLOOKUP(B48,'5ème J.'!$BH$9:$BK$62,4,0)=0,"0",VLOOKUP(B48,'5ème J.'!$BH$9:$BK$62,4,0)))</f>
        <v>17</v>
      </c>
      <c r="V48" s="299"/>
      <c r="W48" s="248">
        <f>IF(ISNA(VLOOKUP(B48,'6ème J.'!$BH$9:$BK$62,2,0))," ",IF(VLOOKUP(B48,'6ème J.'!$BH$9:$BK$62,2,0)=0,"0",VLOOKUP(B48,'6ème J.'!$BH$9:$BK$62,2,0)))</f>
        <v>9</v>
      </c>
      <c r="X48" s="248">
        <f>IF(ISNA(VLOOKUP(B48,'6ème J.'!$BH$9:$BK$62,3,0))," ",IF(VLOOKUP(B48,'6ème J.'!$BH$9:$BK$62,3,0)=0,"0",VLOOKUP(B48,'6ème J.'!$BH$9:$BK$62,3,0)))</f>
        <v>15</v>
      </c>
      <c r="Y48" s="248">
        <f>IF(ISNA(VLOOKUP(B48,'6ème J.'!$BH$9:$BK$62,4,0))," ",IF(VLOOKUP(B48,'6ème J.'!$BH$9:$BK$62,4,0)=0,"0",VLOOKUP(B48,'6ème J.'!$BH$9:$BK$62,4,0)))</f>
        <v>30</v>
      </c>
      <c r="Z48" s="88"/>
      <c r="AA48" s="344" t="str">
        <f t="shared" si="9"/>
        <v>C7</v>
      </c>
      <c r="AB48" s="252">
        <f t="shared" si="10"/>
        <v>36</v>
      </c>
      <c r="AC48" s="390">
        <f t="shared" si="6"/>
        <v>15</v>
      </c>
      <c r="AD48" s="345">
        <f t="shared" si="7"/>
        <v>119</v>
      </c>
      <c r="AE48" s="250">
        <f t="shared" si="8"/>
        <v>5.8381004799999996</v>
      </c>
      <c r="AF48" s="251">
        <f>IF(AB48="","",SMALL(AE$6:AE$59,ROWS(AB$6:AB48)))</f>
        <v>42.21720054</v>
      </c>
      <c r="AG48" s="251"/>
      <c r="AH48" s="304">
        <f>IF(AF48="","",IF(AND(AJ47=AJ48,AK47=AK48,AL48=AL47),AH47,$AH$6+42))</f>
        <v>43</v>
      </c>
      <c r="AI48" s="252" t="str">
        <f t="shared" si="11"/>
        <v>C13</v>
      </c>
      <c r="AJ48" s="252">
        <f t="shared" si="12"/>
        <v>10</v>
      </c>
      <c r="AK48" s="306">
        <f t="shared" si="13"/>
        <v>-22</v>
      </c>
      <c r="AL48" s="309">
        <f t="shared" si="14"/>
        <v>28</v>
      </c>
      <c r="AN48" s="254">
        <v>43</v>
      </c>
    </row>
    <row r="49" spans="1:40">
      <c r="A49" s="354">
        <v>44</v>
      </c>
      <c r="B49" s="351" t="str">
        <f>+Inscrits!F10</f>
        <v>C8</v>
      </c>
      <c r="C49" s="248">
        <f>IF(ISNA(VLOOKUP(B49,'1ère J.'!$BH$9:$BK$62,2,0))," ",IF(VLOOKUP(B49,'1ère J.'!$BH$9:$BK$62,2,0)=0,"0",VLOOKUP(B49,'1ère J.'!$BH$9:$BK$62,2,0)))</f>
        <v>3</v>
      </c>
      <c r="D49" s="248">
        <f>IF(ISNA(VLOOKUP(B49,'1ère J.'!$BH$9:$BK$62,3,0))," ",IF(VLOOKUP(B49,'1ère J.'!$BH$9:$BK$62,3,0)=0,"0",VLOOKUP(B49,'1ère J.'!$BH$9:$BK$62,3,0)))</f>
        <v>1</v>
      </c>
      <c r="E49" s="248">
        <f>IF(ISNA(VLOOKUP(B49,'1ère J.'!$BH$9:$BK$62,4,0))," ",IF(VLOOKUP(B49,'1ère J.'!$BH$9:$BK$62,4,0)=0,"0",VLOOKUP(B49,'1ère J.'!$BH$9:$BK$62,4,0)))</f>
        <v>5</v>
      </c>
      <c r="F49" s="299"/>
      <c r="G49" s="248">
        <f>IF(ISNA(VLOOKUP(B49,'2ème J.'!$BH$9:$BK$62,2,0))," ",IF(VLOOKUP(B49,'2ème J.'!$BH$9:$BK$62,2,0)=0,"0",VLOOKUP(B49,'2ème J.'!$BH$9:$BK$62,2,0)))</f>
        <v>1</v>
      </c>
      <c r="H49" s="248">
        <f>IF(ISNA(VLOOKUP(B49,'2ème J.'!$BH$9:$BK$62,3,0))," ",IF(VLOOKUP(B49,'2ème J.'!$BH$9:$BK$62,3,0)=0,"0",VLOOKUP(B49,'2ème J.'!$BH$9:$BK$62,3,0)))</f>
        <v>-3</v>
      </c>
      <c r="I49" s="248">
        <f>IF(ISNA(VLOOKUP(B49,'2ème J.'!$BH$9:$BK$62,4,0))," ",IF(VLOOKUP(B49,'2ème J.'!$BH$9:$BK$62,4,0)=0,"0",VLOOKUP(B49,'2ème J.'!$BH$9:$BK$62,4,0)))</f>
        <v>6</v>
      </c>
      <c r="J49" s="315"/>
      <c r="K49" s="248">
        <f>IF(ISNA(VLOOKUP(B49,'3ème J.'!$BH$9:$BK$62,2,0))," ",IF(VLOOKUP(B49,'3ème J.'!$BH$9:$BK$62,2,0)=0,"0",VLOOKUP(B49,'3ème J.'!$BH$9:$BK$62,2,0)))</f>
        <v>5</v>
      </c>
      <c r="L49" s="248">
        <f>IF(ISNA(VLOOKUP(B49,'3ème J.'!$BH$9:$BK$62,3,0))," ",IF(VLOOKUP(B49,'3ème J.'!$BH$9:$BK$62,3,0)=0,"0",VLOOKUP(B49,'3ème J.'!$BH$9:$BK$62,3,0)))</f>
        <v>-12</v>
      </c>
      <c r="M49" s="248">
        <f>IF(ISNA(VLOOKUP(B49,'3ème J.'!$BH$9:$BK$62,4,0))," ",IF(VLOOKUP(B49,'3ème J.'!$BH$9:$BK$62,4,0)=0,"0",VLOOKUP(B49,'3ème J.'!$BH$9:$BK$62,4,0)))</f>
        <v>17</v>
      </c>
      <c r="N49" s="315"/>
      <c r="O49" s="248">
        <f>IF(ISNA(VLOOKUP(B49,'4ème J.'!$BH$9:$BK$62,2,0))," ",IF(VLOOKUP(B49,'4ème J.'!$BH$9:$BK$62,2,0)=0,"0",VLOOKUP(B49,'4ème J.'!$BH$9:$BK$62,2,0)))</f>
        <v>3</v>
      </c>
      <c r="P49" s="248">
        <f>IF(ISNA(VLOOKUP(B49,'4ème J.'!$BH$9:$BK$62,3,0))," ",IF(VLOOKUP(B49,'4ème J.'!$BH$9:$BK$62,3,0)=0,"0",VLOOKUP(B49,'4ème J.'!$BH$9:$BK$62,3,0)))</f>
        <v>-3</v>
      </c>
      <c r="Q49" s="248" t="str">
        <f>IF(ISNA(VLOOKUP(B49,'4ème J.'!$BH$9:$BK$62,4,0))," ",IF(VLOOKUP(B49,'4ème J.'!$BH$9:$BK$62,4,0)=0,"0",VLOOKUP(B49,'4ème J.'!$BH$9:$BK$62,4,0)))</f>
        <v>0</v>
      </c>
      <c r="R49" s="299"/>
      <c r="S49" s="248">
        <f>IF(ISNA(VLOOKUP(B49,'5ème J.'!$BH$9:$BK$62,2,0))," ",IF(VLOOKUP(B49,'5ème J.'!$BH$9:$BK$62,2,0)=0,"0",VLOOKUP(B49,'5ème J.'!$BH$9:$BK$62,2,0)))</f>
        <v>9</v>
      </c>
      <c r="T49" s="248">
        <f>IF(ISNA(VLOOKUP(B49,'5ème J.'!$BH$9:$BK$62,3,0))," ",IF(VLOOKUP(B49,'5ème J.'!$BH$9:$BK$62,3,0)=0,"0",VLOOKUP(B49,'5ème J.'!$BH$9:$BK$62,3,0)))</f>
        <v>20</v>
      </c>
      <c r="U49" s="248">
        <f>IF(ISNA(VLOOKUP(B49,'5ème J.'!$BH$9:$BK$62,4,0))," ",IF(VLOOKUP(B49,'5ème J.'!$BH$9:$BK$62,4,0)=0,"0",VLOOKUP(B49,'5ème J.'!$BH$9:$BK$62,4,0)))</f>
        <v>26</v>
      </c>
      <c r="V49" s="299"/>
      <c r="W49" s="248">
        <f>IF(ISNA(VLOOKUP(B49,'6ème J.'!$BH$9:$BK$62,2,0))," ",IF(VLOOKUP(B49,'6ème J.'!$BH$9:$BK$62,2,0)=0,"0",VLOOKUP(B49,'6ème J.'!$BH$9:$BK$62,2,0)))</f>
        <v>5</v>
      </c>
      <c r="X49" s="248">
        <f>IF(ISNA(VLOOKUP(B49,'6ème J.'!$BH$9:$BK$62,3,0))," ",IF(VLOOKUP(B49,'6ème J.'!$BH$9:$BK$62,3,0)=0,"0",VLOOKUP(B49,'6ème J.'!$BH$9:$BK$62,3,0)))</f>
        <v>-1</v>
      </c>
      <c r="Y49" s="248">
        <f>IF(ISNA(VLOOKUP(B49,'6ème J.'!$BH$9:$BK$62,4,0))," ",IF(VLOOKUP(B49,'6ème J.'!$BH$9:$BK$62,4,0)=0,"0",VLOOKUP(B49,'6ème J.'!$BH$9:$BK$62,4,0)))</f>
        <v>22</v>
      </c>
      <c r="Z49" s="88"/>
      <c r="AA49" s="344" t="str">
        <f t="shared" si="9"/>
        <v>C8</v>
      </c>
      <c r="AB49" s="252">
        <f t="shared" si="10"/>
        <v>26</v>
      </c>
      <c r="AC49" s="390">
        <f t="shared" si="6"/>
        <v>2</v>
      </c>
      <c r="AD49" s="345">
        <f t="shared" si="7"/>
        <v>76</v>
      </c>
      <c r="AE49" s="250">
        <f t="shared" si="8"/>
        <v>21.972400490000002</v>
      </c>
      <c r="AF49" s="251">
        <f>IF(AB49="","",SMALL(AE$6:AE$59,ROWS(AB$6:AB49)))</f>
        <v>42.217400359999999</v>
      </c>
      <c r="AG49" s="251"/>
      <c r="AH49" s="304">
        <f>IF(AF49="","",IF(AND(AJ48=AJ49,AK48=AK49,AL49=AL48),AH48,$AH$6+43))</f>
        <v>44</v>
      </c>
      <c r="AI49" s="252" t="str">
        <f t="shared" si="11"/>
        <v>B13</v>
      </c>
      <c r="AJ49" s="252">
        <f t="shared" si="12"/>
        <v>10</v>
      </c>
      <c r="AK49" s="306">
        <f t="shared" si="13"/>
        <v>-22</v>
      </c>
      <c r="AL49" s="309">
        <f t="shared" si="14"/>
        <v>26</v>
      </c>
      <c r="AN49" s="254">
        <v>44</v>
      </c>
    </row>
    <row r="50" spans="1:40">
      <c r="A50" s="354">
        <v>45</v>
      </c>
      <c r="B50" s="351" t="str">
        <f>+Inscrits!F11</f>
        <v>C9</v>
      </c>
      <c r="C50" s="248">
        <f>IF(ISNA(VLOOKUP(B50,'1ère J.'!$BH$9:$BK$62,2,0))," ",IF(VLOOKUP(B50,'1ère J.'!$BH$9:$BK$62,2,0)=0,"0",VLOOKUP(B50,'1ère J.'!$BH$9:$BK$62,2,0)))</f>
        <v>3</v>
      </c>
      <c r="D50" s="248">
        <f>IF(ISNA(VLOOKUP(B50,'1ère J.'!$BH$9:$BK$62,3,0))," ",IF(VLOOKUP(B50,'1ère J.'!$BH$9:$BK$62,3,0)=0,"0",VLOOKUP(B50,'1ère J.'!$BH$9:$BK$62,3,0)))</f>
        <v>5</v>
      </c>
      <c r="E50" s="248">
        <f>IF(ISNA(VLOOKUP(B50,'1ère J.'!$BH$9:$BK$62,4,0))," ",IF(VLOOKUP(B50,'1ère J.'!$BH$9:$BK$62,4,0)=0,"0",VLOOKUP(B50,'1ère J.'!$BH$9:$BK$62,4,0)))</f>
        <v>14</v>
      </c>
      <c r="F50" s="299"/>
      <c r="G50" s="248">
        <f>IF(ISNA(VLOOKUP(B50,'2ème J.'!$BH$9:$BK$62,2,0))," ",IF(VLOOKUP(B50,'2ème J.'!$BH$9:$BK$62,2,0)=0,"0",VLOOKUP(B50,'2ème J.'!$BH$9:$BK$62,2,0)))</f>
        <v>3</v>
      </c>
      <c r="H50" s="248">
        <f>IF(ISNA(VLOOKUP(B50,'2ème J.'!$BH$9:$BK$62,3,0))," ",IF(VLOOKUP(B50,'2ème J.'!$BH$9:$BK$62,3,0)=0,"0",VLOOKUP(B50,'2ème J.'!$BH$9:$BK$62,3,0)))</f>
        <v>3</v>
      </c>
      <c r="I50" s="248">
        <f>IF(ISNA(VLOOKUP(B50,'2ème J.'!$BH$9:$BK$62,4,0))," ",IF(VLOOKUP(B50,'2ème J.'!$BH$9:$BK$62,4,0)=0,"0",VLOOKUP(B50,'2ème J.'!$BH$9:$BK$62,4,0)))</f>
        <v>9</v>
      </c>
      <c r="J50" s="315"/>
      <c r="K50" s="248">
        <f>IF(ISNA(VLOOKUP(B50,'3ème J.'!$BH$9:$BK$62,2,0))," ",IF(VLOOKUP(B50,'3ème J.'!$BH$9:$BK$62,2,0)=0,"0",VLOOKUP(B50,'3ème J.'!$BH$9:$BK$62,2,0)))</f>
        <v>7</v>
      </c>
      <c r="L50" s="248">
        <f>IF(ISNA(VLOOKUP(B50,'3ème J.'!$BH$9:$BK$62,3,0))," ",IF(VLOOKUP(B50,'3ème J.'!$BH$9:$BK$62,3,0)=0,"0",VLOOKUP(B50,'3ème J.'!$BH$9:$BK$62,3,0)))</f>
        <v>8</v>
      </c>
      <c r="M50" s="248">
        <f>IF(ISNA(VLOOKUP(B50,'3ème J.'!$BH$9:$BK$62,4,0))," ",IF(VLOOKUP(B50,'3ème J.'!$BH$9:$BK$62,4,0)=0,"0",VLOOKUP(B50,'3ème J.'!$BH$9:$BK$62,4,0)))</f>
        <v>20</v>
      </c>
      <c r="N50" s="315"/>
      <c r="O50" s="248">
        <f>IF(ISNA(VLOOKUP(B50,'4ème J.'!$BH$9:$BK$62,2,0))," ",IF(VLOOKUP(B50,'4ème J.'!$BH$9:$BK$62,2,0)=0,"0",VLOOKUP(B50,'4ème J.'!$BH$9:$BK$62,2,0)))</f>
        <v>5</v>
      </c>
      <c r="P50" s="248">
        <f>IF(ISNA(VLOOKUP(B50,'4ème J.'!$BH$9:$BK$62,3,0))," ",IF(VLOOKUP(B50,'4ème J.'!$BH$9:$BK$62,3,0)=0,"0",VLOOKUP(B50,'4ème J.'!$BH$9:$BK$62,3,0)))</f>
        <v>-1</v>
      </c>
      <c r="Q50" s="248">
        <f>IF(ISNA(VLOOKUP(B50,'4ème J.'!$BH$9:$BK$62,4,0))," ",IF(VLOOKUP(B50,'4ème J.'!$BH$9:$BK$62,4,0)=0,"0",VLOOKUP(B50,'4ème J.'!$BH$9:$BK$62,4,0)))</f>
        <v>1</v>
      </c>
      <c r="R50" s="299"/>
      <c r="S50" s="248">
        <f>IF(ISNA(VLOOKUP(B50,'5ème J.'!$BH$9:$BK$62,2,0))," ",IF(VLOOKUP(B50,'5ème J.'!$BH$9:$BK$62,2,0)=0,"0",VLOOKUP(B50,'5ème J.'!$BH$9:$BK$62,2,0)))</f>
        <v>7</v>
      </c>
      <c r="T50" s="248">
        <f>IF(ISNA(VLOOKUP(B50,'5ème J.'!$BH$9:$BK$62,3,0))," ",IF(VLOOKUP(B50,'5ème J.'!$BH$9:$BK$62,3,0)=0,"0",VLOOKUP(B50,'5ème J.'!$BH$9:$BK$62,3,0)))</f>
        <v>-2</v>
      </c>
      <c r="U50" s="248">
        <f>IF(ISNA(VLOOKUP(B50,'5ème J.'!$BH$9:$BK$62,4,0))," ",IF(VLOOKUP(B50,'5ème J.'!$BH$9:$BK$62,4,0)=0,"0",VLOOKUP(B50,'5ème J.'!$BH$9:$BK$62,4,0)))</f>
        <v>24</v>
      </c>
      <c r="V50" s="299"/>
      <c r="W50" s="248">
        <f>IF(ISNA(VLOOKUP(B50,'6ème J.'!$BH$9:$BK$62,2,0))," ",IF(VLOOKUP(B50,'6ème J.'!$BH$9:$BK$62,2,0)=0,"0",VLOOKUP(B50,'6ème J.'!$BH$9:$BK$62,2,0)))</f>
        <v>5</v>
      </c>
      <c r="X50" s="248">
        <f>IF(ISNA(VLOOKUP(B50,'6ème J.'!$BH$9:$BK$62,3,0))," ",IF(VLOOKUP(B50,'6ème J.'!$BH$9:$BK$62,3,0)=0,"0",VLOOKUP(B50,'6ème J.'!$BH$9:$BK$62,3,0)))</f>
        <v>-8</v>
      </c>
      <c r="Y50" s="248">
        <f>IF(ISNA(VLOOKUP(B50,'6ème J.'!$BH$9:$BK$62,4,0))," ",IF(VLOOKUP(B50,'6ème J.'!$BH$9:$BK$62,4,0)=0,"0",VLOOKUP(B50,'6ème J.'!$BH$9:$BK$62,4,0)))</f>
        <v>19</v>
      </c>
      <c r="Z50" s="88"/>
      <c r="AA50" s="344" t="str">
        <f t="shared" si="9"/>
        <v>C9</v>
      </c>
      <c r="AB50" s="252">
        <f t="shared" si="10"/>
        <v>30</v>
      </c>
      <c r="AC50" s="390">
        <f t="shared" si="6"/>
        <v>5</v>
      </c>
      <c r="AD50" s="345">
        <f t="shared" si="7"/>
        <v>87</v>
      </c>
      <c r="AE50" s="250">
        <f t="shared" si="8"/>
        <v>15.941300500000001</v>
      </c>
      <c r="AF50" s="251">
        <f>IF(AB50="","",SMALL(AE$6:AE$59,ROWS(AB$6:AB50)))</f>
        <v>44.896900399999993</v>
      </c>
      <c r="AG50" s="251"/>
      <c r="AH50" s="304">
        <f>IF(AF50="","",IF(AND(AJ49=AJ50,AK49=AK50,AL50=AL49),AH49,$AH$6+44))</f>
        <v>45</v>
      </c>
      <c r="AI50" s="252" t="str">
        <f t="shared" si="11"/>
        <v>B17</v>
      </c>
      <c r="AJ50" s="252">
        <f t="shared" si="12"/>
        <v>9</v>
      </c>
      <c r="AK50" s="306">
        <f t="shared" si="13"/>
        <v>10</v>
      </c>
      <c r="AL50" s="309">
        <f t="shared" si="14"/>
        <v>31</v>
      </c>
      <c r="AN50" s="254">
        <v>45</v>
      </c>
    </row>
    <row r="51" spans="1:40">
      <c r="A51" s="354">
        <v>46</v>
      </c>
      <c r="B51" s="351" t="str">
        <f>+Inscrits!F12</f>
        <v>C10</v>
      </c>
      <c r="C51" s="248">
        <f>IF(ISNA(VLOOKUP(B51,'1ère J.'!$BH$9:$BK$62,2,0))," ",IF(VLOOKUP(B51,'1ère J.'!$BH$9:$BK$62,2,0)=0,"0",VLOOKUP(B51,'1ère J.'!$BH$9:$BK$62,2,0)))</f>
        <v>1</v>
      </c>
      <c r="D51" s="248">
        <f>IF(ISNA(VLOOKUP(B51,'1ère J.'!$BH$9:$BK$62,3,0))," ",IF(VLOOKUP(B51,'1ère J.'!$BH$9:$BK$62,3,0)=0,"0",VLOOKUP(B51,'1ère J.'!$BH$9:$BK$62,3,0)))</f>
        <v>-5</v>
      </c>
      <c r="E51" s="248">
        <f>IF(ISNA(VLOOKUP(B51,'1ère J.'!$BH$9:$BK$62,4,0))," ",IF(VLOOKUP(B51,'1ère J.'!$BH$9:$BK$62,4,0)=0,"0",VLOOKUP(B51,'1ère J.'!$BH$9:$BK$62,4,0)))</f>
        <v>9</v>
      </c>
      <c r="F51" s="299"/>
      <c r="G51" s="248" t="str">
        <f>IF(ISNA(VLOOKUP(B51,'2ème J.'!$BH$9:$BK$62,2,0))," ",IF(VLOOKUP(B51,'2ème J.'!$BH$9:$BK$62,2,0)=0,"0",VLOOKUP(B51,'2ème J.'!$BH$9:$BK$62,2,0)))</f>
        <v>0</v>
      </c>
      <c r="H51" s="248" t="str">
        <f>IF(ISNA(VLOOKUP(B51,'2ème J.'!$BH$9:$BK$62,3,0))," ",IF(VLOOKUP(B51,'2ème J.'!$BH$9:$BK$62,3,0)=0,"0",VLOOKUP(B51,'2ème J.'!$BH$9:$BK$62,3,0)))</f>
        <v>0</v>
      </c>
      <c r="I51" s="248" t="str">
        <f>IF(ISNA(VLOOKUP(B51,'2ème J.'!$BH$9:$BK$62,4,0))," ",IF(VLOOKUP(B51,'2ème J.'!$BH$9:$BK$62,4,0)=0,"0",VLOOKUP(B51,'2ème J.'!$BH$9:$BK$62,4,0)))</f>
        <v>0</v>
      </c>
      <c r="J51" s="315"/>
      <c r="K51" s="248">
        <f>IF(ISNA(VLOOKUP(B51,'3ème J.'!$BH$9:$BK$62,2,0))," ",IF(VLOOKUP(B51,'3ème J.'!$BH$9:$BK$62,2,0)=0,"0",VLOOKUP(B51,'3ème J.'!$BH$9:$BK$62,2,0)))</f>
        <v>3</v>
      </c>
      <c r="L51" s="248">
        <f>IF(ISNA(VLOOKUP(B51,'3ème J.'!$BH$9:$BK$62,3,0))," ",IF(VLOOKUP(B51,'3ème J.'!$BH$9:$BK$62,3,0)=0,"0",VLOOKUP(B51,'3ème J.'!$BH$9:$BK$62,3,0)))</f>
        <v>-11</v>
      </c>
      <c r="M51" s="248">
        <f>IF(ISNA(VLOOKUP(B51,'3ème J.'!$BH$9:$BK$62,4,0))," ",IF(VLOOKUP(B51,'3ème J.'!$BH$9:$BK$62,4,0)=0,"0",VLOOKUP(B51,'3ème J.'!$BH$9:$BK$62,4,0)))</f>
        <v>14</v>
      </c>
      <c r="N51" s="315"/>
      <c r="O51" s="248">
        <f>IF(ISNA(VLOOKUP(B51,'4ème J.'!$BH$9:$BK$62,2,0))," ",IF(VLOOKUP(B51,'4ème J.'!$BH$9:$BK$62,2,0)=0,"0",VLOOKUP(B51,'4ème J.'!$BH$9:$BK$62,2,0)))</f>
        <v>3</v>
      </c>
      <c r="P51" s="248">
        <f>IF(ISNA(VLOOKUP(B51,'4ème J.'!$BH$9:$BK$62,3,0))," ",IF(VLOOKUP(B51,'4ème J.'!$BH$9:$BK$62,3,0)=0,"0",VLOOKUP(B51,'4ème J.'!$BH$9:$BK$62,3,0)))</f>
        <v>-3</v>
      </c>
      <c r="Q51" s="248" t="str">
        <f>IF(ISNA(VLOOKUP(B51,'4ème J.'!$BH$9:$BK$62,4,0))," ",IF(VLOOKUP(B51,'4ème J.'!$BH$9:$BK$62,4,0)=0,"0",VLOOKUP(B51,'4ème J.'!$BH$9:$BK$62,4,0)))</f>
        <v>0</v>
      </c>
      <c r="R51" s="299"/>
      <c r="S51" s="248">
        <f>IF(ISNA(VLOOKUP(B51,'5ème J.'!$BH$9:$BK$62,2,0))," ",IF(VLOOKUP(B51,'5ème J.'!$BH$9:$BK$62,2,0)=0,"0",VLOOKUP(B51,'5ème J.'!$BH$9:$BK$62,2,0)))</f>
        <v>5</v>
      </c>
      <c r="T51" s="248">
        <f>IF(ISNA(VLOOKUP(B51,'5ème J.'!$BH$9:$BK$62,3,0))," ",IF(VLOOKUP(B51,'5ème J.'!$BH$9:$BK$62,3,0)=0,"0",VLOOKUP(B51,'5ème J.'!$BH$9:$BK$62,3,0)))</f>
        <v>3</v>
      </c>
      <c r="U51" s="248">
        <f>IF(ISNA(VLOOKUP(B51,'5ème J.'!$BH$9:$BK$62,4,0))," ",IF(VLOOKUP(B51,'5ème J.'!$BH$9:$BK$62,4,0)=0,"0",VLOOKUP(B51,'5ème J.'!$BH$9:$BK$62,4,0)))</f>
        <v>30</v>
      </c>
      <c r="V51" s="299"/>
      <c r="W51" s="248">
        <f>IF(ISNA(VLOOKUP(B51,'6ème J.'!$BH$9:$BK$62,2,0))," ",IF(VLOOKUP(B51,'6ème J.'!$BH$9:$BK$62,2,0)=0,"0",VLOOKUP(B51,'6ème J.'!$BH$9:$BK$62,2,0)))</f>
        <v>5</v>
      </c>
      <c r="X51" s="248">
        <f>IF(ISNA(VLOOKUP(B51,'6ème J.'!$BH$9:$BK$62,3,0))," ",IF(VLOOKUP(B51,'6ème J.'!$BH$9:$BK$62,3,0)=0,"0",VLOOKUP(B51,'6ème J.'!$BH$9:$BK$62,3,0)))</f>
        <v>-7</v>
      </c>
      <c r="Y51" s="248">
        <f>IF(ISNA(VLOOKUP(B51,'6ème J.'!$BH$9:$BK$62,4,0))," ",IF(VLOOKUP(B51,'6ème J.'!$BH$9:$BK$62,4,0)=0,"0",VLOOKUP(B51,'6ème J.'!$BH$9:$BK$62,4,0)))</f>
        <v>19</v>
      </c>
      <c r="Z51" s="88"/>
      <c r="AA51" s="344" t="str">
        <f t="shared" si="9"/>
        <v>C10</v>
      </c>
      <c r="AB51" s="252">
        <f t="shared" si="10"/>
        <v>17</v>
      </c>
      <c r="AC51" s="390">
        <f t="shared" si="6"/>
        <v>-23</v>
      </c>
      <c r="AD51" s="345">
        <f t="shared" si="7"/>
        <v>72</v>
      </c>
      <c r="AE51" s="250">
        <f t="shared" si="8"/>
        <v>33.222800509999999</v>
      </c>
      <c r="AF51" s="251">
        <f>IF(AB51="","",SMALL(AE$6:AE$59,ROWS(AB$6:AB51)))</f>
        <v>44.916500389999996</v>
      </c>
      <c r="AG51" s="251"/>
      <c r="AH51" s="304">
        <f>IF(AF51="","",IF(AND(AJ50=AJ51,AK50=AK51,AL51=AL50),AH50,$AH$6+45))</f>
        <v>46</v>
      </c>
      <c r="AI51" s="252" t="str">
        <f t="shared" si="11"/>
        <v>B16</v>
      </c>
      <c r="AJ51" s="252">
        <f t="shared" si="12"/>
        <v>9</v>
      </c>
      <c r="AK51" s="306">
        <f t="shared" si="13"/>
        <v>8</v>
      </c>
      <c r="AL51" s="309">
        <f t="shared" si="14"/>
        <v>35</v>
      </c>
      <c r="AN51" s="254">
        <v>46</v>
      </c>
    </row>
    <row r="52" spans="1:40">
      <c r="A52" s="354">
        <v>47</v>
      </c>
      <c r="B52" s="351" t="str">
        <f>+Inscrits!F13</f>
        <v>C11</v>
      </c>
      <c r="C52" s="248" t="str">
        <f>IF(ISNA(VLOOKUP(B52,'1ère J.'!$BH$9:$BK$62,2,0))," ",IF(VLOOKUP(B52,'1ère J.'!$BH$9:$BK$62,2,0)=0,"0",VLOOKUP(B52,'1ère J.'!$BH$9:$BK$62,2,0)))</f>
        <v>0</v>
      </c>
      <c r="D52" s="248" t="str">
        <f>IF(ISNA(VLOOKUP(B52,'1ère J.'!$BH$9:$BK$62,3,0))," ",IF(VLOOKUP(B52,'1ère J.'!$BH$9:$BK$62,3,0)=0,"0",VLOOKUP(B52,'1ère J.'!$BH$9:$BK$62,3,0)))</f>
        <v>0</v>
      </c>
      <c r="E52" s="248" t="str">
        <f>IF(ISNA(VLOOKUP(B52,'1ère J.'!$BH$9:$BK$62,4,0))," ",IF(VLOOKUP(B52,'1ère J.'!$BH$9:$BK$62,4,0)=0,"0",VLOOKUP(B52,'1ère J.'!$BH$9:$BK$62,4,0)))</f>
        <v>0</v>
      </c>
      <c r="F52" s="299"/>
      <c r="G52" s="248" t="str">
        <f>IF(ISNA(VLOOKUP(B52,'2ème J.'!$BH$9:$BK$62,2,0))," ",IF(VLOOKUP(B52,'2ème J.'!$BH$9:$BK$62,2,0)=0,"0",VLOOKUP(B52,'2ème J.'!$BH$9:$BK$62,2,0)))</f>
        <v>0</v>
      </c>
      <c r="H52" s="248" t="str">
        <f>IF(ISNA(VLOOKUP(B52,'2ème J.'!$BH$9:$BK$62,3,0))," ",IF(VLOOKUP(B52,'2ème J.'!$BH$9:$BK$62,3,0)=0,"0",VLOOKUP(B52,'2ème J.'!$BH$9:$BK$62,3,0)))</f>
        <v>0</v>
      </c>
      <c r="I52" s="248" t="str">
        <f>IF(ISNA(VLOOKUP(B52,'2ème J.'!$BH$9:$BK$62,4,0))," ",IF(VLOOKUP(B52,'2ème J.'!$BH$9:$BK$62,4,0)=0,"0",VLOOKUP(B52,'2ème J.'!$BH$9:$BK$62,4,0)))</f>
        <v>0</v>
      </c>
      <c r="J52" s="315"/>
      <c r="K52" s="248" t="str">
        <f>IF(ISNA(VLOOKUP(B52,'3ème J.'!$BH$9:$BK$62,2,0))," ",IF(VLOOKUP(B52,'3ème J.'!$BH$9:$BK$62,2,0)=0,"0",VLOOKUP(B52,'3ème J.'!$BH$9:$BK$62,2,0)))</f>
        <v>0</v>
      </c>
      <c r="L52" s="248" t="str">
        <f>IF(ISNA(VLOOKUP(B52,'3ème J.'!$BH$9:$BK$62,3,0))," ",IF(VLOOKUP(B52,'3ème J.'!$BH$9:$BK$62,3,0)=0,"0",VLOOKUP(B52,'3ème J.'!$BH$9:$BK$62,3,0)))</f>
        <v>0</v>
      </c>
      <c r="M52" s="248" t="str">
        <f>IF(ISNA(VLOOKUP(B52,'3ème J.'!$BH$9:$BK$62,4,0))," ",IF(VLOOKUP(B52,'3ème J.'!$BH$9:$BK$62,4,0)=0,"0",VLOOKUP(B52,'3ème J.'!$BH$9:$BK$62,4,0)))</f>
        <v>0</v>
      </c>
      <c r="N52" s="315"/>
      <c r="O52" s="248">
        <f>IF(ISNA(VLOOKUP(B52,'4ème J.'!$BH$9:$BK$62,2,0))," ",IF(VLOOKUP(B52,'4ème J.'!$BH$9:$BK$62,2,0)=0,"0",VLOOKUP(B52,'4ème J.'!$BH$9:$BK$62,2,0)))</f>
        <v>7</v>
      </c>
      <c r="P52" s="248">
        <f>IF(ISNA(VLOOKUP(B52,'4ème J.'!$BH$9:$BK$62,3,0))," ",IF(VLOOKUP(B52,'4ème J.'!$BH$9:$BK$62,3,0)=0,"0",VLOOKUP(B52,'4ème J.'!$BH$9:$BK$62,3,0)))</f>
        <v>5</v>
      </c>
      <c r="Q52" s="248">
        <f>IF(ISNA(VLOOKUP(B52,'4ème J.'!$BH$9:$BK$62,4,0))," ",IF(VLOOKUP(B52,'4ème J.'!$BH$9:$BK$62,4,0)=0,"0",VLOOKUP(B52,'4ème J.'!$BH$9:$BK$62,4,0)))</f>
        <v>6</v>
      </c>
      <c r="R52" s="299"/>
      <c r="S52" s="248">
        <f>IF(ISNA(VLOOKUP(B52,'5ème J.'!$BH$9:$BK$62,2,0))," ",IF(VLOOKUP(B52,'5ème J.'!$BH$9:$BK$62,2,0)=0,"0",VLOOKUP(B52,'5ème J.'!$BH$9:$BK$62,2,0)))</f>
        <v>3</v>
      </c>
      <c r="T52" s="248">
        <f>IF(ISNA(VLOOKUP(B52,'5ème J.'!$BH$9:$BK$62,3,0))," ",IF(VLOOKUP(B52,'5ème J.'!$BH$9:$BK$62,3,0)=0,"0",VLOOKUP(B52,'5ème J.'!$BH$9:$BK$62,3,0)))</f>
        <v>-19</v>
      </c>
      <c r="U52" s="248">
        <f>IF(ISNA(VLOOKUP(B52,'5ème J.'!$BH$9:$BK$62,4,0))," ",IF(VLOOKUP(B52,'5ème J.'!$BH$9:$BK$62,4,0)=0,"0",VLOOKUP(B52,'5ème J.'!$BH$9:$BK$62,4,0)))</f>
        <v>10</v>
      </c>
      <c r="V52" s="299"/>
      <c r="W52" s="248">
        <f>IF(ISNA(VLOOKUP(B52,'6ème J.'!$BH$9:$BK$62,2,0))," ",IF(VLOOKUP(B52,'6ème J.'!$BH$9:$BK$62,2,0)=0,"0",VLOOKUP(B52,'6ème J.'!$BH$9:$BK$62,2,0)))</f>
        <v>7</v>
      </c>
      <c r="X52" s="248">
        <f>IF(ISNA(VLOOKUP(B52,'6ème J.'!$BH$9:$BK$62,3,0))," ",IF(VLOOKUP(B52,'6ème J.'!$BH$9:$BK$62,3,0)=0,"0",VLOOKUP(B52,'6ème J.'!$BH$9:$BK$62,3,0)))</f>
        <v>8</v>
      </c>
      <c r="Y52" s="248">
        <f>IF(ISNA(VLOOKUP(B52,'6ème J.'!$BH$9:$BK$62,4,0))," ",IF(VLOOKUP(B52,'6ème J.'!$BH$9:$BK$62,4,0)=0,"0",VLOOKUP(B52,'6ème J.'!$BH$9:$BK$62,4,0)))</f>
        <v>32</v>
      </c>
      <c r="Z52" s="88"/>
      <c r="AA52" s="344" t="str">
        <f t="shared" si="9"/>
        <v>C11</v>
      </c>
      <c r="AB52" s="252">
        <f t="shared" si="10"/>
        <v>17</v>
      </c>
      <c r="AC52" s="390">
        <f t="shared" si="6"/>
        <v>-6</v>
      </c>
      <c r="AD52" s="345">
        <f t="shared" si="7"/>
        <v>48</v>
      </c>
      <c r="AE52" s="250">
        <f t="shared" si="8"/>
        <v>33.05520052</v>
      </c>
      <c r="AF52" s="251">
        <f>IF(AB52="","",SMALL(AE$6:AE$59,ROWS(AB$6:AB52)))</f>
        <v>47.24720018</v>
      </c>
      <c r="AG52" s="251"/>
      <c r="AH52" s="304">
        <f>IF(AF52="","",IF(AND(AJ51=AJ52,AK51=AK52,AL52=AL51),AH51,$AH$6+46))</f>
        <v>47</v>
      </c>
      <c r="AI52" s="252" t="str">
        <f t="shared" si="11"/>
        <v>A13</v>
      </c>
      <c r="AJ52" s="252">
        <f t="shared" si="12"/>
        <v>8</v>
      </c>
      <c r="AK52" s="306">
        <f t="shared" si="13"/>
        <v>-25</v>
      </c>
      <c r="AL52" s="309">
        <f t="shared" si="14"/>
        <v>28</v>
      </c>
      <c r="AN52" s="254">
        <v>47</v>
      </c>
    </row>
    <row r="53" spans="1:40">
      <c r="A53" s="354">
        <v>48</v>
      </c>
      <c r="B53" s="351" t="str">
        <f>+Inscrits!F14</f>
        <v>C12</v>
      </c>
      <c r="C53" s="248" t="str">
        <f>IF(ISNA(VLOOKUP(B53,'1ère J.'!$BH$9:$BK$62,2,0))," ",IF(VLOOKUP(B53,'1ère J.'!$BH$9:$BK$62,2,0)=0,"0",VLOOKUP(B53,'1ère J.'!$BH$9:$BK$62,2,0)))</f>
        <v>0</v>
      </c>
      <c r="D53" s="248" t="str">
        <f>IF(ISNA(VLOOKUP(B53,'1ère J.'!$BH$9:$BK$62,3,0))," ",IF(VLOOKUP(B53,'1ère J.'!$BH$9:$BK$62,3,0)=0,"0",VLOOKUP(B53,'1ère J.'!$BH$9:$BK$62,3,0)))</f>
        <v>0</v>
      </c>
      <c r="E53" s="248" t="str">
        <f>IF(ISNA(VLOOKUP(B53,'1ère J.'!$BH$9:$BK$62,4,0))," ",IF(VLOOKUP(B53,'1ère J.'!$BH$9:$BK$62,4,0)=0,"0",VLOOKUP(B53,'1ère J.'!$BH$9:$BK$62,4,0)))</f>
        <v>0</v>
      </c>
      <c r="F53" s="299"/>
      <c r="G53" s="248" t="str">
        <f>IF(ISNA(VLOOKUP(B53,'2ème J.'!$BH$9:$BK$62,2,0))," ",IF(VLOOKUP(B53,'2ème J.'!$BH$9:$BK$62,2,0)=0,"0",VLOOKUP(B53,'2ème J.'!$BH$9:$BK$62,2,0)))</f>
        <v>0</v>
      </c>
      <c r="H53" s="248" t="str">
        <f>IF(ISNA(VLOOKUP(B53,'2ème J.'!$BH$9:$BK$62,3,0))," ",IF(VLOOKUP(B53,'2ème J.'!$BH$9:$BK$62,3,0)=0,"0",VLOOKUP(B53,'2ème J.'!$BH$9:$BK$62,3,0)))</f>
        <v>0</v>
      </c>
      <c r="I53" s="248" t="str">
        <f>IF(ISNA(VLOOKUP(B53,'2ème J.'!$BH$9:$BK$62,4,0))," ",IF(VLOOKUP(B53,'2ème J.'!$BH$9:$BK$62,4,0)=0,"0",VLOOKUP(B53,'2ème J.'!$BH$9:$BK$62,4,0)))</f>
        <v>0</v>
      </c>
      <c r="J53" s="315"/>
      <c r="K53" s="248" t="str">
        <f>IF(ISNA(VLOOKUP(B53,'3ème J.'!$BH$9:$BK$62,2,0))," ",IF(VLOOKUP(B53,'3ème J.'!$BH$9:$BK$62,2,0)=0,"0",VLOOKUP(B53,'3ème J.'!$BH$9:$BK$62,2,0)))</f>
        <v>0</v>
      </c>
      <c r="L53" s="248" t="str">
        <f>IF(ISNA(VLOOKUP(B53,'3ème J.'!$BH$9:$BK$62,3,0))," ",IF(VLOOKUP(B53,'3ème J.'!$BH$9:$BK$62,3,0)=0,"0",VLOOKUP(B53,'3ème J.'!$BH$9:$BK$62,3,0)))</f>
        <v>0</v>
      </c>
      <c r="M53" s="248" t="str">
        <f>IF(ISNA(VLOOKUP(B53,'3ème J.'!$BH$9:$BK$62,4,0))," ",IF(VLOOKUP(B53,'3ème J.'!$BH$9:$BK$62,4,0)=0,"0",VLOOKUP(B53,'3ème J.'!$BH$9:$BK$62,4,0)))</f>
        <v>0</v>
      </c>
      <c r="N53" s="315"/>
      <c r="O53" s="248" t="str">
        <f>IF(ISNA(VLOOKUP(B53,'4ème J.'!$BH$9:$BK$62,2,0))," ",IF(VLOOKUP(B53,'4ème J.'!$BH$9:$BK$62,2,0)=0,"0",VLOOKUP(B53,'4ème J.'!$BH$9:$BK$62,2,0)))</f>
        <v>0</v>
      </c>
      <c r="P53" s="248" t="str">
        <f>IF(ISNA(VLOOKUP(B53,'4ème J.'!$BH$9:$BK$62,3,0))," ",IF(VLOOKUP(B53,'4ème J.'!$BH$9:$BK$62,3,0)=0,"0",VLOOKUP(B53,'4ème J.'!$BH$9:$BK$62,3,0)))</f>
        <v>0</v>
      </c>
      <c r="Q53" s="248" t="str">
        <f>IF(ISNA(VLOOKUP(B53,'4ème J.'!$BH$9:$BK$62,4,0))," ",IF(VLOOKUP(B53,'4ème J.'!$BH$9:$BK$62,4,0)=0,"0",VLOOKUP(B53,'4ème J.'!$BH$9:$BK$62,4,0)))</f>
        <v>0</v>
      </c>
      <c r="R53" s="299"/>
      <c r="S53" s="248">
        <f>IF(ISNA(VLOOKUP(B53,'5ème J.'!$BH$9:$BK$62,2,0))," ",IF(VLOOKUP(B53,'5ème J.'!$BH$9:$BK$62,2,0)=0,"0",VLOOKUP(B53,'5ème J.'!$BH$9:$BK$62,2,0)))</f>
        <v>7</v>
      </c>
      <c r="T53" s="248">
        <f>IF(ISNA(VLOOKUP(B53,'5ème J.'!$BH$9:$BK$62,3,0))," ",IF(VLOOKUP(B53,'5ème J.'!$BH$9:$BK$62,3,0)=0,"0",VLOOKUP(B53,'5ème J.'!$BH$9:$BK$62,3,0)))</f>
        <v>6</v>
      </c>
      <c r="U53" s="248">
        <f>IF(ISNA(VLOOKUP(B53,'5ème J.'!$BH$9:$BK$62,4,0))," ",IF(VLOOKUP(B53,'5ème J.'!$BH$9:$BK$62,4,0)=0,"0",VLOOKUP(B53,'5ème J.'!$BH$9:$BK$62,4,0)))</f>
        <v>22</v>
      </c>
      <c r="V53" s="299"/>
      <c r="W53" s="248">
        <f>IF(ISNA(VLOOKUP(B53,'6ème J.'!$BH$9:$BK$62,2,0))," ",IF(VLOOKUP(B53,'6ème J.'!$BH$9:$BK$62,2,0)=0,"0",VLOOKUP(B53,'6ème J.'!$BH$9:$BK$62,2,0)))</f>
        <v>5</v>
      </c>
      <c r="X53" s="248">
        <f>IF(ISNA(VLOOKUP(B53,'6ème J.'!$BH$9:$BK$62,3,0))," ",IF(VLOOKUP(B53,'6ème J.'!$BH$9:$BK$62,3,0)=0,"0",VLOOKUP(B53,'6ème J.'!$BH$9:$BK$62,3,0)))</f>
        <v>-7</v>
      </c>
      <c r="Y53" s="248">
        <f>IF(ISNA(VLOOKUP(B53,'6ème J.'!$BH$9:$BK$62,4,0))," ",IF(VLOOKUP(B53,'6ème J.'!$BH$9:$BK$62,4,0)=0,"0",VLOOKUP(B53,'6ème J.'!$BH$9:$BK$62,4,0)))</f>
        <v>24</v>
      </c>
      <c r="Z53" s="88"/>
      <c r="AA53" s="344" t="str">
        <f t="shared" si="9"/>
        <v>C12</v>
      </c>
      <c r="AB53" s="252">
        <f t="shared" si="10"/>
        <v>12</v>
      </c>
      <c r="AC53" s="390">
        <f t="shared" si="6"/>
        <v>-1</v>
      </c>
      <c r="AD53" s="345">
        <f t="shared" si="7"/>
        <v>46</v>
      </c>
      <c r="AE53" s="250">
        <f t="shared" si="8"/>
        <v>39.005400529999996</v>
      </c>
      <c r="AF53" s="251">
        <f>IF(AB53="","",SMALL(AE$6:AE$59,ROWS(AB$6:AB53)))</f>
        <v>47.826700219999992</v>
      </c>
      <c r="AG53" s="251"/>
      <c r="AH53" s="304">
        <f>IF(AF53="","",IF(AND(AJ52=AJ53,AK52=AK53,AL53=AL52),AH52,$AH$6+47))</f>
        <v>48</v>
      </c>
      <c r="AI53" s="252" t="str">
        <f t="shared" si="11"/>
        <v>A17</v>
      </c>
      <c r="AJ53" s="252">
        <f t="shared" si="12"/>
        <v>7</v>
      </c>
      <c r="AK53" s="306">
        <f t="shared" si="13"/>
        <v>17</v>
      </c>
      <c r="AL53" s="309">
        <f t="shared" si="14"/>
        <v>33</v>
      </c>
      <c r="AN53" s="254">
        <v>48</v>
      </c>
    </row>
    <row r="54" spans="1:40">
      <c r="A54" s="354">
        <v>49</v>
      </c>
      <c r="B54" s="351" t="str">
        <f>+Inscrits!F15</f>
        <v>C13</v>
      </c>
      <c r="C54" s="248" t="str">
        <f>IF(ISNA(VLOOKUP(B54,'1ère J.'!$BH$9:$BK$62,2,0))," ",IF(VLOOKUP(B54,'1ère J.'!$BH$9:$BK$62,2,0)=0,"0",VLOOKUP(B54,'1ère J.'!$BH$9:$BK$62,2,0)))</f>
        <v>0</v>
      </c>
      <c r="D54" s="248" t="str">
        <f>IF(ISNA(VLOOKUP(B54,'1ère J.'!$BH$9:$BK$62,3,0))," ",IF(VLOOKUP(B54,'1ère J.'!$BH$9:$BK$62,3,0)=0,"0",VLOOKUP(B54,'1ère J.'!$BH$9:$BK$62,3,0)))</f>
        <v>0</v>
      </c>
      <c r="E54" s="248" t="str">
        <f>IF(ISNA(VLOOKUP(B54,'1ère J.'!$BH$9:$BK$62,4,0))," ",IF(VLOOKUP(B54,'1ère J.'!$BH$9:$BK$62,4,0)=0,"0",VLOOKUP(B54,'1ère J.'!$BH$9:$BK$62,4,0)))</f>
        <v>0</v>
      </c>
      <c r="F54" s="299"/>
      <c r="G54" s="248" t="str">
        <f>IF(ISNA(VLOOKUP(B54,'2ème J.'!$BH$9:$BK$62,2,0))," ",IF(VLOOKUP(B54,'2ème J.'!$BH$9:$BK$62,2,0)=0,"0",VLOOKUP(B54,'2ème J.'!$BH$9:$BK$62,2,0)))</f>
        <v>0</v>
      </c>
      <c r="H54" s="248" t="str">
        <f>IF(ISNA(VLOOKUP(B54,'2ème J.'!$BH$9:$BK$62,3,0))," ",IF(VLOOKUP(B54,'2ème J.'!$BH$9:$BK$62,3,0)=0,"0",VLOOKUP(B54,'2ème J.'!$BH$9:$BK$62,3,0)))</f>
        <v>0</v>
      </c>
      <c r="I54" s="248" t="str">
        <f>IF(ISNA(VLOOKUP(B54,'2ème J.'!$BH$9:$BK$62,4,0))," ",IF(VLOOKUP(B54,'2ème J.'!$BH$9:$BK$62,4,0)=0,"0",VLOOKUP(B54,'2ème J.'!$BH$9:$BK$62,4,0)))</f>
        <v>0</v>
      </c>
      <c r="J54" s="315"/>
      <c r="K54" s="248" t="str">
        <f>IF(ISNA(VLOOKUP(B54,'3ème J.'!$BH$9:$BK$62,2,0))," ",IF(VLOOKUP(B54,'3ème J.'!$BH$9:$BK$62,2,0)=0,"0",VLOOKUP(B54,'3ème J.'!$BH$9:$BK$62,2,0)))</f>
        <v>0</v>
      </c>
      <c r="L54" s="248" t="str">
        <f>IF(ISNA(VLOOKUP(B54,'3ème J.'!$BH$9:$BK$62,3,0))," ",IF(VLOOKUP(B54,'3ème J.'!$BH$9:$BK$62,3,0)=0,"0",VLOOKUP(B54,'3ème J.'!$BH$9:$BK$62,3,0)))</f>
        <v>0</v>
      </c>
      <c r="M54" s="248" t="str">
        <f>IF(ISNA(VLOOKUP(B54,'3ème J.'!$BH$9:$BK$62,4,0))," ",IF(VLOOKUP(B54,'3ème J.'!$BH$9:$BK$62,4,0)=0,"0",VLOOKUP(B54,'3ème J.'!$BH$9:$BK$62,4,0)))</f>
        <v>0</v>
      </c>
      <c r="N54" s="315"/>
      <c r="O54" s="248" t="str">
        <f>IF(ISNA(VLOOKUP(B54,'4ème J.'!$BH$9:$BK$62,2,0))," ",IF(VLOOKUP(B54,'4ème J.'!$BH$9:$BK$62,2,0)=0,"0",VLOOKUP(B54,'4ème J.'!$BH$9:$BK$62,2,0)))</f>
        <v>0</v>
      </c>
      <c r="P54" s="248" t="str">
        <f>IF(ISNA(VLOOKUP(B54,'4ème J.'!$BH$9:$BK$62,3,0))," ",IF(VLOOKUP(B54,'4ème J.'!$BH$9:$BK$62,3,0)=0,"0",VLOOKUP(B54,'4ème J.'!$BH$9:$BK$62,3,0)))</f>
        <v>0</v>
      </c>
      <c r="Q54" s="248" t="str">
        <f>IF(ISNA(VLOOKUP(B54,'4ème J.'!$BH$9:$BK$62,4,0))," ",IF(VLOOKUP(B54,'4ème J.'!$BH$9:$BK$62,4,0)=0,"0",VLOOKUP(B54,'4ème J.'!$BH$9:$BK$62,4,0)))</f>
        <v>0</v>
      </c>
      <c r="R54" s="299"/>
      <c r="S54" s="248">
        <f>IF(ISNA(VLOOKUP(B54,'5ème J.'!$BH$9:$BK$62,2,0))," ",IF(VLOOKUP(B54,'5ème J.'!$BH$9:$BK$62,2,0)=0,"0",VLOOKUP(B54,'5ème J.'!$BH$9:$BK$62,2,0)))</f>
        <v>5</v>
      </c>
      <c r="T54" s="248">
        <f>IF(ISNA(VLOOKUP(B54,'5ème J.'!$BH$9:$BK$62,3,0))," ",IF(VLOOKUP(B54,'5ème J.'!$BH$9:$BK$62,3,0)=0,"0",VLOOKUP(B54,'5ème J.'!$BH$9:$BK$62,3,0)))</f>
        <v>-13</v>
      </c>
      <c r="U54" s="248">
        <f>IF(ISNA(VLOOKUP(B54,'5ème J.'!$BH$9:$BK$62,4,0))," ",IF(VLOOKUP(B54,'5ème J.'!$BH$9:$BK$62,4,0)=0,"0",VLOOKUP(B54,'5ème J.'!$BH$9:$BK$62,4,0)))</f>
        <v>12</v>
      </c>
      <c r="V54" s="299"/>
      <c r="W54" s="248">
        <f>IF(ISNA(VLOOKUP(B54,'6ème J.'!$BH$9:$BK$62,2,0))," ",IF(VLOOKUP(B54,'6ème J.'!$BH$9:$BK$62,2,0)=0,"0",VLOOKUP(B54,'6ème J.'!$BH$9:$BK$62,2,0)))</f>
        <v>5</v>
      </c>
      <c r="X54" s="248">
        <f>IF(ISNA(VLOOKUP(B54,'6ème J.'!$BH$9:$BK$62,3,0))," ",IF(VLOOKUP(B54,'6ème J.'!$BH$9:$BK$62,3,0)=0,"0",VLOOKUP(B54,'6ème J.'!$BH$9:$BK$62,3,0)))</f>
        <v>-9</v>
      </c>
      <c r="Y54" s="248">
        <f>IF(ISNA(VLOOKUP(B54,'6ème J.'!$BH$9:$BK$62,4,0))," ",IF(VLOOKUP(B54,'6ème J.'!$BH$9:$BK$62,4,0)=0,"0",VLOOKUP(B54,'6ème J.'!$BH$9:$BK$62,4,0)))</f>
        <v>16</v>
      </c>
      <c r="Z54" s="88"/>
      <c r="AA54" s="344" t="str">
        <f t="shared" si="9"/>
        <v>C13</v>
      </c>
      <c r="AB54" s="252">
        <f t="shared" si="10"/>
        <v>10</v>
      </c>
      <c r="AC54" s="390">
        <f t="shared" si="6"/>
        <v>-22</v>
      </c>
      <c r="AD54" s="345">
        <f t="shared" si="7"/>
        <v>28</v>
      </c>
      <c r="AE54" s="250">
        <f t="shared" si="8"/>
        <v>42.21720054</v>
      </c>
      <c r="AF54" s="251">
        <f>IF(AB54="","",SMALL(AE$6:AE$59,ROWS(AB$6:AB54)))</f>
        <v>47.956900579999996</v>
      </c>
      <c r="AG54" s="251"/>
      <c r="AH54" s="304">
        <f>IF(AF54="","",IF(AND(AJ53=AJ54,AK53=AK54,AL54=AL53),AH53,$AH$6+48))</f>
        <v>49</v>
      </c>
      <c r="AI54" s="252" t="str">
        <f t="shared" si="11"/>
        <v>C17</v>
      </c>
      <c r="AJ54" s="252">
        <f t="shared" si="12"/>
        <v>7</v>
      </c>
      <c r="AK54" s="306">
        <f t="shared" si="13"/>
        <v>4</v>
      </c>
      <c r="AL54" s="309">
        <f t="shared" si="14"/>
        <v>31</v>
      </c>
      <c r="AN54" s="254">
        <v>49</v>
      </c>
    </row>
    <row r="55" spans="1:40">
      <c r="A55" s="354">
        <v>50</v>
      </c>
      <c r="B55" s="351" t="str">
        <f>+Inscrits!F16</f>
        <v>C14</v>
      </c>
      <c r="C55" s="248" t="str">
        <f>IF(ISNA(VLOOKUP(B55,'1ère J.'!$BH$9:$BK$62,2,0))," ",IF(VLOOKUP(B55,'1ère J.'!$BH$9:$BK$62,2,0)=0,"0",VLOOKUP(B55,'1ère J.'!$BH$9:$BK$62,2,0)))</f>
        <v>0</v>
      </c>
      <c r="D55" s="248" t="str">
        <f>IF(ISNA(VLOOKUP(B55,'1ère J.'!$BH$9:$BK$62,3,0))," ",IF(VLOOKUP(B55,'1ère J.'!$BH$9:$BK$62,3,0)=0,"0",VLOOKUP(B55,'1ère J.'!$BH$9:$BK$62,3,0)))</f>
        <v>0</v>
      </c>
      <c r="E55" s="248" t="str">
        <f>IF(ISNA(VLOOKUP(B55,'1ère J.'!$BH$9:$BK$62,4,0))," ",IF(VLOOKUP(B55,'1ère J.'!$BH$9:$BK$62,4,0)=0,"0",VLOOKUP(B55,'1ère J.'!$BH$9:$BK$62,4,0)))</f>
        <v>0</v>
      </c>
      <c r="F55" s="299"/>
      <c r="G55" s="248" t="str">
        <f>IF(ISNA(VLOOKUP(B55,'2ème J.'!$BH$9:$BK$62,2,0))," ",IF(VLOOKUP(B55,'2ème J.'!$BH$9:$BK$62,2,0)=0,"0",VLOOKUP(B55,'2ème J.'!$BH$9:$BK$62,2,0)))</f>
        <v>0</v>
      </c>
      <c r="H55" s="248" t="str">
        <f>IF(ISNA(VLOOKUP(B55,'2ème J.'!$BH$9:$BK$62,3,0))," ",IF(VLOOKUP(B55,'2ème J.'!$BH$9:$BK$62,3,0)=0,"0",VLOOKUP(B55,'2ème J.'!$BH$9:$BK$62,3,0)))</f>
        <v>0</v>
      </c>
      <c r="I55" s="248" t="str">
        <f>IF(ISNA(VLOOKUP(B55,'2ème J.'!$BH$9:$BK$62,4,0))," ",IF(VLOOKUP(B55,'2ème J.'!$BH$9:$BK$62,4,0)=0,"0",VLOOKUP(B55,'2ème J.'!$BH$9:$BK$62,4,0)))</f>
        <v>0</v>
      </c>
      <c r="J55" s="315"/>
      <c r="K55" s="248" t="str">
        <f>IF(ISNA(VLOOKUP(B55,'3ème J.'!$BH$9:$BK$62,2,0))," ",IF(VLOOKUP(B55,'3ème J.'!$BH$9:$BK$62,2,0)=0,"0",VLOOKUP(B55,'3ème J.'!$BH$9:$BK$62,2,0)))</f>
        <v>0</v>
      </c>
      <c r="L55" s="248" t="str">
        <f>IF(ISNA(VLOOKUP(B55,'3ème J.'!$BH$9:$BK$62,3,0))," ",IF(VLOOKUP(B55,'3ème J.'!$BH$9:$BK$62,3,0)=0,"0",VLOOKUP(B55,'3ème J.'!$BH$9:$BK$62,3,0)))</f>
        <v>0</v>
      </c>
      <c r="M55" s="248" t="str">
        <f>IF(ISNA(VLOOKUP(B55,'3ème J.'!$BH$9:$BK$62,4,0))," ",IF(VLOOKUP(B55,'3ème J.'!$BH$9:$BK$62,4,0)=0,"0",VLOOKUP(B55,'3ème J.'!$BH$9:$BK$62,4,0)))</f>
        <v>0</v>
      </c>
      <c r="N55" s="315"/>
      <c r="O55" s="248" t="str">
        <f>IF(ISNA(VLOOKUP(B55,'4ème J.'!$BH$9:$BK$62,2,0))," ",IF(VLOOKUP(B55,'4ème J.'!$BH$9:$BK$62,2,0)=0,"0",VLOOKUP(B55,'4ème J.'!$BH$9:$BK$62,2,0)))</f>
        <v>0</v>
      </c>
      <c r="P55" s="248" t="str">
        <f>IF(ISNA(VLOOKUP(B55,'4ème J.'!$BH$9:$BK$62,3,0))," ",IF(VLOOKUP(B55,'4ème J.'!$BH$9:$BK$62,3,0)=0,"0",VLOOKUP(B55,'4ème J.'!$BH$9:$BK$62,3,0)))</f>
        <v>0</v>
      </c>
      <c r="Q55" s="248" t="str">
        <f>IF(ISNA(VLOOKUP(B55,'4ème J.'!$BH$9:$BK$62,4,0))," ",IF(VLOOKUP(B55,'4ème J.'!$BH$9:$BK$62,4,0)=0,"0",VLOOKUP(B55,'4ème J.'!$BH$9:$BK$62,4,0)))</f>
        <v>0</v>
      </c>
      <c r="R55" s="299"/>
      <c r="S55" s="248">
        <f>IF(ISNA(VLOOKUP(B55,'5ème J.'!$BH$9:$BK$62,2,0))," ",IF(VLOOKUP(B55,'5ème J.'!$BH$9:$BK$62,2,0)=0,"0",VLOOKUP(B55,'5ème J.'!$BH$9:$BK$62,2,0)))</f>
        <v>5</v>
      </c>
      <c r="T55" s="248">
        <f>IF(ISNA(VLOOKUP(B55,'5ème J.'!$BH$9:$BK$62,3,0))," ",IF(VLOOKUP(B55,'5ème J.'!$BH$9:$BK$62,3,0)=0,"0",VLOOKUP(B55,'5ème J.'!$BH$9:$BK$62,3,0)))</f>
        <v>-8</v>
      </c>
      <c r="U55" s="248">
        <f>IF(ISNA(VLOOKUP(B55,'5ème J.'!$BH$9:$BK$62,4,0))," ",IF(VLOOKUP(B55,'5ème J.'!$BH$9:$BK$62,4,0)=0,"0",VLOOKUP(B55,'5ème J.'!$BH$9:$BK$62,4,0)))</f>
        <v>11</v>
      </c>
      <c r="V55" s="299"/>
      <c r="W55" s="248">
        <f>IF(ISNA(VLOOKUP(B55,'6ème J.'!$BH$9:$BK$62,2,0))," ",IF(VLOOKUP(B55,'6ème J.'!$BH$9:$BK$62,2,0)=0,"0",VLOOKUP(B55,'6ème J.'!$BH$9:$BK$62,2,0)))</f>
        <v>9</v>
      </c>
      <c r="X55" s="248">
        <f>IF(ISNA(VLOOKUP(B55,'6ème J.'!$BH$9:$BK$62,3,0))," ",IF(VLOOKUP(B55,'6ème J.'!$BH$9:$BK$62,3,0)=0,"0",VLOOKUP(B55,'6ème J.'!$BH$9:$BK$62,3,0)))</f>
        <v>17</v>
      </c>
      <c r="Y55" s="248">
        <f>IF(ISNA(VLOOKUP(B55,'6ème J.'!$BH$9:$BK$62,4,0))," ",IF(VLOOKUP(B55,'6ème J.'!$BH$9:$BK$62,4,0)=0,"0",VLOOKUP(B55,'6ème J.'!$BH$9:$BK$62,4,0)))</f>
        <v>30</v>
      </c>
      <c r="Z55" s="88"/>
      <c r="AA55" s="344" t="str">
        <f t="shared" si="9"/>
        <v>C14</v>
      </c>
      <c r="AB55" s="252">
        <f t="shared" si="10"/>
        <v>14</v>
      </c>
      <c r="AC55" s="390">
        <f t="shared" si="6"/>
        <v>9</v>
      </c>
      <c r="AD55" s="345">
        <f t="shared" si="7"/>
        <v>41</v>
      </c>
      <c r="AE55" s="250">
        <f t="shared" si="8"/>
        <v>34.905900549999998</v>
      </c>
      <c r="AF55" s="251">
        <f>IF(AB55="","",SMALL(AE$6:AE$59,ROWS(AB$6:AB55)))</f>
        <v>47.977100210000003</v>
      </c>
      <c r="AG55" s="251"/>
      <c r="AH55" s="304">
        <f>IF(AF55="","",IF(AND(AJ54=AJ55,AK54=AK55,AL55=AL54),AH54,$AH$6+49))</f>
        <v>50</v>
      </c>
      <c r="AI55" s="252" t="str">
        <f t="shared" si="11"/>
        <v>A16</v>
      </c>
      <c r="AJ55" s="252">
        <f t="shared" si="12"/>
        <v>7</v>
      </c>
      <c r="AK55" s="306">
        <f t="shared" si="13"/>
        <v>2</v>
      </c>
      <c r="AL55" s="309">
        <f t="shared" si="14"/>
        <v>29</v>
      </c>
      <c r="AN55" s="254">
        <v>50</v>
      </c>
    </row>
    <row r="56" spans="1:40">
      <c r="A56" s="354">
        <v>51</v>
      </c>
      <c r="B56" s="351" t="str">
        <f>+Inscrits!F17</f>
        <v>C15</v>
      </c>
      <c r="C56" s="248" t="str">
        <f>IF(ISNA(VLOOKUP(B56,'1ère J.'!$BH$9:$BK$62,2,0))," ",IF(VLOOKUP(B56,'1ère J.'!$BH$9:$BK$62,2,0)=0,"0",VLOOKUP(B56,'1ère J.'!$BH$9:$BK$62,2,0)))</f>
        <v>0</v>
      </c>
      <c r="D56" s="248" t="str">
        <f>IF(ISNA(VLOOKUP(B56,'1ère J.'!$BH$9:$BK$62,3,0))," ",IF(VLOOKUP(B56,'1ère J.'!$BH$9:$BK$62,3,0)=0,"0",VLOOKUP(B56,'1ère J.'!$BH$9:$BK$62,3,0)))</f>
        <v>0</v>
      </c>
      <c r="E56" s="248" t="str">
        <f>IF(ISNA(VLOOKUP(B56,'1ère J.'!$BH$9:$BK$62,4,0))," ",IF(VLOOKUP(B56,'1ère J.'!$BH$9:$BK$62,4,0)=0,"0",VLOOKUP(B56,'1ère J.'!$BH$9:$BK$62,4,0)))</f>
        <v>0</v>
      </c>
      <c r="F56" s="299"/>
      <c r="G56" s="248" t="str">
        <f>IF(ISNA(VLOOKUP(B56,'2ème J.'!$BH$9:$BK$62,2,0))," ",IF(VLOOKUP(B56,'2ème J.'!$BH$9:$BK$62,2,0)=0,"0",VLOOKUP(B56,'2ème J.'!$BH$9:$BK$62,2,0)))</f>
        <v>0</v>
      </c>
      <c r="H56" s="248" t="str">
        <f>IF(ISNA(VLOOKUP(B56,'2ème J.'!$BH$9:$BK$62,3,0))," ",IF(VLOOKUP(B56,'2ème J.'!$BH$9:$BK$62,3,0)=0,"0",VLOOKUP(B56,'2ème J.'!$BH$9:$BK$62,3,0)))</f>
        <v>0</v>
      </c>
      <c r="I56" s="248" t="str">
        <f>IF(ISNA(VLOOKUP(B56,'2ème J.'!$BH$9:$BK$62,4,0))," ",IF(VLOOKUP(B56,'2ème J.'!$BH$9:$BK$62,4,0)=0,"0",VLOOKUP(B56,'2ème J.'!$BH$9:$BK$62,4,0)))</f>
        <v>0</v>
      </c>
      <c r="J56" s="315"/>
      <c r="K56" s="248" t="str">
        <f>IF(ISNA(VLOOKUP(B56,'3ème J.'!$BH$9:$BK$62,2,0))," ",IF(VLOOKUP(B56,'3ème J.'!$BH$9:$BK$62,2,0)=0,"0",VLOOKUP(B56,'3ème J.'!$BH$9:$BK$62,2,0)))</f>
        <v>0</v>
      </c>
      <c r="L56" s="248" t="str">
        <f>IF(ISNA(VLOOKUP(B56,'3ème J.'!$BH$9:$BK$62,3,0))," ",IF(VLOOKUP(B56,'3ème J.'!$BH$9:$BK$62,3,0)=0,"0",VLOOKUP(B56,'3ème J.'!$BH$9:$BK$62,3,0)))</f>
        <v>0</v>
      </c>
      <c r="M56" s="248" t="str">
        <f>IF(ISNA(VLOOKUP(B56,'3ème J.'!$BH$9:$BK$62,4,0))," ",IF(VLOOKUP(B56,'3ème J.'!$BH$9:$BK$62,4,0)=0,"0",VLOOKUP(B56,'3ème J.'!$BH$9:$BK$62,4,0)))</f>
        <v>0</v>
      </c>
      <c r="N56" s="315"/>
      <c r="O56" s="248" t="str">
        <f>IF(ISNA(VLOOKUP(B56,'4ème J.'!$BH$9:$BK$62,2,0))," ",IF(VLOOKUP(B56,'4ème J.'!$BH$9:$BK$62,2,0)=0,"0",VLOOKUP(B56,'4ème J.'!$BH$9:$BK$62,2,0)))</f>
        <v>0</v>
      </c>
      <c r="P56" s="248" t="str">
        <f>IF(ISNA(VLOOKUP(B56,'4ème J.'!$BH$9:$BK$62,3,0))," ",IF(VLOOKUP(B56,'4ème J.'!$BH$9:$BK$62,3,0)=0,"0",VLOOKUP(B56,'4ème J.'!$BH$9:$BK$62,3,0)))</f>
        <v>0</v>
      </c>
      <c r="Q56" s="248" t="str">
        <f>IF(ISNA(VLOOKUP(B56,'4ème J.'!$BH$9:$BK$62,4,0))," ",IF(VLOOKUP(B56,'4ème J.'!$BH$9:$BK$62,4,0)=0,"0",VLOOKUP(B56,'4ème J.'!$BH$9:$BK$62,4,0)))</f>
        <v>0</v>
      </c>
      <c r="R56" s="299"/>
      <c r="S56" s="248">
        <f>IF(ISNA(VLOOKUP(B56,'5ème J.'!$BH$9:$BK$62,2,0))," ",IF(VLOOKUP(B56,'5ème J.'!$BH$9:$BK$62,2,0)=0,"0",VLOOKUP(B56,'5ème J.'!$BH$9:$BK$62,2,0)))</f>
        <v>7</v>
      </c>
      <c r="T56" s="248">
        <f>IF(ISNA(VLOOKUP(B56,'5ème J.'!$BH$9:$BK$62,3,0))," ",IF(VLOOKUP(B56,'5ème J.'!$BH$9:$BK$62,3,0)=0,"0",VLOOKUP(B56,'5ème J.'!$BH$9:$BK$62,3,0)))</f>
        <v>12</v>
      </c>
      <c r="U56" s="248">
        <f>IF(ISNA(VLOOKUP(B56,'5ème J.'!$BH$9:$BK$62,4,0))," ",IF(VLOOKUP(B56,'5ème J.'!$BH$9:$BK$62,4,0)=0,"0",VLOOKUP(B56,'5ème J.'!$BH$9:$BK$62,4,0)))</f>
        <v>23</v>
      </c>
      <c r="V56" s="299"/>
      <c r="W56" s="248">
        <f>IF(ISNA(VLOOKUP(B56,'6ème J.'!$BH$9:$BK$62,2,0))," ",IF(VLOOKUP(B56,'6ème J.'!$BH$9:$BK$62,2,0)=0,"0",VLOOKUP(B56,'6ème J.'!$BH$9:$BK$62,2,0)))</f>
        <v>5</v>
      </c>
      <c r="X56" s="248">
        <f>IF(ISNA(VLOOKUP(B56,'6ème J.'!$BH$9:$BK$62,3,0))," ",IF(VLOOKUP(B56,'6ème J.'!$BH$9:$BK$62,3,0)=0,"0",VLOOKUP(B56,'6ème J.'!$BH$9:$BK$62,3,0)))</f>
        <v>-6</v>
      </c>
      <c r="Y56" s="248">
        <f>IF(ISNA(VLOOKUP(B56,'6ème J.'!$BH$9:$BK$62,4,0))," ",IF(VLOOKUP(B56,'6ème J.'!$BH$9:$BK$62,4,0)=0,"0",VLOOKUP(B56,'6ème J.'!$BH$9:$BK$62,4,0)))</f>
        <v>20</v>
      </c>
      <c r="Z56" s="88"/>
      <c r="AA56" s="344" t="str">
        <f t="shared" si="9"/>
        <v>C15</v>
      </c>
      <c r="AB56" s="252">
        <f t="shared" si="10"/>
        <v>12</v>
      </c>
      <c r="AC56" s="390">
        <f t="shared" si="6"/>
        <v>6</v>
      </c>
      <c r="AD56" s="345">
        <f t="shared" si="7"/>
        <v>43</v>
      </c>
      <c r="AE56" s="250">
        <f t="shared" si="8"/>
        <v>38.935700559999994</v>
      </c>
      <c r="AF56" s="251">
        <f>IF(AB56="","",SMALL(AE$6:AE$59,ROWS(AB$6:AB56)))</f>
        <v>48.017400590000001</v>
      </c>
      <c r="AG56" s="251"/>
      <c r="AH56" s="304">
        <f>IF(AF56="","",IF(AND(AJ55=AJ56,AK55=AK56,AL56=AL55),AH55,$AH$6+50))</f>
        <v>51</v>
      </c>
      <c r="AI56" s="252" t="str">
        <f t="shared" si="11"/>
        <v>C18</v>
      </c>
      <c r="AJ56" s="252">
        <f t="shared" si="12"/>
        <v>7</v>
      </c>
      <c r="AK56" s="306">
        <f t="shared" si="13"/>
        <v>-2</v>
      </c>
      <c r="AL56" s="309">
        <f t="shared" si="14"/>
        <v>26</v>
      </c>
      <c r="AN56" s="254">
        <v>51</v>
      </c>
    </row>
    <row r="57" spans="1:40">
      <c r="A57" s="354">
        <v>52</v>
      </c>
      <c r="B57" s="351" t="str">
        <f>+Inscrits!F18</f>
        <v>C16</v>
      </c>
      <c r="C57" s="248" t="str">
        <f>IF(ISNA(VLOOKUP(B57,'1ère J.'!$BH$9:$BK$62,2,0))," ",IF(VLOOKUP(B57,'1ère J.'!$BH$9:$BK$62,2,0)=0,"0",VLOOKUP(B57,'1ère J.'!$BH$9:$BK$62,2,0)))</f>
        <v>0</v>
      </c>
      <c r="D57" s="248" t="str">
        <f>IF(ISNA(VLOOKUP(B57,'1ère J.'!$BH$9:$BK$62,3,0))," ",IF(VLOOKUP(B57,'1ère J.'!$BH$9:$BK$62,3,0)=0,"0",VLOOKUP(B57,'1ère J.'!$BH$9:$BK$62,3,0)))</f>
        <v>0</v>
      </c>
      <c r="E57" s="248" t="str">
        <f>IF(ISNA(VLOOKUP(B57,'1ère J.'!$BH$9:$BK$62,4,0))," ",IF(VLOOKUP(B57,'1ère J.'!$BH$9:$BK$62,4,0)=0,"0",VLOOKUP(B57,'1ère J.'!$BH$9:$BK$62,4,0)))</f>
        <v>0</v>
      </c>
      <c r="F57" s="299"/>
      <c r="G57" s="248" t="str">
        <f>IF(ISNA(VLOOKUP(B57,'2ème J.'!$BH$9:$BK$62,2,0))," ",IF(VLOOKUP(B57,'2ème J.'!$BH$9:$BK$62,2,0)=0,"0",VLOOKUP(B57,'2ème J.'!$BH$9:$BK$62,2,0)))</f>
        <v>0</v>
      </c>
      <c r="H57" s="248" t="str">
        <f>IF(ISNA(VLOOKUP(B57,'2ème J.'!$BH$9:$BK$62,3,0))," ",IF(VLOOKUP(B57,'2ème J.'!$BH$9:$BK$62,3,0)=0,"0",VLOOKUP(B57,'2ème J.'!$BH$9:$BK$62,3,0)))</f>
        <v>0</v>
      </c>
      <c r="I57" s="248" t="str">
        <f>IF(ISNA(VLOOKUP(B57,'2ème J.'!$BH$9:$BK$62,4,0))," ",IF(VLOOKUP(B57,'2ème J.'!$BH$9:$BK$62,4,0)=0,"0",VLOOKUP(B57,'2ème J.'!$BH$9:$BK$62,4,0)))</f>
        <v>0</v>
      </c>
      <c r="J57" s="315"/>
      <c r="K57" s="248" t="str">
        <f>IF(ISNA(VLOOKUP(B57,'3ème J.'!$BH$9:$BK$62,2,0))," ",IF(VLOOKUP(B57,'3ème J.'!$BH$9:$BK$62,2,0)=0,"0",VLOOKUP(B57,'3ème J.'!$BH$9:$BK$62,2,0)))</f>
        <v>0</v>
      </c>
      <c r="L57" s="248" t="str">
        <f>IF(ISNA(VLOOKUP(B57,'3ème J.'!$BH$9:$BK$62,3,0))," ",IF(VLOOKUP(B57,'3ème J.'!$BH$9:$BK$62,3,0)=0,"0",VLOOKUP(B57,'3ème J.'!$BH$9:$BK$62,3,0)))</f>
        <v>0</v>
      </c>
      <c r="M57" s="248" t="str">
        <f>IF(ISNA(VLOOKUP(B57,'3ème J.'!$BH$9:$BK$62,4,0))," ",IF(VLOOKUP(B57,'3ème J.'!$BH$9:$BK$62,4,0)=0,"0",VLOOKUP(B57,'3ème J.'!$BH$9:$BK$62,4,0)))</f>
        <v>0</v>
      </c>
      <c r="N57" s="315"/>
      <c r="O57" s="248" t="str">
        <f>IF(ISNA(VLOOKUP(B57,'4ème J.'!$BH$9:$BK$62,2,0))," ",IF(VLOOKUP(B57,'4ème J.'!$BH$9:$BK$62,2,0)=0,"0",VLOOKUP(B57,'4ème J.'!$BH$9:$BK$62,2,0)))</f>
        <v>0</v>
      </c>
      <c r="P57" s="248" t="str">
        <f>IF(ISNA(VLOOKUP(B57,'4ème J.'!$BH$9:$BK$62,3,0))," ",IF(VLOOKUP(B57,'4ème J.'!$BH$9:$BK$62,3,0)=0,"0",VLOOKUP(B57,'4ème J.'!$BH$9:$BK$62,3,0)))</f>
        <v>0</v>
      </c>
      <c r="Q57" s="248" t="str">
        <f>IF(ISNA(VLOOKUP(B57,'4ème J.'!$BH$9:$BK$62,4,0))," ",IF(VLOOKUP(B57,'4ème J.'!$BH$9:$BK$62,4,0)=0,"0",VLOOKUP(B57,'4ème J.'!$BH$9:$BK$62,4,0)))</f>
        <v>0</v>
      </c>
      <c r="R57" s="299"/>
      <c r="S57" s="248" t="str">
        <f>IF(ISNA(VLOOKUP(B57,'5ème J.'!$BH$9:$BK$62,2,0))," ",IF(VLOOKUP(B57,'5ème J.'!$BH$9:$BK$62,2,0)=0,"0",VLOOKUP(B57,'5ème J.'!$BH$9:$BK$62,2,0)))</f>
        <v>0</v>
      </c>
      <c r="T57" s="248" t="str">
        <f>IF(ISNA(VLOOKUP(B57,'5ème J.'!$BH$9:$BK$62,3,0))," ",IF(VLOOKUP(B57,'5ème J.'!$BH$9:$BK$62,3,0)=0,"0",VLOOKUP(B57,'5ème J.'!$BH$9:$BK$62,3,0)))</f>
        <v>0</v>
      </c>
      <c r="U57" s="248" t="str">
        <f>IF(ISNA(VLOOKUP(B57,'5ème J.'!$BH$9:$BK$62,4,0))," ",IF(VLOOKUP(B57,'5ème J.'!$BH$9:$BK$62,4,0)=0,"0",VLOOKUP(B57,'5ème J.'!$BH$9:$BK$62,4,0)))</f>
        <v>0</v>
      </c>
      <c r="V57" s="299"/>
      <c r="W57" s="248">
        <f>IF(ISNA(VLOOKUP(B57,'6ème J.'!$BH$9:$BK$62,2,0))," ",IF(VLOOKUP(B57,'6ème J.'!$BH$9:$BK$62,2,0)=0,"0",VLOOKUP(B57,'6ème J.'!$BH$9:$BK$62,2,0)))</f>
        <v>5</v>
      </c>
      <c r="X57" s="248" t="str">
        <f>IF(ISNA(VLOOKUP(B57,'6ème J.'!$BH$9:$BK$62,3,0))," ",IF(VLOOKUP(B57,'6ème J.'!$BH$9:$BK$62,3,0)=0,"0",VLOOKUP(B57,'6ème J.'!$BH$9:$BK$62,3,0)))</f>
        <v>0</v>
      </c>
      <c r="Y57" s="248">
        <f>IF(ISNA(VLOOKUP(B57,'6ème J.'!$BH$9:$BK$62,4,0))," ",IF(VLOOKUP(B57,'6ème J.'!$BH$9:$BK$62,4,0)=0,"0",VLOOKUP(B57,'6ème J.'!$BH$9:$BK$62,4,0)))</f>
        <v>27</v>
      </c>
      <c r="Z57" s="88"/>
      <c r="AA57" s="344" t="str">
        <f t="shared" si="9"/>
        <v>C16</v>
      </c>
      <c r="AB57" s="252">
        <f t="shared" si="10"/>
        <v>5</v>
      </c>
      <c r="AC57" s="390">
        <f t="shared" si="6"/>
        <v>0</v>
      </c>
      <c r="AD57" s="345">
        <f t="shared" si="7"/>
        <v>27</v>
      </c>
      <c r="AE57" s="250">
        <f t="shared" si="8"/>
        <v>51.99730057</v>
      </c>
      <c r="AF57" s="251">
        <f>IF(AB57="","",SMALL(AE$6:AE$59,ROWS(AB$6:AB57)))</f>
        <v>51.99730057</v>
      </c>
      <c r="AG57" s="251"/>
      <c r="AH57" s="304">
        <f>IF(AF57="","",IF(AND(AJ56=AJ57,AK56=AK57,AL57=AL56),AH56,$AH$6+51))</f>
        <v>52</v>
      </c>
      <c r="AI57" s="252" t="str">
        <f t="shared" si="11"/>
        <v>C16</v>
      </c>
      <c r="AJ57" s="252">
        <f t="shared" si="12"/>
        <v>5</v>
      </c>
      <c r="AK57" s="306">
        <f t="shared" si="13"/>
        <v>0</v>
      </c>
      <c r="AL57" s="309">
        <f t="shared" si="14"/>
        <v>27</v>
      </c>
      <c r="AN57" s="254">
        <v>52</v>
      </c>
    </row>
    <row r="58" spans="1:40">
      <c r="A58" s="354">
        <v>53</v>
      </c>
      <c r="B58" s="351" t="str">
        <f>+Inscrits!F19</f>
        <v>C17</v>
      </c>
      <c r="C58" s="248" t="str">
        <f>IF(ISNA(VLOOKUP(B58,'1ère J.'!$BH$9:$BK$62,2,0))," ",IF(VLOOKUP(B58,'1ère J.'!$BH$9:$BK$62,2,0)=0,"0",VLOOKUP(B58,'1ère J.'!$BH$9:$BK$62,2,0)))</f>
        <v>0</v>
      </c>
      <c r="D58" s="248" t="str">
        <f>IF(ISNA(VLOOKUP(B58,'1ère J.'!$BH$9:$BK$62,3,0))," ",IF(VLOOKUP(B58,'1ère J.'!$BH$9:$BK$62,3,0)=0,"0",VLOOKUP(B58,'1ère J.'!$BH$9:$BK$62,3,0)))</f>
        <v>0</v>
      </c>
      <c r="E58" s="248" t="str">
        <f>IF(ISNA(VLOOKUP(B58,'1ère J.'!$BH$9:$BK$62,4,0))," ",IF(VLOOKUP(B58,'1ère J.'!$BH$9:$BK$62,4,0)=0,"0",VLOOKUP(B58,'1ère J.'!$BH$9:$BK$62,4,0)))</f>
        <v>0</v>
      </c>
      <c r="F58" s="299"/>
      <c r="G58" s="248" t="str">
        <f>IF(ISNA(VLOOKUP(B58,'2ème J.'!$BH$9:$BK$62,2,0))," ",IF(VLOOKUP(B58,'2ème J.'!$BH$9:$BK$62,2,0)=0,"0",VLOOKUP(B58,'2ème J.'!$BH$9:$BK$62,2,0)))</f>
        <v>0</v>
      </c>
      <c r="H58" s="248" t="str">
        <f>IF(ISNA(VLOOKUP(B58,'2ème J.'!$BH$9:$BK$62,3,0))," ",IF(VLOOKUP(B58,'2ème J.'!$BH$9:$BK$62,3,0)=0,"0",VLOOKUP(B58,'2ème J.'!$BH$9:$BK$62,3,0)))</f>
        <v>0</v>
      </c>
      <c r="I58" s="248" t="str">
        <f>IF(ISNA(VLOOKUP(B58,'2ème J.'!$BH$9:$BK$62,4,0))," ",IF(VLOOKUP(B58,'2ème J.'!$BH$9:$BK$62,4,0)=0,"0",VLOOKUP(B58,'2ème J.'!$BH$9:$BK$62,4,0)))</f>
        <v>0</v>
      </c>
      <c r="J58" s="315"/>
      <c r="K58" s="248" t="str">
        <f>IF(ISNA(VLOOKUP(B58,'3ème J.'!$BH$9:$BK$62,2,0))," ",IF(VLOOKUP(B58,'3ème J.'!$BH$9:$BK$62,2,0)=0,"0",VLOOKUP(B58,'3ème J.'!$BH$9:$BK$62,2,0)))</f>
        <v>0</v>
      </c>
      <c r="L58" s="248" t="str">
        <f>IF(ISNA(VLOOKUP(B58,'3ème J.'!$BH$9:$BK$62,3,0))," ",IF(VLOOKUP(B58,'3ème J.'!$BH$9:$BK$62,3,0)=0,"0",VLOOKUP(B58,'3ème J.'!$BH$9:$BK$62,3,0)))</f>
        <v>0</v>
      </c>
      <c r="M58" s="248" t="str">
        <f>IF(ISNA(VLOOKUP(B58,'3ème J.'!$BH$9:$BK$62,4,0))," ",IF(VLOOKUP(B58,'3ème J.'!$BH$9:$BK$62,4,0)=0,"0",VLOOKUP(B58,'3ème J.'!$BH$9:$BK$62,4,0)))</f>
        <v>0</v>
      </c>
      <c r="N58" s="315"/>
      <c r="O58" s="248" t="str">
        <f>IF(ISNA(VLOOKUP(B58,'4ème J.'!$BH$9:$BK$62,2,0))," ",IF(VLOOKUP(B58,'4ème J.'!$BH$9:$BK$62,2,0)=0,"0",VLOOKUP(B58,'4ème J.'!$BH$9:$BK$62,2,0)))</f>
        <v>0</v>
      </c>
      <c r="P58" s="248" t="str">
        <f>IF(ISNA(VLOOKUP(B58,'4ème J.'!$BH$9:$BK$62,3,0))," ",IF(VLOOKUP(B58,'4ème J.'!$BH$9:$BK$62,3,0)=0,"0",VLOOKUP(B58,'4ème J.'!$BH$9:$BK$62,3,0)))</f>
        <v>0</v>
      </c>
      <c r="Q58" s="248" t="str">
        <f>IF(ISNA(VLOOKUP(B58,'4ème J.'!$BH$9:$BK$62,4,0))," ",IF(VLOOKUP(B58,'4ème J.'!$BH$9:$BK$62,4,0)=0,"0",VLOOKUP(B58,'4ème J.'!$BH$9:$BK$62,4,0)))</f>
        <v>0</v>
      </c>
      <c r="R58" s="299"/>
      <c r="S58" s="248" t="str">
        <f>IF(ISNA(VLOOKUP(B58,'5ème J.'!$BH$9:$BK$62,2,0))," ",IF(VLOOKUP(B58,'5ème J.'!$BH$9:$BK$62,2,0)=0,"0",VLOOKUP(B58,'5ème J.'!$BH$9:$BK$62,2,0)))</f>
        <v>0</v>
      </c>
      <c r="T58" s="248" t="str">
        <f>IF(ISNA(VLOOKUP(B58,'5ème J.'!$BH$9:$BK$62,3,0))," ",IF(VLOOKUP(B58,'5ème J.'!$BH$9:$BK$62,3,0)=0,"0",VLOOKUP(B58,'5ème J.'!$BH$9:$BK$62,3,0)))</f>
        <v>0</v>
      </c>
      <c r="U58" s="248" t="str">
        <f>IF(ISNA(VLOOKUP(B58,'5ème J.'!$BH$9:$BK$62,4,0))," ",IF(VLOOKUP(B58,'5ème J.'!$BH$9:$BK$62,4,0)=0,"0",VLOOKUP(B58,'5ème J.'!$BH$9:$BK$62,4,0)))</f>
        <v>0</v>
      </c>
      <c r="V58" s="299"/>
      <c r="W58" s="248">
        <f>IF(ISNA(VLOOKUP(B58,'6ème J.'!$BH$9:$BK$62,2,0))," ",IF(VLOOKUP(B58,'6ème J.'!$BH$9:$BK$62,2,0)=0,"0",VLOOKUP(B58,'6ème J.'!$BH$9:$BK$62,2,0)))</f>
        <v>7</v>
      </c>
      <c r="X58" s="248">
        <f>IF(ISNA(VLOOKUP(B58,'6ème J.'!$BH$9:$BK$62,3,0))," ",IF(VLOOKUP(B58,'6ème J.'!$BH$9:$BK$62,3,0)=0,"0",VLOOKUP(B58,'6ème J.'!$BH$9:$BK$62,3,0)))</f>
        <v>4</v>
      </c>
      <c r="Y58" s="248">
        <f>IF(ISNA(VLOOKUP(B58,'6ème J.'!$BH$9:$BK$62,4,0))," ",IF(VLOOKUP(B58,'6ème J.'!$BH$9:$BK$62,4,0)=0,"0",VLOOKUP(B58,'6ème J.'!$BH$9:$BK$62,4,0)))</f>
        <v>31</v>
      </c>
      <c r="Z58" s="88"/>
      <c r="AA58" s="344" t="str">
        <f t="shared" si="9"/>
        <v>C17</v>
      </c>
      <c r="AB58" s="252">
        <f t="shared" si="10"/>
        <v>7</v>
      </c>
      <c r="AC58" s="390">
        <f t="shared" si="6"/>
        <v>4</v>
      </c>
      <c r="AD58" s="345">
        <f t="shared" si="7"/>
        <v>31</v>
      </c>
      <c r="AE58" s="250">
        <f t="shared" si="8"/>
        <v>47.956900579999996</v>
      </c>
      <c r="AF58" s="251">
        <f>IF(AB58="","",SMALL(AE$6:AE$59,ROWS(AB$6:AB58)))</f>
        <v>53.097900410000001</v>
      </c>
      <c r="AG58" s="251"/>
      <c r="AH58" s="304">
        <f>IF(AF58="","",IF(AND(AJ57=AJ58,AK57=AK58,AL58=AL57),AH57,$AH$6+52))</f>
        <v>53</v>
      </c>
      <c r="AI58" s="252" t="str">
        <f t="shared" si="11"/>
        <v>B18</v>
      </c>
      <c r="AJ58" s="252">
        <f t="shared" si="12"/>
        <v>3</v>
      </c>
      <c r="AK58" s="306">
        <f t="shared" si="13"/>
        <v>-10</v>
      </c>
      <c r="AL58" s="309">
        <f t="shared" si="14"/>
        <v>21</v>
      </c>
      <c r="AN58" s="254">
        <v>53</v>
      </c>
    </row>
    <row r="59" spans="1:40" ht="19.5" thickBot="1">
      <c r="A59" s="355">
        <v>54</v>
      </c>
      <c r="B59" s="352" t="str">
        <f>+Inscrits!F20</f>
        <v>C18</v>
      </c>
      <c r="C59" s="339" t="str">
        <f>IF(ISNA(VLOOKUP(B59,'1ère J.'!$BH$9:$BK$62,2,0))," ",IF(VLOOKUP(B59,'1ère J.'!$BH$9:$BK$62,2,0)=0,"0",VLOOKUP(B59,'1ère J.'!$BH$9:$BK$62,2,0)))</f>
        <v>0</v>
      </c>
      <c r="D59" s="339" t="str">
        <f>IF(ISNA(VLOOKUP(B59,'1ère J.'!$BH$9:$BK$62,3,0))," ",IF(VLOOKUP(B59,'1ère J.'!$BH$9:$BK$62,3,0)=0,"0",VLOOKUP(B59,'1ère J.'!$BH$9:$BK$62,3,0)))</f>
        <v>0</v>
      </c>
      <c r="E59" s="339" t="str">
        <f>IF(ISNA(VLOOKUP(B59,'1ère J.'!$BH$9:$BK$62,4,0))," ",IF(VLOOKUP(B59,'1ère J.'!$BH$9:$BK$62,4,0)=0,"0",VLOOKUP(B59,'1ère J.'!$BH$9:$BK$62,4,0)))</f>
        <v>0</v>
      </c>
      <c r="F59" s="299"/>
      <c r="G59" s="339" t="str">
        <f>IF(ISNA(VLOOKUP(B59,'2ème J.'!$BH$9:$BK$62,2,0))," ",IF(VLOOKUP(B59,'2ème J.'!$BH$9:$BK$62,2,0)=0,"0",VLOOKUP(B59,'2ème J.'!$BH$9:$BK$62,2,0)))</f>
        <v>0</v>
      </c>
      <c r="H59" s="339" t="str">
        <f>IF(ISNA(VLOOKUP(B59,'2ème J.'!$BH$9:$BK$62,3,0))," ",IF(VLOOKUP(B59,'2ème J.'!$BH$9:$BK$62,3,0)=0,"0",VLOOKUP(B59,'2ème J.'!$BH$9:$BK$62,3,0)))</f>
        <v>0</v>
      </c>
      <c r="I59" s="339" t="str">
        <f>IF(ISNA(VLOOKUP(B59,'2ème J.'!$BH$9:$BK$62,4,0))," ",IF(VLOOKUP(B59,'2ème J.'!$BH$9:$BK$62,4,0)=0,"0",VLOOKUP(B59,'2ème J.'!$BH$9:$BK$62,4,0)))</f>
        <v>0</v>
      </c>
      <c r="J59" s="315"/>
      <c r="K59" s="339" t="str">
        <f>IF(ISNA(VLOOKUP(B59,'3ème J.'!$BH$9:$BK$62,2,0))," ",IF(VLOOKUP(B59,'3ème J.'!$BH$9:$BK$62,2,0)=0,"0",VLOOKUP(B59,'3ème J.'!$BH$9:$BK$62,2,0)))</f>
        <v>0</v>
      </c>
      <c r="L59" s="339" t="str">
        <f>IF(ISNA(VLOOKUP(B59,'3ème J.'!$BH$9:$BK$62,3,0))," ",IF(VLOOKUP(B59,'3ème J.'!$BH$9:$BK$62,3,0)=0,"0",VLOOKUP(B59,'3ème J.'!$BH$9:$BK$62,3,0)))</f>
        <v>0</v>
      </c>
      <c r="M59" s="339" t="str">
        <f>IF(ISNA(VLOOKUP(B59,'3ème J.'!$BH$9:$BK$62,4,0))," ",IF(VLOOKUP(B59,'3ème J.'!$BH$9:$BK$62,4,0)=0,"0",VLOOKUP(B59,'3ème J.'!$BH$9:$BK$62,4,0)))</f>
        <v>0</v>
      </c>
      <c r="N59" s="315"/>
      <c r="O59" s="339" t="str">
        <f>IF(ISNA(VLOOKUP(B59,'4ème J.'!$BH$9:$BK$62,2,0))," ",IF(VLOOKUP(B59,'4ème J.'!$BH$9:$BK$62,2,0)=0,"0",VLOOKUP(B59,'4ème J.'!$BH$9:$BK$62,2,0)))</f>
        <v>0</v>
      </c>
      <c r="P59" s="339" t="str">
        <f>IF(ISNA(VLOOKUP(B59,'4ème J.'!$BH$9:$BK$62,3,0))," ",IF(VLOOKUP(B59,'4ème J.'!$BH$9:$BK$62,3,0)=0,"0",VLOOKUP(B59,'4ème J.'!$BH$9:$BK$62,3,0)))</f>
        <v>0</v>
      </c>
      <c r="Q59" s="339" t="str">
        <f>IF(ISNA(VLOOKUP(B59,'4ème J.'!$BH$9:$BK$62,4,0))," ",IF(VLOOKUP(B59,'4ème J.'!$BH$9:$BK$62,4,0)=0,"0",VLOOKUP(B59,'4ème J.'!$BH$9:$BK$62,4,0)))</f>
        <v>0</v>
      </c>
      <c r="R59" s="299"/>
      <c r="S59" s="339" t="str">
        <f>IF(ISNA(VLOOKUP(B59,'5ème J.'!$BH$9:$BK$62,2,0))," ",IF(VLOOKUP(B59,'5ème J.'!$BH$9:$BK$62,2,0)=0,"0",VLOOKUP(B59,'5ème J.'!$BH$9:$BK$62,2,0)))</f>
        <v>0</v>
      </c>
      <c r="T59" s="339" t="str">
        <f>IF(ISNA(VLOOKUP(B59,'5ème J.'!$BH$9:$BK$62,3,0))," ",IF(VLOOKUP(B59,'5ème J.'!$BH$9:$BK$62,3,0)=0,"0",VLOOKUP(B59,'5ème J.'!$BH$9:$BK$62,3,0)))</f>
        <v>0</v>
      </c>
      <c r="U59" s="339" t="str">
        <f>IF(ISNA(VLOOKUP(B59,'5ème J.'!$BH$9:$BK$62,4,0))," ",IF(VLOOKUP(B59,'5ème J.'!$BH$9:$BK$62,4,0)=0,"0",VLOOKUP(B59,'5ème J.'!$BH$9:$BK$62,4,0)))</f>
        <v>0</v>
      </c>
      <c r="V59" s="299"/>
      <c r="W59" s="339">
        <f>IF(ISNA(VLOOKUP(B59,'6ème J.'!$BH$9:$BK$62,2,0))," ",IF(VLOOKUP(B59,'6ème J.'!$BH$9:$BK$62,2,0)=0,"0",VLOOKUP(B59,'6ème J.'!$BH$9:$BK$62,2,0)))</f>
        <v>7</v>
      </c>
      <c r="X59" s="339">
        <f>IF(ISNA(VLOOKUP(B59,'6ème J.'!$BH$9:$BK$62,3,0))," ",IF(VLOOKUP(B59,'6ème J.'!$BH$9:$BK$62,3,0)=0,"0",VLOOKUP(B59,'6ème J.'!$BH$9:$BK$62,3,0)))</f>
        <v>-2</v>
      </c>
      <c r="Y59" s="339">
        <f>IF(ISNA(VLOOKUP(B59,'6ème J.'!$BH$9:$BK$62,4,0))," ",IF(VLOOKUP(B59,'6ème J.'!$BH$9:$BK$62,4,0)=0,"0",VLOOKUP(B59,'6ème J.'!$BH$9:$BK$62,4,0)))</f>
        <v>26</v>
      </c>
      <c r="Z59" s="88"/>
      <c r="AA59" s="346" t="str">
        <f t="shared" si="9"/>
        <v>C18</v>
      </c>
      <c r="AB59" s="305">
        <f t="shared" si="10"/>
        <v>7</v>
      </c>
      <c r="AC59" s="391">
        <f t="shared" si="6"/>
        <v>-2</v>
      </c>
      <c r="AD59" s="347">
        <f t="shared" si="7"/>
        <v>26</v>
      </c>
      <c r="AE59" s="250">
        <f t="shared" si="8"/>
        <v>48.017400590000001</v>
      </c>
      <c r="AF59" s="251">
        <f>IF(AB59="","",SMALL(AE$6:AE$59,ROWS(AB$6:AB59)))</f>
        <v>53.258900229999995</v>
      </c>
      <c r="AG59" s="251"/>
      <c r="AH59" s="340">
        <f>IF(AF59="","",IF(AND(AJ58=AJ59,AK58=AK59,AL59=AL58),AH58,$AH$6+53))</f>
        <v>54</v>
      </c>
      <c r="AI59" s="305" t="str">
        <f t="shared" si="11"/>
        <v>A18</v>
      </c>
      <c r="AJ59" s="305">
        <f t="shared" si="12"/>
        <v>3</v>
      </c>
      <c r="AK59" s="307">
        <f t="shared" si="13"/>
        <v>-26</v>
      </c>
      <c r="AL59" s="310">
        <f t="shared" si="14"/>
        <v>11</v>
      </c>
      <c r="AN59" s="254">
        <v>54</v>
      </c>
    </row>
    <row r="60" spans="1:40" ht="19.5" thickBot="1">
      <c r="B60" s="88"/>
      <c r="C60" s="88"/>
      <c r="D60" s="88"/>
      <c r="E60" s="88"/>
      <c r="F60" s="316"/>
      <c r="G60" s="88"/>
      <c r="H60" s="88"/>
      <c r="I60" s="88"/>
      <c r="J60" s="316"/>
      <c r="K60" s="88"/>
      <c r="L60" s="88"/>
      <c r="M60" s="88"/>
      <c r="N60" s="316"/>
      <c r="O60" s="88"/>
      <c r="P60" s="88"/>
      <c r="Q60" s="88"/>
      <c r="R60" s="316"/>
      <c r="S60" s="88"/>
      <c r="T60" s="88"/>
      <c r="U60" s="88"/>
      <c r="V60" s="316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N60" s="255"/>
    </row>
    <row r="61" spans="1:40" ht="19.5" thickBot="1">
      <c r="B61" s="88"/>
      <c r="C61" s="256">
        <f>SUMIF(C6:C59,"&lt;&gt;#N/A")</f>
        <v>72</v>
      </c>
      <c r="D61" s="256">
        <f>SUMIF(D6:D59,"&lt;&gt;#N/A")</f>
        <v>7</v>
      </c>
      <c r="E61" s="256">
        <f>SUMIF(E6:E59,"&lt;&gt;#N/A")</f>
        <v>284</v>
      </c>
      <c r="F61" s="316"/>
      <c r="G61" s="256">
        <f>SUMIF(G6:G59,"&lt;&gt;#N/A")</f>
        <v>108</v>
      </c>
      <c r="H61" s="256">
        <f>SUMIF(H6:H59,"&lt;&gt;#N/A")</f>
        <v>0</v>
      </c>
      <c r="I61" s="256">
        <f>SUMIF(I6:I59,"&lt;&gt;#N/A")</f>
        <v>405</v>
      </c>
      <c r="J61" s="316"/>
      <c r="K61" s="256">
        <f>SUMIF(K6:K59,"&lt;&gt;#N/A")</f>
        <v>180</v>
      </c>
      <c r="L61" s="256">
        <f>SUMIF(L6:L59,"&lt;&gt;#N/A")</f>
        <v>0</v>
      </c>
      <c r="M61" s="256">
        <f>SUMIF(M6:M59,"&lt;&gt;#N/A")</f>
        <v>666</v>
      </c>
      <c r="N61" s="316"/>
      <c r="O61" s="256">
        <f>SUMIF(O6:O59,"&lt;&gt;#N/A")</f>
        <v>204</v>
      </c>
      <c r="P61" s="256">
        <f>SUMIF(P6:P59,"&lt;&gt;#N/A")</f>
        <v>0</v>
      </c>
      <c r="Q61" s="256">
        <f>SUMIF(Q6:Q59,"&lt;&gt;#N/A")</f>
        <v>333</v>
      </c>
      <c r="R61" s="316"/>
      <c r="S61" s="256">
        <f>SUMIF(S6:S59,"&lt;&gt;#N/A")</f>
        <v>267</v>
      </c>
      <c r="T61" s="256">
        <f>SUMIF(T6:T59,"&lt;&gt;#N/A")</f>
        <v>-28</v>
      </c>
      <c r="U61" s="256">
        <f>SUMIF(U6:U59,"&lt;&gt;#N/A")</f>
        <v>888</v>
      </c>
      <c r="V61" s="316"/>
      <c r="W61" s="256">
        <f>SUMIF(W6:W59,"&lt;&gt;#N/A")</f>
        <v>324</v>
      </c>
      <c r="X61" s="256">
        <f>SUMIF(X6:X59,"&lt;&gt;#N/A")</f>
        <v>0</v>
      </c>
      <c r="Y61" s="256">
        <f>SUMIF(Y6:Y59,"&lt;&gt;#N/A")</f>
        <v>1353</v>
      </c>
      <c r="Z61" s="88"/>
      <c r="AA61" s="88"/>
      <c r="AB61" s="256">
        <f>SUMIF(AB6:AB59,"&lt;&gt;#N/A")</f>
        <v>1155</v>
      </c>
      <c r="AC61" s="256">
        <f>SUMIF(AC6:AC59,"&lt;&gt;#N/A")</f>
        <v>-21</v>
      </c>
      <c r="AD61" s="256">
        <f>SUMIF(AD6:AD59,"&lt;&gt;#N/A")</f>
        <v>3929</v>
      </c>
      <c r="AE61" s="88"/>
      <c r="AF61" s="88"/>
      <c r="AG61" s="88"/>
      <c r="AH61" s="88"/>
      <c r="AI61" s="88"/>
      <c r="AJ61" s="256">
        <f>SUMIF(AJ6:AJ59,"&lt;&gt;#N/A")</f>
        <v>1155</v>
      </c>
      <c r="AK61" s="256">
        <f>SUMIF(AK6:AK59,"&lt;&gt;#N/A")</f>
        <v>-21</v>
      </c>
      <c r="AL61" s="256">
        <f>SUMIF(AL6:AL59,"&lt;&gt;#N/A")</f>
        <v>3929</v>
      </c>
      <c r="AN61" s="255"/>
    </row>
    <row r="62" spans="1:40" ht="19.5" thickBot="1">
      <c r="B62" s="88"/>
      <c r="C62" s="88"/>
      <c r="D62" s="88"/>
      <c r="E62" s="88"/>
      <c r="F62" s="88"/>
      <c r="G62" s="88"/>
      <c r="H62" s="88"/>
      <c r="I62" s="88"/>
      <c r="J62" s="29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N62" s="255"/>
    </row>
    <row r="63" spans="1:40" ht="19.5" thickBot="1">
      <c r="W63" s="81">
        <f>SUM(C61+G61+K61+O61+S61+W61)</f>
        <v>1155</v>
      </c>
      <c r="X63" s="81">
        <f>SUM(D61+H61+L61+P61+T61+X61)</f>
        <v>-21</v>
      </c>
      <c r="Y63" s="81">
        <f>SUM(E61+I61+M61+Q61+U61+Y61)</f>
        <v>3929</v>
      </c>
    </row>
    <row r="66" spans="14:40">
      <c r="N66" s="238"/>
      <c r="O66" s="241"/>
      <c r="P66" s="241"/>
      <c r="Q66" s="241"/>
      <c r="R66" s="238"/>
      <c r="S66" s="241"/>
      <c r="T66" s="241"/>
      <c r="U66" s="241"/>
      <c r="V66" s="241"/>
      <c r="W66" s="241"/>
      <c r="X66" s="241"/>
      <c r="Y66" s="241"/>
      <c r="AA66" s="241"/>
      <c r="AB66" s="241"/>
      <c r="AC66" s="241"/>
      <c r="AD66" s="241"/>
      <c r="AE66" s="241"/>
      <c r="AF66" s="241"/>
      <c r="AG66" s="241"/>
      <c r="AH66" s="241"/>
      <c r="AI66" s="241"/>
      <c r="AJ66" s="241"/>
      <c r="AK66" s="241"/>
      <c r="AL66" s="241"/>
      <c r="AN66" s="43"/>
    </row>
    <row r="67" spans="14:40">
      <c r="N67" s="238"/>
      <c r="O67" s="241"/>
      <c r="P67" s="241"/>
      <c r="Q67" s="241"/>
      <c r="R67" s="238"/>
      <c r="S67" s="241"/>
      <c r="T67" s="241"/>
      <c r="U67" s="241"/>
      <c r="V67" s="241"/>
      <c r="W67" s="241"/>
      <c r="X67" s="241"/>
      <c r="Y67" s="241"/>
      <c r="AA67" s="241"/>
      <c r="AB67" s="241"/>
      <c r="AC67" s="241"/>
      <c r="AD67" s="241"/>
      <c r="AE67" s="241"/>
      <c r="AF67" s="241"/>
      <c r="AG67" s="241"/>
      <c r="AH67" s="241"/>
      <c r="AI67" s="241"/>
      <c r="AJ67" s="241"/>
      <c r="AK67" s="241"/>
      <c r="AL67" s="241"/>
      <c r="AN67" s="43"/>
    </row>
    <row r="68" spans="14:40">
      <c r="N68" s="238"/>
      <c r="O68" s="241"/>
      <c r="P68" s="241"/>
      <c r="Q68" s="241"/>
      <c r="R68" s="238"/>
      <c r="S68" s="241"/>
      <c r="T68" s="241"/>
      <c r="U68" s="241"/>
      <c r="V68" s="241"/>
      <c r="W68" s="241"/>
      <c r="X68" s="241"/>
      <c r="Y68" s="241"/>
      <c r="AA68" s="241"/>
      <c r="AB68" s="241"/>
      <c r="AC68" s="241"/>
      <c r="AD68" s="241"/>
      <c r="AE68" s="241"/>
      <c r="AF68" s="241"/>
      <c r="AG68" s="241"/>
      <c r="AH68" s="241"/>
      <c r="AI68" s="241"/>
      <c r="AJ68" s="241"/>
      <c r="AK68" s="241"/>
      <c r="AL68" s="241"/>
      <c r="AN68" s="43"/>
    </row>
    <row r="69" spans="14:40">
      <c r="N69" s="238"/>
      <c r="O69" s="241"/>
      <c r="P69" s="241"/>
      <c r="Q69" s="241"/>
      <c r="R69" s="238"/>
      <c r="S69" s="241"/>
      <c r="T69" s="241"/>
      <c r="U69" s="241"/>
      <c r="V69" s="241"/>
      <c r="W69" s="241"/>
      <c r="X69" s="241"/>
      <c r="Y69" s="241"/>
      <c r="AA69" s="241"/>
      <c r="AB69" s="241"/>
      <c r="AC69" s="241"/>
      <c r="AD69" s="241"/>
      <c r="AE69" s="241"/>
      <c r="AF69" s="241"/>
      <c r="AG69" s="241"/>
      <c r="AH69" s="241"/>
      <c r="AI69" s="241"/>
      <c r="AJ69" s="241"/>
      <c r="AK69" s="241"/>
      <c r="AL69" s="241"/>
      <c r="AN69" s="43"/>
    </row>
    <row r="70" spans="14:40">
      <c r="N70" s="238"/>
      <c r="O70" s="241"/>
      <c r="P70" s="241"/>
      <c r="Q70" s="241"/>
      <c r="R70" s="238"/>
      <c r="S70" s="241"/>
      <c r="T70" s="241"/>
      <c r="U70" s="241"/>
      <c r="V70" s="241"/>
      <c r="W70" s="241"/>
      <c r="X70" s="241"/>
      <c r="Y70" s="241"/>
      <c r="AA70" s="241"/>
      <c r="AB70" s="241"/>
      <c r="AC70" s="241"/>
      <c r="AD70" s="241"/>
      <c r="AE70" s="241"/>
      <c r="AF70" s="241"/>
      <c r="AG70" s="241"/>
      <c r="AH70" s="241"/>
      <c r="AI70" s="241"/>
      <c r="AJ70" s="241"/>
      <c r="AK70" s="241"/>
      <c r="AL70" s="241"/>
      <c r="AN70" s="43"/>
    </row>
    <row r="71" spans="14:40">
      <c r="N71" s="238"/>
      <c r="O71" s="241"/>
      <c r="P71" s="241"/>
      <c r="Q71" s="241"/>
      <c r="R71" s="238"/>
      <c r="S71" s="241"/>
      <c r="T71" s="241"/>
      <c r="U71" s="241"/>
      <c r="V71" s="241"/>
      <c r="W71" s="241"/>
      <c r="X71" s="241"/>
      <c r="Y71" s="241"/>
      <c r="AA71" s="241"/>
      <c r="AB71" s="241"/>
      <c r="AC71" s="241"/>
      <c r="AD71" s="241"/>
      <c r="AE71" s="241"/>
      <c r="AF71" s="241"/>
      <c r="AG71" s="241"/>
      <c r="AH71" s="241"/>
      <c r="AI71" s="241"/>
      <c r="AJ71" s="241"/>
      <c r="AK71" s="241"/>
      <c r="AL71" s="241"/>
      <c r="AN71" s="43"/>
    </row>
  </sheetData>
  <sheetProtection sheet="1" objects="1" scenarios="1" formatCells="0" formatColumns="0" formatRows="0" insertColumns="0" insertRows="0" insertHyperlinks="0" deleteColumns="0" deleteRows="0" sort="0"/>
  <mergeCells count="8">
    <mergeCell ref="C3:E3"/>
    <mergeCell ref="AH3:AL3"/>
    <mergeCell ref="W3:Y3"/>
    <mergeCell ref="AB3:AD3"/>
    <mergeCell ref="G3:I3"/>
    <mergeCell ref="K3:M3"/>
    <mergeCell ref="O3:Q3"/>
    <mergeCell ref="S3:U3"/>
  </mergeCells>
  <conditionalFormatting sqref="AH6:AH59">
    <cfRule type="duplicateValues" dxfId="0" priority="5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FF00"/>
  </sheetPr>
  <dimension ref="A1:K22"/>
  <sheetViews>
    <sheetView zoomScale="90" zoomScaleNormal="90" workbookViewId="0">
      <selection activeCell="H20" sqref="H20"/>
    </sheetView>
  </sheetViews>
  <sheetFormatPr baseColWidth="10" defaultRowHeight="15.75"/>
  <cols>
    <col min="1" max="1" width="11.42578125" style="6"/>
    <col min="2" max="2" width="32.5703125" style="4" customWidth="1"/>
    <col min="3" max="3" width="7" style="6" customWidth="1"/>
    <col min="4" max="4" width="23" style="4" customWidth="1"/>
    <col min="5" max="5" width="7.42578125" style="6" customWidth="1"/>
    <col min="6" max="6" width="27.28515625" style="6" customWidth="1"/>
    <col min="7" max="7" width="41.28515625" style="4" customWidth="1"/>
    <col min="8" max="8" width="11.42578125" style="4"/>
    <col min="9" max="9" width="11.42578125" style="6"/>
    <col min="10" max="16384" width="11.42578125" style="4"/>
  </cols>
  <sheetData>
    <row r="1" spans="1:11" s="227" customFormat="1" ht="33" customHeight="1">
      <c r="A1" s="226"/>
      <c r="B1" s="227" t="s">
        <v>43</v>
      </c>
      <c r="C1" s="226"/>
      <c r="E1" s="226"/>
      <c r="F1" s="226"/>
      <c r="I1" s="20"/>
    </row>
    <row r="2" spans="1:11" s="20" customFormat="1" ht="18.75">
      <c r="F2" s="263"/>
    </row>
    <row r="3" spans="1:11">
      <c r="A3" s="334">
        <v>1</v>
      </c>
      <c r="B3" s="335" t="s">
        <v>66</v>
      </c>
      <c r="C3" s="336">
        <v>19</v>
      </c>
      <c r="D3" s="356" t="s">
        <v>84</v>
      </c>
      <c r="E3" s="336">
        <v>37</v>
      </c>
      <c r="F3" s="336" t="s">
        <v>102</v>
      </c>
    </row>
    <row r="4" spans="1:11">
      <c r="A4" s="334">
        <v>2</v>
      </c>
      <c r="B4" s="335" t="s">
        <v>67</v>
      </c>
      <c r="C4" s="336">
        <v>20</v>
      </c>
      <c r="D4" s="356" t="s">
        <v>85</v>
      </c>
      <c r="E4" s="336">
        <v>38</v>
      </c>
      <c r="F4" s="336" t="s">
        <v>103</v>
      </c>
    </row>
    <row r="5" spans="1:11">
      <c r="A5" s="334">
        <v>3</v>
      </c>
      <c r="B5" s="335" t="s">
        <v>68</v>
      </c>
      <c r="C5" s="336">
        <v>21</v>
      </c>
      <c r="D5" s="356" t="s">
        <v>86</v>
      </c>
      <c r="E5" s="336">
        <v>39</v>
      </c>
      <c r="F5" s="336" t="s">
        <v>104</v>
      </c>
    </row>
    <row r="6" spans="1:11">
      <c r="A6" s="334">
        <v>4</v>
      </c>
      <c r="B6" s="335" t="s">
        <v>69</v>
      </c>
      <c r="C6" s="336">
        <v>22</v>
      </c>
      <c r="D6" s="356" t="s">
        <v>87</v>
      </c>
      <c r="E6" s="336">
        <v>40</v>
      </c>
      <c r="F6" s="336" t="s">
        <v>105</v>
      </c>
      <c r="J6" s="319"/>
      <c r="K6" s="319"/>
    </row>
    <row r="7" spans="1:11">
      <c r="A7" s="334">
        <v>5</v>
      </c>
      <c r="B7" s="335" t="s">
        <v>70</v>
      </c>
      <c r="C7" s="336">
        <v>23</v>
      </c>
      <c r="D7" s="356" t="s">
        <v>88</v>
      </c>
      <c r="E7" s="336">
        <v>41</v>
      </c>
      <c r="F7" s="336" t="s">
        <v>106</v>
      </c>
      <c r="J7" s="319"/>
      <c r="K7" s="319"/>
    </row>
    <row r="8" spans="1:11">
      <c r="A8" s="334">
        <v>6</v>
      </c>
      <c r="B8" s="335" t="s">
        <v>71</v>
      </c>
      <c r="C8" s="336">
        <v>24</v>
      </c>
      <c r="D8" s="356" t="s">
        <v>89</v>
      </c>
      <c r="E8" s="336">
        <v>42</v>
      </c>
      <c r="F8" s="336" t="s">
        <v>107</v>
      </c>
      <c r="J8" s="319"/>
      <c r="K8" s="319"/>
    </row>
    <row r="9" spans="1:11">
      <c r="A9" s="334">
        <v>7</v>
      </c>
      <c r="B9" s="335" t="s">
        <v>72</v>
      </c>
      <c r="C9" s="336">
        <v>25</v>
      </c>
      <c r="D9" s="356" t="s">
        <v>90</v>
      </c>
      <c r="E9" s="336">
        <v>43</v>
      </c>
      <c r="F9" s="336" t="s">
        <v>108</v>
      </c>
      <c r="J9" s="319"/>
      <c r="K9" s="319"/>
    </row>
    <row r="10" spans="1:11">
      <c r="A10" s="334">
        <v>8</v>
      </c>
      <c r="B10" s="335" t="s">
        <v>73</v>
      </c>
      <c r="C10" s="336">
        <v>26</v>
      </c>
      <c r="D10" s="356" t="s">
        <v>91</v>
      </c>
      <c r="E10" s="336">
        <v>44</v>
      </c>
      <c r="F10" s="336" t="s">
        <v>109</v>
      </c>
      <c r="J10" s="319"/>
      <c r="K10" s="319"/>
    </row>
    <row r="11" spans="1:11">
      <c r="A11" s="334">
        <v>9</v>
      </c>
      <c r="B11" s="335" t="s">
        <v>74</v>
      </c>
      <c r="C11" s="336">
        <v>27</v>
      </c>
      <c r="D11" s="356" t="s">
        <v>92</v>
      </c>
      <c r="E11" s="336">
        <v>45</v>
      </c>
      <c r="F11" s="336" t="s">
        <v>110</v>
      </c>
      <c r="J11" s="319"/>
      <c r="K11" s="319"/>
    </row>
    <row r="12" spans="1:11">
      <c r="A12" s="334">
        <v>10</v>
      </c>
      <c r="B12" s="335" t="s">
        <v>75</v>
      </c>
      <c r="C12" s="336">
        <v>28</v>
      </c>
      <c r="D12" s="356" t="s">
        <v>93</v>
      </c>
      <c r="E12" s="336">
        <v>46</v>
      </c>
      <c r="F12" s="336" t="s">
        <v>111</v>
      </c>
    </row>
    <row r="13" spans="1:11">
      <c r="A13" s="334">
        <v>11</v>
      </c>
      <c r="B13" s="335" t="s">
        <v>76</v>
      </c>
      <c r="C13" s="336">
        <v>29</v>
      </c>
      <c r="D13" s="356" t="s">
        <v>94</v>
      </c>
      <c r="E13" s="336">
        <v>47</v>
      </c>
      <c r="F13" s="336" t="s">
        <v>112</v>
      </c>
    </row>
    <row r="14" spans="1:11">
      <c r="A14" s="334">
        <v>12</v>
      </c>
      <c r="B14" s="335" t="s">
        <v>77</v>
      </c>
      <c r="C14" s="336">
        <v>30</v>
      </c>
      <c r="D14" s="356" t="s">
        <v>95</v>
      </c>
      <c r="E14" s="336">
        <v>48</v>
      </c>
      <c r="F14" s="336" t="s">
        <v>113</v>
      </c>
    </row>
    <row r="15" spans="1:11">
      <c r="A15" s="334">
        <v>13</v>
      </c>
      <c r="B15" s="335" t="s">
        <v>78</v>
      </c>
      <c r="C15" s="336">
        <v>31</v>
      </c>
      <c r="D15" s="356" t="s">
        <v>96</v>
      </c>
      <c r="E15" s="336">
        <v>49</v>
      </c>
      <c r="F15" s="336" t="s">
        <v>114</v>
      </c>
    </row>
    <row r="16" spans="1:11">
      <c r="A16" s="334">
        <v>14</v>
      </c>
      <c r="B16" s="335" t="s">
        <v>79</v>
      </c>
      <c r="C16" s="336">
        <v>32</v>
      </c>
      <c r="D16" s="356" t="s">
        <v>97</v>
      </c>
      <c r="E16" s="336">
        <v>50</v>
      </c>
      <c r="F16" s="336" t="s">
        <v>115</v>
      </c>
    </row>
    <row r="17" spans="1:9">
      <c r="A17" s="334">
        <v>15</v>
      </c>
      <c r="B17" s="335" t="s">
        <v>80</v>
      </c>
      <c r="C17" s="336">
        <v>33</v>
      </c>
      <c r="D17" s="356" t="s">
        <v>98</v>
      </c>
      <c r="E17" s="336">
        <v>51</v>
      </c>
      <c r="F17" s="336" t="s">
        <v>116</v>
      </c>
    </row>
    <row r="18" spans="1:9">
      <c r="A18" s="334">
        <v>16</v>
      </c>
      <c r="B18" s="335" t="s">
        <v>81</v>
      </c>
      <c r="C18" s="336">
        <v>34</v>
      </c>
      <c r="D18" s="356" t="s">
        <v>99</v>
      </c>
      <c r="E18" s="336">
        <v>52</v>
      </c>
      <c r="F18" s="336" t="s">
        <v>117</v>
      </c>
    </row>
    <row r="19" spans="1:9">
      <c r="A19" s="334">
        <v>17</v>
      </c>
      <c r="B19" s="335" t="s">
        <v>82</v>
      </c>
      <c r="C19" s="336">
        <v>35</v>
      </c>
      <c r="D19" s="356" t="s">
        <v>100</v>
      </c>
      <c r="E19" s="336">
        <v>53</v>
      </c>
      <c r="F19" s="336" t="s">
        <v>118</v>
      </c>
    </row>
    <row r="20" spans="1:9" ht="16.5" thickBot="1">
      <c r="A20" s="334">
        <v>18</v>
      </c>
      <c r="B20" s="335" t="s">
        <v>83</v>
      </c>
      <c r="C20" s="336">
        <v>36</v>
      </c>
      <c r="D20" s="356" t="s">
        <v>101</v>
      </c>
      <c r="E20" s="336">
        <v>54</v>
      </c>
      <c r="F20" s="336" t="s">
        <v>119</v>
      </c>
    </row>
    <row r="21" spans="1:9" ht="14.25" customHeight="1" thickBot="1">
      <c r="A21" s="336"/>
      <c r="B21" s="228">
        <f t="array" ref="B21">SUM(N(ISTEXT(B3:B20)))</f>
        <v>18</v>
      </c>
      <c r="C21" s="336"/>
      <c r="D21" s="228">
        <f t="array" ref="D21">SUM(N(ISTEXT(D3:D20)))</f>
        <v>18</v>
      </c>
      <c r="E21" s="336"/>
      <c r="F21" s="228">
        <f t="array" ref="F21">SUM(N(ISTEXT(F3:F20)))</f>
        <v>18</v>
      </c>
      <c r="H21" s="6"/>
      <c r="I21" s="4"/>
    </row>
    <row r="22" spans="1:9" ht="16.5" thickBot="1">
      <c r="A22" s="336"/>
      <c r="B22" s="337"/>
      <c r="C22" s="336"/>
      <c r="D22" s="229">
        <f>SUM(B21+D21+F21)</f>
        <v>54</v>
      </c>
      <c r="E22" s="336"/>
      <c r="F22" s="336"/>
    </row>
  </sheetData>
  <sheetProtection formatCells="0" formatColumns="0" formatRows="0" insertColumns="0" insertRows="0" insertHyperlinks="0" deleteColumns="0" deleteRows="0" sort="0"/>
  <sortState ref="H4:H58">
    <sortCondition ref="H3"/>
  </sortState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2">
    <tabColor rgb="FFFF0000"/>
  </sheetPr>
  <dimension ref="A1:BO87"/>
  <sheetViews>
    <sheetView tabSelected="1" zoomScale="90" zoomScaleNormal="90" workbookViewId="0">
      <selection activeCell="D6" sqref="D6"/>
    </sheetView>
  </sheetViews>
  <sheetFormatPr baseColWidth="10" defaultRowHeight="15.75"/>
  <cols>
    <col min="1" max="1" width="7.85546875" style="128" customWidth="1"/>
    <col min="2" max="2" width="24.85546875" style="29" customWidth="1"/>
    <col min="3" max="3" width="7.140625" style="29" customWidth="1"/>
    <col min="4" max="4" width="25.28515625" style="128" customWidth="1"/>
    <col min="5" max="5" width="6.5703125" style="128" customWidth="1"/>
    <col min="6" max="6" width="23.7109375" style="128" customWidth="1"/>
    <col min="7" max="7" width="5.5703125" style="128" customWidth="1"/>
    <col min="8" max="8" width="5" style="23" customWidth="1"/>
    <col min="9" max="9" width="5.140625" style="25" customWidth="1"/>
    <col min="10" max="10" width="14" style="128" customWidth="1"/>
    <col min="11" max="11" width="14.140625" style="128" customWidth="1"/>
    <col min="12" max="12" width="11.7109375" style="128" customWidth="1"/>
    <col min="13" max="13" width="5.7109375" style="84" customWidth="1"/>
    <col min="14" max="14" width="7.42578125" style="84" customWidth="1"/>
    <col min="15" max="15" width="16.5703125" style="84" customWidth="1"/>
    <col min="16" max="16" width="16.85546875" style="23" customWidth="1"/>
    <col min="17" max="17" width="16.140625" style="128" customWidth="1"/>
    <col min="18" max="18" width="17" style="29" customWidth="1"/>
    <col min="19" max="19" width="15.42578125" style="29" customWidth="1"/>
    <col min="20" max="20" width="15" style="29" customWidth="1"/>
    <col min="21" max="21" width="16.85546875" style="29" customWidth="1"/>
    <col min="22" max="22" width="16.7109375" style="23" customWidth="1"/>
    <col min="23" max="23" width="14.85546875" style="23" customWidth="1"/>
    <col min="24" max="24" width="6.42578125" style="23" customWidth="1"/>
    <col min="25" max="25" width="7.85546875" style="23" customWidth="1"/>
    <col min="26" max="26" width="21.7109375" style="23" customWidth="1"/>
    <col min="27" max="27" width="7.140625" style="23" customWidth="1"/>
    <col min="28" max="28" width="6.42578125" style="23" customWidth="1"/>
    <col min="29" max="29" width="5.42578125" style="23" customWidth="1"/>
    <col min="30" max="30" width="3.42578125" style="29" customWidth="1"/>
    <col min="31" max="31" width="22.42578125" style="29" customWidth="1"/>
    <col min="32" max="32" width="8.140625" style="29" customWidth="1"/>
    <col min="33" max="33" width="6.42578125" style="29" customWidth="1"/>
    <col min="34" max="34" width="5.85546875" style="29" customWidth="1"/>
    <col min="35" max="35" width="3.140625" style="29" customWidth="1"/>
    <col min="36" max="36" width="22.85546875" style="29" customWidth="1"/>
    <col min="37" max="37" width="7.140625" style="29" customWidth="1"/>
    <col min="38" max="39" width="6.5703125" style="29" customWidth="1"/>
    <col min="40" max="40" width="8.42578125" style="29" customWidth="1"/>
    <col min="41" max="41" width="11.42578125" style="29" customWidth="1"/>
    <col min="42" max="42" width="24.140625" style="29" customWidth="1"/>
    <col min="43" max="43" width="8.140625" style="29" customWidth="1"/>
    <col min="44" max="44" width="7.28515625" style="29" customWidth="1"/>
    <col min="45" max="45" width="8.140625" style="29" customWidth="1"/>
    <col min="46" max="46" width="6.7109375" style="29" customWidth="1"/>
    <col min="47" max="47" width="7.28515625" style="29" customWidth="1"/>
    <col min="48" max="48" width="7.140625" style="29" customWidth="1"/>
    <col min="49" max="49" width="7.7109375" style="29" customWidth="1"/>
    <col min="50" max="50" width="6.7109375" style="29" customWidth="1"/>
    <col min="51" max="51" width="7.140625" style="29" customWidth="1"/>
    <col min="52" max="52" width="7.42578125" style="29" customWidth="1"/>
    <col min="53" max="53" width="7" style="29" customWidth="1"/>
    <col min="54" max="54" width="8.42578125" style="29" customWidth="1"/>
    <col min="55" max="55" width="7" style="29" customWidth="1"/>
    <col min="56" max="56" width="8" style="29" customWidth="1"/>
    <col min="57" max="57" width="14.85546875" style="29" hidden="1" customWidth="1"/>
    <col min="58" max="58" width="9.42578125" style="29" hidden="1" customWidth="1"/>
    <col min="59" max="59" width="8.28515625" style="29" customWidth="1"/>
    <col min="60" max="60" width="29.28515625" style="29" customWidth="1"/>
    <col min="61" max="63" width="11.42578125" style="29"/>
    <col min="64" max="64" width="9.85546875" style="29" customWidth="1"/>
    <col min="65" max="65" width="11.42578125" style="29"/>
    <col min="66" max="66" width="0" style="29" hidden="1" customWidth="1"/>
    <col min="67" max="16384" width="11.42578125" style="29"/>
  </cols>
  <sheetData>
    <row r="1" spans="1:67" ht="24" customHeight="1" thickBot="1">
      <c r="B1" s="420" t="s">
        <v>36</v>
      </c>
      <c r="C1" s="420"/>
      <c r="D1" s="420"/>
      <c r="E1" s="132"/>
      <c r="F1" s="132"/>
      <c r="G1" s="132"/>
      <c r="H1" s="132"/>
      <c r="I1" s="132"/>
      <c r="J1" s="84"/>
      <c r="K1" s="84"/>
      <c r="L1" s="133" t="s">
        <v>37</v>
      </c>
      <c r="N1" s="443" t="s">
        <v>121</v>
      </c>
      <c r="O1" s="444"/>
      <c r="P1" s="445"/>
      <c r="Q1"/>
      <c r="R1" s="84"/>
      <c r="S1" s="84"/>
      <c r="T1" s="132"/>
      <c r="U1"/>
      <c r="V1"/>
      <c r="W1"/>
      <c r="X1" s="84"/>
      <c r="Y1" s="134"/>
      <c r="Z1" s="84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416"/>
      <c r="BC1" s="416"/>
      <c r="BD1" s="416"/>
      <c r="BE1" s="416"/>
      <c r="BF1" s="416"/>
      <c r="BG1" s="416"/>
      <c r="BH1" s="416"/>
    </row>
    <row r="2" spans="1:67" ht="18" customHeight="1">
      <c r="D2" s="80"/>
      <c r="E2" s="80"/>
      <c r="V2" s="128"/>
      <c r="Y2" s="43"/>
      <c r="AA2" s="45"/>
      <c r="AB2" s="45"/>
      <c r="AC2" s="45" t="s">
        <v>8</v>
      </c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23"/>
      <c r="AO2" s="23"/>
      <c r="AP2" s="23"/>
      <c r="AQ2" s="374"/>
      <c r="AR2" s="374"/>
      <c r="AS2" s="374"/>
      <c r="AT2" s="374"/>
      <c r="AU2" s="374"/>
      <c r="AV2" s="374"/>
      <c r="AW2" s="374"/>
      <c r="AX2" s="374"/>
      <c r="AY2" s="374"/>
      <c r="AZ2" s="374" t="s">
        <v>41</v>
      </c>
      <c r="BA2" s="374"/>
      <c r="BB2" s="374"/>
      <c r="BC2" s="374"/>
      <c r="BD2" s="374"/>
      <c r="BE2" s="374"/>
      <c r="BF2" s="374"/>
      <c r="BG2" s="374"/>
      <c r="BH2" s="374"/>
      <c r="BI2" s="23"/>
    </row>
    <row r="3" spans="1:67" ht="18" customHeight="1">
      <c r="A3" s="134"/>
      <c r="B3" s="277" t="s">
        <v>63</v>
      </c>
      <c r="D3" s="276" t="s">
        <v>48</v>
      </c>
      <c r="E3" s="80"/>
      <c r="Q3" s="442" t="s">
        <v>38</v>
      </c>
      <c r="R3" s="442"/>
      <c r="S3" s="331"/>
      <c r="U3" s="134"/>
      <c r="V3" s="134"/>
      <c r="W3" s="134"/>
      <c r="X3" s="134"/>
      <c r="Y3" s="128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23"/>
      <c r="BK3" s="449">
        <f>+P5</f>
        <v>48</v>
      </c>
    </row>
    <row r="4" spans="1:67" ht="18" customHeight="1" thickBot="1">
      <c r="A4" s="134"/>
      <c r="B4" s="134"/>
      <c r="D4" s="80"/>
      <c r="E4" s="80"/>
      <c r="R4" s="156"/>
      <c r="S4" s="156"/>
      <c r="T4" s="84"/>
      <c r="U4" s="84"/>
      <c r="V4" s="134"/>
      <c r="W4" s="134"/>
      <c r="X4" s="84"/>
      <c r="Y4" s="44" t="s">
        <v>22</v>
      </c>
      <c r="Z4" s="45"/>
      <c r="AA4" s="45"/>
      <c r="AB4" s="46"/>
      <c r="AC4" s="47"/>
      <c r="AD4" s="46"/>
      <c r="AE4" s="46"/>
      <c r="AF4" s="45"/>
      <c r="AG4" s="45"/>
      <c r="AH4" s="45"/>
      <c r="AI4" s="45"/>
      <c r="AJ4" s="45"/>
      <c r="AK4" s="45"/>
      <c r="AL4" s="45"/>
      <c r="AM4" s="45"/>
      <c r="AN4" s="23"/>
      <c r="AO4" s="23"/>
      <c r="AP4" s="23"/>
      <c r="AQ4" s="417" t="s">
        <v>64</v>
      </c>
      <c r="AR4" s="374"/>
      <c r="AS4" s="374"/>
      <c r="AT4" s="374"/>
      <c r="AU4" s="374"/>
      <c r="AV4" s="374"/>
      <c r="AW4" s="374"/>
      <c r="AX4" s="374"/>
      <c r="AY4" s="374"/>
      <c r="AZ4" s="374"/>
      <c r="BA4" s="374"/>
      <c r="BB4" s="374"/>
      <c r="BC4" s="374"/>
      <c r="BD4" s="374"/>
      <c r="BE4" s="374"/>
      <c r="BF4" s="374"/>
      <c r="BG4" s="374"/>
      <c r="BH4" s="416"/>
      <c r="BK4" s="449"/>
    </row>
    <row r="5" spans="1:67" ht="21.75" customHeight="1" thickBot="1">
      <c r="A5" s="236">
        <f>+P5</f>
        <v>48</v>
      </c>
      <c r="B5" s="424" t="s">
        <v>120</v>
      </c>
      <c r="C5" s="425"/>
      <c r="D5" s="426"/>
      <c r="E5" s="84"/>
      <c r="F5" s="84"/>
      <c r="G5" s="84"/>
      <c r="H5" s="84"/>
      <c r="I5" s="84"/>
      <c r="J5" s="84"/>
      <c r="K5" s="407">
        <f>+P5</f>
        <v>48</v>
      </c>
      <c r="L5" s="84"/>
      <c r="P5" s="451">
        <v>48</v>
      </c>
      <c r="Q5" s="84"/>
      <c r="R5" s="438">
        <f>IF(P5=8,2,IF($P$5=9,2,IF($P$5=10,2,IF($P$5=11,2,IF($P$5=12,2,IF($P$5=13,3,IF(P5=14,3,IF($P$5=15,3,IF(P5=16,3,IF($P$5=17,3,IF(P5=18,3,IF($P$5=19,4,IF(P5=20,4,IF($P$5=21,4,IF(P5=22,4,IF($P$5=23,4,IF(P5=24,4,IF($P$5=25,5,IF(P5=26,5,IF($P$5=27,5,IF(P5=28,5,IF($P$5=29,5,IF(P5=30,5,IF($P$5=31,6,IF(P5=32,6,IF($P$5=33,6,IF($P$5=34,6,IF($P$5=35,6,IF($P$5=36,6,IF($P$5=37,7,IF($P$5=38,7,IF($P$5=39,7,IF($P$5=40,7,IF($P$5=41,7,IF($P$5=42,7,IF($P$5=43,8,IF($P$5=44,8,IF($P$5=45,8,IF($P$5=46,8,IF($P$5=47,8,IF($P$5=48,8,IF($P$5=49,9,IF($P$5=50,9,IF($P$5=51,9,IF($P$5=52,9,IF($P$5=53,9,IF($P$5=54,9,0)))))))))))))))))))))))))))))))))))))))))))))))</f>
        <v>8</v>
      </c>
      <c r="S5" s="436" t="s">
        <v>39</v>
      </c>
      <c r="U5" s="23"/>
      <c r="W5" s="84"/>
      <c r="X5" s="128"/>
      <c r="AD5" s="45" t="s">
        <v>23</v>
      </c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374"/>
      <c r="AR5" s="374"/>
      <c r="AS5" s="374"/>
      <c r="AT5" s="374"/>
      <c r="AU5" s="374"/>
      <c r="AV5" s="374"/>
      <c r="AW5" s="374"/>
      <c r="AX5" s="374"/>
      <c r="AY5" s="374"/>
      <c r="AZ5" s="374"/>
      <c r="BA5" s="374"/>
      <c r="BB5" s="374"/>
      <c r="BC5" s="374"/>
      <c r="BD5" s="374"/>
      <c r="BE5" s="374"/>
      <c r="BF5" s="374"/>
      <c r="BG5" s="416"/>
      <c r="BH5" s="416"/>
    </row>
    <row r="6" spans="1:67" s="50" customFormat="1" ht="18" customHeight="1" thickBot="1">
      <c r="A6" s="84"/>
      <c r="B6" s="84"/>
      <c r="C6" s="84"/>
      <c r="D6" s="84"/>
      <c r="E6" s="84"/>
      <c r="F6" s="84"/>
      <c r="G6" s="84"/>
      <c r="H6" s="84"/>
      <c r="I6" s="84"/>
      <c r="J6" s="84"/>
      <c r="K6" s="406"/>
      <c r="L6" s="84"/>
      <c r="M6" s="84"/>
      <c r="N6" s="84"/>
      <c r="O6" s="84"/>
      <c r="P6" s="452"/>
      <c r="Q6" s="84"/>
      <c r="R6" s="439"/>
      <c r="S6" s="437"/>
      <c r="U6" s="409">
        <v>45</v>
      </c>
      <c r="V6" s="410">
        <v>50</v>
      </c>
      <c r="W6" s="84"/>
      <c r="X6" s="128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374"/>
      <c r="AR6" s="374"/>
      <c r="AS6" s="374"/>
      <c r="AT6" s="374"/>
      <c r="AU6" s="374"/>
      <c r="AV6" s="374"/>
      <c r="AW6" s="374"/>
      <c r="AX6" s="374"/>
      <c r="AY6" s="374"/>
      <c r="AZ6" s="374"/>
      <c r="BA6" s="374"/>
      <c r="BB6" s="374"/>
      <c r="BC6" s="374"/>
      <c r="BD6" s="374"/>
      <c r="BE6" s="374"/>
      <c r="BF6" s="374"/>
      <c r="BG6" s="418"/>
      <c r="BH6" s="418"/>
    </row>
    <row r="7" spans="1:67" s="84" customFormat="1" ht="21" customHeight="1" thickTop="1" thickBot="1">
      <c r="A7"/>
      <c r="B7"/>
      <c r="C7"/>
      <c r="D7" s="440" t="s">
        <v>60</v>
      </c>
      <c r="E7" s="441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 s="411" t="s">
        <v>131</v>
      </c>
      <c r="W7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375" t="s">
        <v>0</v>
      </c>
      <c r="AQ7" s="421" t="s">
        <v>1</v>
      </c>
      <c r="AR7" s="422"/>
      <c r="AS7" s="423"/>
      <c r="AT7" s="467" t="s">
        <v>2</v>
      </c>
      <c r="AU7" s="468"/>
      <c r="AV7" s="469"/>
      <c r="AW7" s="470" t="s">
        <v>3</v>
      </c>
      <c r="AX7" s="471"/>
      <c r="AY7" s="472"/>
      <c r="AZ7" s="462" t="s">
        <v>7</v>
      </c>
      <c r="BA7" s="463"/>
      <c r="BB7" s="464"/>
      <c r="BC7" s="311"/>
      <c r="BD7" s="81"/>
      <c r="BE7" s="25"/>
      <c r="BF7" s="25"/>
      <c r="BG7" s="312"/>
      <c r="BH7" s="462" t="s">
        <v>21</v>
      </c>
      <c r="BI7" s="463"/>
      <c r="BJ7" s="463"/>
      <c r="BK7" s="463"/>
      <c r="BL7" s="464"/>
    </row>
    <row r="8" spans="1:67" s="194" customFormat="1" ht="24.75" customHeight="1" thickTop="1" thickBot="1">
      <c r="A8" s="193"/>
      <c r="B8"/>
      <c r="C8"/>
      <c r="D8" s="453" t="s">
        <v>61</v>
      </c>
      <c r="E8" s="454"/>
      <c r="F8"/>
      <c r="H8" s="195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06" t="s">
        <v>10</v>
      </c>
      <c r="AR8" s="107" t="s">
        <v>11</v>
      </c>
      <c r="AS8" s="110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117" t="s">
        <v>15</v>
      </c>
      <c r="BG8" s="84"/>
      <c r="BH8" s="118" t="s">
        <v>6</v>
      </c>
      <c r="BI8" s="123" t="s">
        <v>16</v>
      </c>
      <c r="BJ8" s="49" t="s">
        <v>17</v>
      </c>
      <c r="BK8" s="281" t="s">
        <v>12</v>
      </c>
      <c r="BL8" s="270" t="s">
        <v>18</v>
      </c>
      <c r="BN8" s="261" t="s">
        <v>16</v>
      </c>
      <c r="BO8" s="404" t="s">
        <v>129</v>
      </c>
    </row>
    <row r="9" spans="1:67" ht="18" customHeight="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I9" s="136"/>
      <c r="J9" s="459" t="s">
        <v>40</v>
      </c>
      <c r="K9" s="460"/>
      <c r="L9" s="461"/>
      <c r="M9" s="154"/>
      <c r="N9" s="81"/>
      <c r="O9" s="450" t="s">
        <v>1</v>
      </c>
      <c r="P9" s="450"/>
      <c r="Q9" s="450"/>
      <c r="R9" s="465" t="s">
        <v>2</v>
      </c>
      <c r="S9" s="466"/>
      <c r="T9" s="466"/>
      <c r="U9" s="470" t="s">
        <v>3</v>
      </c>
      <c r="V9" s="471"/>
      <c r="W9" s="472"/>
      <c r="Y9" s="40" t="s">
        <v>30</v>
      </c>
      <c r="Z9" s="26" t="s">
        <v>4</v>
      </c>
      <c r="AA9" s="26" t="s">
        <v>12</v>
      </c>
      <c r="AB9" s="26" t="s">
        <v>10</v>
      </c>
      <c r="AC9" s="26" t="s">
        <v>11</v>
      </c>
      <c r="AD9" s="24"/>
      <c r="AE9" s="26" t="s">
        <v>4</v>
      </c>
      <c r="AF9" s="26" t="s">
        <v>12</v>
      </c>
      <c r="AG9" s="26" t="s">
        <v>10</v>
      </c>
      <c r="AH9" s="26" t="s">
        <v>11</v>
      </c>
      <c r="AI9" s="24"/>
      <c r="AJ9" s="26" t="s">
        <v>4</v>
      </c>
      <c r="AK9" s="26" t="s">
        <v>12</v>
      </c>
      <c r="AL9" s="26" t="s">
        <v>10</v>
      </c>
      <c r="AM9" s="26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1</v>
      </c>
      <c r="AR9" s="38">
        <f>IF(ISNA(VLOOKUP(AP9,$Z$11:$AC$81,4,0))," ",IF(VLOOKUP(AP9,$Z$11:$AC$81,4,0)=0,"0",VLOOKUP(AP9,$Z$11:$AC$81,4,0)))</f>
        <v>-1</v>
      </c>
      <c r="AS9" s="94">
        <f>IF(ISNA(VLOOKUP(AP9,$Z$11:$AC$81,2,0))," ",IF(VLOOKUP(AP9,$Z$11:$AC$81,2,0)=0,"0",VLOOKUP(AP9,$Z$11:$AC$81,2,0)))</f>
        <v>5</v>
      </c>
      <c r="AT9" s="91" t="str">
        <f>IF(ISNA(VLOOKUP(AP9,$AE$11:$AH$81,3,0))," ",IF(VLOOKUP(AP9,$AE$11:$AH$81,3,0)=0,"0",VLOOKUP(AP9,$AE$11:$AH$81,3,0)))</f>
        <v>0</v>
      </c>
      <c r="AU9" s="38" t="str">
        <f>IF(ISNA(VLOOKUP(AP9,$AE$11:$AH$81,4,0))," ",IF(VLOOKUP(AP9,$AE$11:$AH$81,4,0)=0,"0",VLOOKUP(AP9,$AE$11:$AH$81,4,0)))</f>
        <v>0</v>
      </c>
      <c r="AV9" s="288" t="str">
        <f>IF(ISNA(VLOOKUP(AP9,$AE$11:$AH$81,2,0))," ",IF(VLOOKUP(AP9,$AE$11:$AH$81,2,0)=0,"0",VLOOKUP(AP9,$AE$11:$AH$81,2,0)))</f>
        <v>0</v>
      </c>
      <c r="AW9" s="285" t="str">
        <f>IF(ISNA(VLOOKUP(AP9,$AJ$11:$AM$81,3,0))," ",IF(VLOOKUP(AP9,$AJ$11:$AM$81,3,0)=0,"0",VLOOKUP(AP9,$AJ$11:$AM$81,3,0)))</f>
        <v>0</v>
      </c>
      <c r="AX9" s="38" t="str">
        <f>IF(ISNA(VLOOKUP(AP9,$AJ$11:$AM$81,4,0))," ",IF(VLOOKUP(AP9,$AJ$11:$AM$81,4,0)=0,"0",VLOOKUP(AP9,$AJ$11:$AM$81,4,0)))</f>
        <v>0</v>
      </c>
      <c r="AY9" s="288" t="str">
        <f>IF(ISNA(VLOOKUP(AP9,$AJ$11:$AM$81,2,0))," ",IF(VLOOKUP(AP9,$AJ$11:$AM$81,2,0)=0,"0",VLOOKUP(AP9,$AJ$11:$AM$81,2,0)))</f>
        <v>0</v>
      </c>
      <c r="AZ9" s="285">
        <f>SUMIFS(AQ9:AW9,$AQ$8:$AW$8,"Pts",AQ9:AW9,"&lt;&gt;#N/A")</f>
        <v>1</v>
      </c>
      <c r="BA9" s="38">
        <f>SUMIFS(AQ9:AX9,$AQ$8:$AX$8,"GA",AQ9:AX9,"&lt;&gt;#N/A")</f>
        <v>-1</v>
      </c>
      <c r="BB9" s="288">
        <f>SUMIFS(AQ9:AY9,$AQ$8:$AY$8,"Score",AQ9:AY9,"&lt;&gt;#N/A")</f>
        <v>5</v>
      </c>
      <c r="BC9" s="293">
        <f>IF(BA9="","",IF(BA9&lt;0,BA9,0))</f>
        <v>-1</v>
      </c>
      <c r="BD9" s="217">
        <f>IF(BA9="","",IF(BA9&gt;0,BA9,0))</f>
        <v>0</v>
      </c>
      <c r="BE9" s="218">
        <f>IF(OR(AP9="",AZ9="",BA9="",BB9=""),"",RANK(AZ9,$AZ$9:$AZ$62)+SUM(-BA9/100)-(+BB9/10000)+COUNTIF(AP$9:AP$62,"&lt;="&amp;AP9+1)/1000000+ROW()/100000000)</f>
        <v>18.009500090000003</v>
      </c>
      <c r="BF9" s="99">
        <f>IF(AP9="","",SMALL(BE$9:BE$62,ROWS(AZ$9:AZ9)))</f>
        <v>0.89740010999999997</v>
      </c>
      <c r="BG9" s="88"/>
      <c r="BH9" s="91" t="str">
        <f>IF(OR(AP9="",AZ9=""),"",INDEX($AP$9:$AP$63,MATCH(BF9,$BE$9:BE$62,0)))</f>
        <v>A3</v>
      </c>
      <c r="BI9" s="2">
        <f t="shared" ref="BI9:BI40" si="0">IF(AP9="","",INDEX($AZ$9:$AZ$63,MATCH(BF9,$BE$9:$BE$62,0)))</f>
        <v>7</v>
      </c>
      <c r="BJ9" s="2">
        <f t="shared" ref="BJ9:BJ40" si="1">IF(AP9="","",INDEX($BA$9:$BA$63,MATCH(BF9,$BE$9:$BE$62,0)))</f>
        <v>10</v>
      </c>
      <c r="BK9" s="2">
        <f t="shared" ref="BK9:BK40" si="2">IF(AP9="","",INDEX($BB$9:$BB$63,MATCH(BF9,$BE$9:$BE$62,0)))</f>
        <v>26</v>
      </c>
      <c r="BL9" s="278">
        <f>IF(BF9="","",1)</f>
        <v>1</v>
      </c>
      <c r="BN9" s="82">
        <f>IF(BH9="","",IF(AND(BK8=BK9,BL8=BL9,BM8=BM9),BN8,$BL$9+19))</f>
        <v>20</v>
      </c>
      <c r="BO9" s="405">
        <f>IF(AND($K$5=8),8,IF(AND($K$5=9),9,IF(AND($K$5=10),10,IF(AND($K$5=11),11,IF(AND($K$5=12),12,IF(AND($K$5=13),13,IF(AND($K$5=14),14,IF(AND($K$5=15),15,IF(AND($K$5=16),16,IF(AND($K$5=17),17,IF(AND($K$5=18),18,IF(AND($K$5=19),19,IF(AND($K$5=20),20,IF(AND($K$5=21),21,IF(AND($K$5=22),22,IF(AND($K$5=23),23,IF(AND($K$5=24),24,IF(AND($K$5=25),25,IF(AND($K$5=26),26,IF(AND($K$5=27),27,IF(AND($K$5=28),28,IF(AND($K$5=29),29,IF(AND($K$5=30),30,IF(AND($K$5=31),31,IF(AND($K$5=32),32,IF(AND($K$5=33),33,IF(AND($K$5=34),34,IF(AND($K$5=35),35,IF(AND($K$5=36),36,IF(AND($K$5=37),37,IF(AND($K$5=38),38,IF(AND($K$5=39),39,IF(AND($K$5=40),40,IF(AND($K$5=41),41,IF(AND($K$5=42),42,IF(AND($K$5=43),43,IF(AND($K$5=44),44,IF(AND($K$5=45),45,IF(AND($K$5=46),46,IF(AND($K$5=47),47,IF(AND($K$5=48),48,IF(AND($K$5=49),49,IF(AND($K$5=50),50,IF(AND($K$5=51),51,IF(AND($K$5=52),52,IF(AND($K$5=53),53,IF(AND($K$5=54),54," ")))))))))))))))))))))))))))))))))))))))))))))))</f>
        <v>48</v>
      </c>
    </row>
    <row r="10" spans="1:67" ht="18" customHeight="1" thickBot="1">
      <c r="A10" s="130">
        <v>1</v>
      </c>
      <c r="B10" s="392" t="s">
        <v>66</v>
      </c>
      <c r="C10" s="271">
        <f>IF($P$5&gt;7,1,0)</f>
        <v>1</v>
      </c>
      <c r="D10" s="395" t="s">
        <v>84</v>
      </c>
      <c r="E10" s="403">
        <f>IF($P$5&gt;7,1,0)</f>
        <v>1</v>
      </c>
      <c r="F10" s="24" t="s">
        <v>102</v>
      </c>
      <c r="G10" s="271">
        <f>IF($P$5&gt;7,1,0)</f>
        <v>1</v>
      </c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M10" s="155"/>
      <c r="N10" s="82">
        <v>1</v>
      </c>
      <c r="O10" s="138" t="str">
        <f>IF($P$5&lt;55&gt;7,J10,0)</f>
        <v>A1</v>
      </c>
      <c r="P10" s="139" t="str">
        <f>IF($P$5&gt;=8,K10,0)</f>
        <v>B1</v>
      </c>
      <c r="Q10" s="140" t="str">
        <f>IF($P$5&gt;9,L10,IF($P$5=9,L10,0))</f>
        <v>C1</v>
      </c>
      <c r="R10" s="178" t="str">
        <f>IF($P$5=8,O13,IF($P$5=9,O13,IF($P$5=10,O12,IF($P$5=11,O10,IF($P$5=12,O10,IF($P$5=13,J11,IF($P$5=14,J11,IF($P$5=15,J11,IF($P$5=16,J11,IF($P$5=17,J10,IF($P$5=18,J10,IF($P$5=19,J11,IF($P$5=20,J10,IF($P$5=21,J10,IF($P$5=22,J11,IF($P$5=23,J11,IF($P$5=24,J11,IF($P$5=25,J11,IF($P$5=26,J11,IF($P$5=27,J11,IF($P$5=28,J11,IF($P$5=29,J11,IF($P$5=30,J11,IF($P$5=31,J11,IF($P$5=32,J11,IF($P$5=33,J11,IF($P$5=34,J11,IF($P$5=35,J11,IF($P$5=36,J11,IF($P$5=37,J11,IF($P$5=38,J11,IF($P$5=39,J11,IF($P$5=40,J11,IF($P$5=41,J11,IF($P$5=42,J11,IF($P$5=43,J11,IF($P$5=44,J11,IF($P$5=45,J11,IF($P$5=46,J11,IF($P$5=47,J11,IF($P$5=48,J11,IF($P$5=49,J11,IF($P$5=50,J11,IF($P$5=51,J11,IF($P$5=52,J11,IF($P$5=53,J11,IF($P$5=54,J11,0)))))))))))))))))))))))))))))))))))))))))))))))</f>
        <v>A2</v>
      </c>
      <c r="S10" s="157" t="str">
        <f>IF($P$5=8,P12,IF($P$5=9,P12,IF($P$5=10,P10,IF($P$5=11,P13,IF($P$5=12,P13,IF($P$5=13,L10,IF($P$5=14,K12,IF($P$5=15,K13,IF($P$5=16,K12,IF($P$5=17,K13,IF($P$5=18,K13,IF($P$5=19,K13,IF($P$5=20,P17,IF($P$5=21,K13,IF($P$5=22,K13,IF($P$5=23,K13,IF($P$5=24,K16,IF($P$5=25,K13,IF($P$5=26,P16,IF($P$5=27,K13,IF($P$5=28,K13,IF($P$5=29,K13,IF($P$5=30,K13,IF($P$5=31,K13,IF($P$5=32,K13,IF($P$5=33,K13,IF($P$5=34,K13,IF($P$5=35,K13,IF($P$5=36,K12,IF($P$5=37,K12,IF($P$5=38,K12,IF($P$5=39,K12,IF($P$5=40,K12,IF($P$5=41,K12,IF($P$5=42,K12,IF($P$5=43,K12,IF($P$5=44,K12,IF($P$5=45,K12,IF($P$5=46,K12,IF($P$5=47,K12,IF($P$5=48,K12,IF($P$5=49,K12,IF($P$5=50,K12,IF($P$5=51,K12,IF($P$5=52,K12,IF($P$5=53,K12,IF($P$5=54,K12,0)))))))))))))))))))))))))))))))))))))))))))))))</f>
        <v>B3</v>
      </c>
      <c r="T10" s="179" t="str">
        <f>IF($P$5=9,P13,IF($P$5=10,P13,IF($P$5=11,Q11,IF($P$5=12,L12,IF($P$5=13,P15,IF($P$5=14,P15,IF($P$5=15,P14,IF($P$5=16,L13,IF($P$5=17,L12,IF($P$5=18,L12,IF($P$5=19,P17,IF($P$5=20,L12,IF($P$5=21,P11,IF($P$5=22,L12,IF($P$5=23,Q12,IF($P$5=24,L12,IF($P$5=25,L12,IF($P$5=26,L12,IF($P$5=27,L12,IF($P$5=28,L12,IF($P$5=29,L12,IF($P$5=30,L12,IF($P$5=31,L12,IF($P$5=32,L12,IF($P$5=33,L12,IF($P$5=34,L12,IF($P$5=35,L12,IF($P$5=36,L13,IF($P$5=37,L13,IF($P$5=38,L13,IF($P$5=39,L13,IF($P$5=40,L13,IF($P$5=41,L13,IF($P$5=42,L13,IF($P$5=43,L13,IF($P$5=44,L13,IF($P$5=45,L13,IF($P$5=46,L13,IF($P$5=47,L13,IF($P$5=48,L13,IF($P$5=49,L13,IF($P$5=50,L13,IF($P$5=51,L13,IF($P$5=52,L13,IF($P$5=53,L13,IF($P$5=54,L13,0))))))))))))))))))))))))))))))))))))))))))))))</f>
        <v>C4</v>
      </c>
      <c r="U10" s="191" t="str">
        <f>IF($P$5=8,R12,IF($P$5=9,R11,IF($P$5=10,R11,IF($P$5=11,R13,IF($P$5=12,R13,IF($P$5=13,R12,IF($P$5=14,R11,IF($P$5=15,R11,IF($P$5=16,R15,IF($P$5=17,R10,IF(P$5=18,R10,IF($P$5=19,R13,IF($P$5=20,R10,IF($P$5=21,R10,IF($P$5=22,R17,IF($P$5=23,R11,IF($P$5=24,R17,IF($P$5=25,R19,IF($P$5=26,R19,IF($P$5=27,R18,IF($P$5=28,R19,IF($P$5=29,R19,IF($P$5=30,R19,IF($P$5=31,R20,IF($P$5=32,R21,IF($P$5=33,R20,IF($P$5=34,R21,IF($P$5=35,R21,IF($P$5=36,R11,IF($P$5=37,R11,IF($P$5=38,R11,IF($P$5=39,R11,IF($P$5=40,R11,IF($P$5=41,R11,IF($P$5=42,R11,IF($P$5=43,R11,IF($P$5=44,R11,IF($P$5=45,R11,IF($P$5=46,R11,IF($P$5=47,R11,IF($P$5=48,R11,IF($P$5=49,R11,IF($P$5=50,R11,IF($P$5=51,O10,IF($P$5=52,R11,IF($P$5=53,R11,IF($P$5=54,R11,0)))))))))))))))))))))))))))))))))))))))))))))))</f>
        <v>A3</v>
      </c>
      <c r="V10" s="157" t="str">
        <f>IF($P$5=8,S10,IF($P$5=9,T10,IF($P$5=10,S12,IF($P$5=11,S12,IF($P$5=12,S11,IF($P$5=13,T10,IF($P$5=14,S12,IF($P$5=15,S10,IF($P$5=16,S10,IF($P$5=17,S13,IF($P$5=18,S13,IF($P$5=19,T10,IF($P$5=20,S13,IF($P$5=21,S13,IF($P$5=22,S13,IF($P$5=23,S13,IF($P$5=24,S13,IF($P$5=25,S10,IF($P$5=26,S13,IF($P$5=27,S13,IF($P$5=28,S10,IF($P$5=29,S13,IF($P$5=30,S13,IF($P$5=31,S13,IF($P$5=32,S10,IF($P$5=33,S10,IF($P$5=34,S10,IF($P$5=35,S10,IF($P$5=36,S12,IF($P$5=37,S12,IF($P$5=38,S12,IF($P$5=39,S12,IF($P$5=40,S12,IF($P$5=41,S12,IF($P$5=42,S12,IF($P$5=43,S12,IF($P$5=44,S12,IF($P$5=45,S12,IF($P$5=46,S12,IF($P$5=47,S12,IF($P$5=48,S12,IF($P$5=49,S12,IF($P$5=50,S12,IF($P$5=51,S12,IF($P$5=52,S12,IF($P$5=53,S12,IF($P$5=54,S12,0)))))))))))))))))))))))))))))))))))))))))))))))</f>
        <v>B5</v>
      </c>
      <c r="W10" s="172" t="str">
        <f>IF($P$5=9,S10,IF($P$5=10,S11,IF($P$5=11,T10,IF($P$5=12,T12,IF($P$5=13,S11,IF($P$5=14,S14,IF($P$5=15,T12,IF($P$5=16,T11,IF($P$5=17,T12,IF($P$5=18,T12,IF($P$5=19,T12,IF($P$5=20,T12,IF($P$5=21,T12,IF($P$5=22,T12,IF(P$5=23,T12,IF($P$5=24,T12,IF($P$5=25,T12,IF($P$5=26,T12,IF($P$5=27,T12,IF($P$5=28,T13,IF($P$5=29,T12,IF($P$5=30,T12,IF($P$5=31,T12,IF($P$5=32,T11,IF($P$5=33,T11,IF($P$5=34,T11,IF($P$5=35,T11,IF($P$5=36,T13,IF($P$5=37,T13,IF($P$5=38,T13,IF($P$5=39,T13,IF($P$5=40,T13,IF($P$5=41,T13,IF($P$5=42,T13,IF($P$5=43,T13,IF($P$5=44,T13,IF($P$5=45,T13,IF($P$5=46,T13,IF($P$5=47,T13,IF($P$5=48,T13,IF($P$5=49,T13,IF($P$5=50,T13,IF($P$5=51,T13,IF($P$5=52,T13,IF($P$5=53,T13,IF($P$5=54,T13,0))))))))))))))))))))))))))))))))))))))))))))))</f>
        <v>C7</v>
      </c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3</v>
      </c>
      <c r="AR10" s="99">
        <f t="shared" ref="AR10:AR62" si="4">IF(ISNA(VLOOKUP(AP10,$Z$11:$AC$81,4,0))," ",IF(VLOOKUP(AP10,$Z$11:$AC$81,4,0)=0,"0",VLOOKUP(AP10,$Z$11:$AC$81,4,0)))</f>
        <v>1</v>
      </c>
      <c r="AS10" s="219">
        <f t="shared" ref="AS10:AS62" si="5">IF(ISNA(VLOOKUP(AP10,$Z$11:$AC$81,2,0))," ",IF(VLOOKUP(AP10,$Z$11:$AC$81,2,0)=0,"0",VLOOKUP(AP10,$Z$11:$AC$81,2,0)))</f>
        <v>6</v>
      </c>
      <c r="AT10" s="289">
        <f t="shared" ref="AT10:AT62" si="6">IF(ISNA(VLOOKUP(AP10,$AE$11:$AH$81,3,0))," ",IF(VLOOKUP(AP10,$AE$11:$AH$81,3,0)=0,"0",VLOOKUP(AP10,$AE$11:$AH$81,3,0)))</f>
        <v>1</v>
      </c>
      <c r="AU10" s="99">
        <f t="shared" ref="AU10:AU62" si="7">IF(ISNA(VLOOKUP(AP10,$AE$11:$AH$81,4,0))," ",IF(VLOOKUP(AP10,$AE$11:$AH$81,4,0)=0,"0",VLOOKUP(AP10,$AE$11:$AH$81,4,0)))</f>
        <v>-5</v>
      </c>
      <c r="AV10" s="291">
        <f t="shared" ref="AV10:AV62" si="8">IF(ISNA(VLOOKUP(AP10,$AE$11:$AH$81,2,0))," ",IF(VLOOKUP(AP10,$AE$11:$AH$81,2,0)=0,"0",VLOOKUP(AP10,$AE$11:$AH$81,2,0)))</f>
        <v>5</v>
      </c>
      <c r="AW10" s="286" t="str">
        <f t="shared" ref="AW10:AW62" si="9">IF(ISNA(VLOOKUP(AP10,$AJ$11:$AM$81,3,0))," ",IF(VLOOKUP(AP10,$AJ$11:$AM$81,3,0)=0,"0",VLOOKUP(AP10,$AJ$11:$AM$81,3,0)))</f>
        <v>0</v>
      </c>
      <c r="AX10" s="99" t="str">
        <f t="shared" ref="AX10:AX62" si="10">IF(ISNA(VLOOKUP(AP10,$AJ$11:$AM$81,4,0))," ",IF(VLOOKUP(AP10,$AJ$11:$AM$81,4,0)=0,"0",VLOOKUP(AP10,$AJ$11:$AM$81,4,0)))</f>
        <v>0</v>
      </c>
      <c r="AY10" s="291" t="str">
        <f t="shared" ref="AY10:AY62" si="11">IF(ISNA(VLOOKUP(AP10,$AJ$11:$AM$81,2,0))," ",IF(VLOOKUP(AP10,$AJ$11:$AM$81,2,0)=0,"0",VLOOKUP(AP10,$AJ$11:$AM$81,2,0)))</f>
        <v>0</v>
      </c>
      <c r="AZ10" s="286">
        <f>SUMIFS(AQ10:AW10,$AQ$8:$AW$8,"Pts",AQ10:AW10,"&lt;&gt;#N/A")</f>
        <v>4</v>
      </c>
      <c r="BA10" s="99">
        <f t="shared" ref="BA10:BA62" si="12">SUMIFS(AQ10:AX10,$AQ$8:$AX$8,"GA",AQ10:AX10,"&lt;&gt;#N/A")</f>
        <v>-4</v>
      </c>
      <c r="BB10" s="291">
        <f t="shared" ref="BB10:BB62" si="13">SUMIFS(AQ10:AY10,$AQ$8:$AY$8,"Score",AQ10:AY10,"&lt;&gt;#N/A")</f>
        <v>11</v>
      </c>
      <c r="BC10" s="294">
        <f t="shared" ref="BC10:BC62" si="14">IF(BA10="","",IF(BA10&lt;0,BA10,0))</f>
        <v>-4</v>
      </c>
      <c r="BD10" s="7">
        <f t="shared" ref="BD10:BD62" si="15">IF(BA10="","",IF(BA10&gt;0,BA10,0))</f>
        <v>0</v>
      </c>
      <c r="BE10" s="218">
        <f t="shared" ref="BE10:BE62" si="16">IF(OR(AP10="",AZ10="",BA10="",BB10=""),"",RANK(AZ10,$AZ$9:$AZ$62)+SUM(-BA10/100)-(+BB10/10000)+COUNTIF(AP$9:AP$62,"&lt;="&amp;AP10+1)/1000000+ROW()/100000000)</f>
        <v>5.0389001000000002</v>
      </c>
      <c r="BF10" s="99">
        <f>IF(AP10="","",SMALL(BE$9:BE$62,ROWS(AZ$9:AZ10)))</f>
        <v>1.8774001300000001</v>
      </c>
      <c r="BG10" s="88"/>
      <c r="BH10" s="289" t="str">
        <f>IF(OR(AP10="",AZ10=""),"",INDEX($AP$9:$AP$63,MATCH(BF10,$BE$9:BE$62,0)))</f>
        <v>A5</v>
      </c>
      <c r="BI10" s="7">
        <f t="shared" si="0"/>
        <v>6</v>
      </c>
      <c r="BJ10" s="7">
        <f t="shared" si="1"/>
        <v>12</v>
      </c>
      <c r="BK10" s="7">
        <f t="shared" si="2"/>
        <v>26</v>
      </c>
      <c r="BL10" s="279">
        <f>IF(BF10="","",IF(AND(BI9=BI10,BJ9=BJ10,BK9=BK10),BL9,$BL$9+1))</f>
        <v>2</v>
      </c>
      <c r="BN10" s="3">
        <f>IF(BH10="","",IF(AND(BK9=BK10,BL9=BL10,BM9=BM10),BN9,$BL$9+18))</f>
        <v>19</v>
      </c>
      <c r="BO10" s="405">
        <f>IF(AND($K$5=8),7,IF(AND($K$5=9),8,IF(AND($K$5=10),9,IF(AND($K$5=11),10,IF(AND($K$5=12),11,IF(AND($K$5=13),12,IF(AND($K$5=14),13,IF(AND($K$5=15),14,IF(AND($K$5=16),15,IF(AND($K$5=17),16,IF(AND($K$5=18),17,IF(AND($K$5=19),18,IF(AND($K$5=20),19,IF(AND($K$5=21),20,IF(AND($K$5=22),21,IF(AND($K$5=23),22,IF(AND($K$5=24),23,IF(AND($K$5=25),24,IF(AND($K$5=26),25,IF(AND($K$5=27),26,IF(AND($K$5=28),27,IF(AND($K$5=29),28,IF(AND($K$5=30),29,IF(AND($K$5=31),30,IF(AND($K$5=32),31,IF(AND($K$5=33),32,IF(AND($K$5=34),33,IF(AND($K$5=35),34,IF(AND($K$5=36),35,IF(AND($K$5=37),36,IF(AND($K$5=38),37,IF(AND($K$5=39),38,IF(AND($K$5=40),39,IF(AND($K$5=41),40,IF(AND($K$5=42),41,IF(AND($K$5=43),42,IF(AND($K$5=44),43,IF(AND($K$5=45),44,IF(AND($K$5=46),45,IF(AND($K$5=47),46,IF(AND($K$5=48),47,IF(AND($K$5=49),48,IF(AND($K$5=50),49,IF(AND($K$5=51),50,IF(AND($K$5=52),51,IF(AND($K$5=53),52,IF(AND($K$5=54),53," ")))))))))))))))))))))))))))))))))))))))))))))))</f>
        <v>47</v>
      </c>
    </row>
    <row r="11" spans="1:67" ht="18" customHeight="1" thickBot="1">
      <c r="A11" s="131">
        <v>2</v>
      </c>
      <c r="B11" s="393" t="s">
        <v>67</v>
      </c>
      <c r="C11" s="272">
        <f>IF($P$5&gt;7,2,0)</f>
        <v>2</v>
      </c>
      <c r="D11" s="395" t="s">
        <v>85</v>
      </c>
      <c r="E11" s="272">
        <f>IF($P$5&gt;7,2,0)</f>
        <v>2</v>
      </c>
      <c r="F11" s="24" t="s">
        <v>103</v>
      </c>
      <c r="G11" s="272">
        <f>IF($P$5&gt;7,2,0)</f>
        <v>2</v>
      </c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M11" s="155"/>
      <c r="N11" s="52" t="s">
        <v>5</v>
      </c>
      <c r="O11" s="141" t="str">
        <f>IF($P$5&gt;=8,J11,0)</f>
        <v>A2</v>
      </c>
      <c r="P11" s="144" t="str">
        <f>IF($P$5&gt;=8,K11,0)</f>
        <v>B2</v>
      </c>
      <c r="Q11" s="152" t="str">
        <f>IF($P$5=10,L11,IF($P$5=11,L11,IF($P$5=12,L11,IF($P$5=14,L11,IF($P$5=15,L11,IF($P$5=16,L11,IF($P$5=17,L11,IF($P$5=18,L11,IF($P$5=19,L11,IF($P$5=20,L11,IF($P$5=21,L11,IF($P$5=22,L11,IF($P$5=23,L11,IF($P$5=24,L11,IF($P$5=25,L11,IF($P$5=26,L11,IF($P$5=27,L11,IF($P$5=28,L11,IF($P$5=29,L11,IF($P$5=30,L11,IF($P$5=31,L11,IF($P$5=32,L11,IF($P$5=33,L11,IF($P$5=34,L11,IF($P$5=35,L11,IF($P$5=36,L11,IF($P$5=37,L11,IF($P$5=38,L11,IF($P$5=39,L11,IF($P$5=40,L11,IF($P$5=41,L11,IF($P$5=42,L11,IF($P$5=43,L11,IF($P$5=44,L11,IF($P$5=45,L11,IF($P$5=46,L11,IF($P$5=47,L11,IF($P$5=48,L11,IF($P$5=49,L11,IF($P$5=50,L11,IF($P$5=51,L11,IF($P$5=52,L11,IF($P$5=53,L11,IF($P$5=54,L11,0))))))))))))))))))))))))))))))))))))))))))))</f>
        <v>C2</v>
      </c>
      <c r="R11" s="158" t="str">
        <f>IF($P$5=8,O10,IF($P$5=9,O10,IF($P$5=10,O13,IF($P$5=11,O12,IF($P$5=12,O13,IF($P$5=13,J12,IF($P$5=14,J12,IF($P$5=15,J12,IF($P$5=16,J12,IF($P$5=17,J12,IF($P$5=18,J12,IF($P$5=19,J13,IF($P$5=20,J12,IF($P$5=21,J12,IF($P$5=22,J12,IF($P$5=23,J12,IF($P$5=24,J12,IF($P$5=25,J12,IF($P$5=26,J12,IF($P$5=27,J12,IF($P$5=28,J12,IF($P$5=29,J12,IF($P$5=30,J12,IF($P$5=31,J12,IF($P$5=32,J12,IF($P$5=33,J12,IF($P$5=34,J12,IF($P$5=35,J12,IF($P$5=36,J12,IF($P$5=37,J12,IF($P$5=38,J12,IF($P$5=39,J12,IF($P$5=40,J12,IF($P$5=41,J12,IF($P$5=42,J12,IF($P$5=43,J12,IF($P$5=44,J12,IF($P$5=45,J12,IF($P$5=46,J12,IF($P$5=47,J12,IF($P$5=48,J12,IF($P$5=49,J12,IF($P$5=50,J12,IF($P$5=51,J12,IF($P$5=52,J12,IF($P$5=53,J12,IF($P$5=54,J12,0)))))))))))))))))))))))))))))))))))))))))))))))</f>
        <v>A3</v>
      </c>
      <c r="S11" s="159" t="str">
        <f>IF($P$5=8,P13,IF($P$5=9,P11,IF($P$5=10,Q11,IF($P$5=11,P11,IF($P$5=12,P12,IF($P$5=13,P13,IF($P$5=14,K13,IF($P$5=15,K10,IF($P$5=16,K13,IF($P$5=17,K14,IF($P$5=18,K14,IF($P$5=19,K14,IF($P$5=20,K14,IF($P$5=21,K14,IF($P$5=22,K14,IF($P$5=23,K14,IF($P$5=24,K14,IF($P$5=25,K14,IF($P$5=26,P10,IF(P$5=27,P11,IF($P$5=28,K14,IF($P$5=29,K14,IF($P$5=30,P15,IF($P$5=31,K14,IF($P$5=32,K14,IF($P$5=33,K14,IF($P$5=34,K14,IF($P$5=35,K14,IF($P$5=36,K13,IF($P$5=37,K13,IF($P$5=38,K13,IF($P$5=39,K13,IF($P$5=40,K13,IF($P$5=41,K13,IF($P$5=42,K13,IF($P$5=43,K13,IF($P$5=44,K13,IF($P$5=45,K13,IF($P$5=46,K13,IF($P$5=47,K13,IF($P$5=48,K13,IF($P$5=49,K13,IF($P$5=50,K13,IF($P$5=51,K13,IF($P$5=52,K13,IF($P$5=53,K13,IF($P$5=54,K13,0)))))))))))))))))))))))))))))))))))))))))))))))</f>
        <v>B4</v>
      </c>
      <c r="T11" s="180" t="str">
        <f>IF($P$5=10,Q10,IF($P$5=11,Q10,IF($P$5=12,L11,IF($P$5=14,L10,IF($P$5=15,P15,IF($P$5=16,P15,IF($P$5=17,L11,IF($P$5=18,L13,IF($P$5=19,L10,IF($P$5=20,L11,IF($P$5=21,P17,IF($P$5=22,L13,IF($P$5=23,Q13,IF($P$5=24,L13,IF($P$5=25,L13,IF($P$5=26,L13,IF($P$5=27,L13,IF($P$5=28,L13,IF($P$5=29,L10,IF($P$5=30,L10,IF($P$5=31,L13,IF($P$5=32,L11,IF($P$5=33,L11,IF($P$5=34,L11,IF($P$5=35,L11,IF($P$5=36,L14,IF($P$5=37,L14,IF($P$5=38,L14,IF($P$5=39,L14,IF($P$5=40,L14,IF($P$5=41,L14,IF($P$5=42,L14,IF($P$5=43,L14,IF($P$5=44,L14,IF($P$5=45,L14,IF($P$5=46,L14,IF($P$5=47,L14,IF($P$5=48,L14,IF($P$5=49,L14,IF($P$5=50,L14,IF($P$5=51,L14,IF($P$5=52,L14,IF($P$5=53,L14,IF($P$5=54,L14,0))))))))))))))))))))))))))))))))))))))))))))</f>
        <v>C5</v>
      </c>
      <c r="U11" s="185" t="str">
        <f>IF($P$5=8,R13,IF($P$5=9,R12,IF($P$5=10,R12,IF($P$5=11,R12,IF($P$5=12,R12,IF($P$5=13,R11,IF($P$5=14,R12,IF($P$5=15,R12,IF($P$5=16,R11,IF($P$5=17,R12,IF($P$5=18,R14,IF($P$5=19,R14,IF($P$5=20,R13,IF($P$5=21,R13,IF($P$5=22,R11,IF(P$5=23,R13,IF($P$5=24,R12,IF($P$5=25,R12,IF($P$5=26,R12,IF($P$5=27,R12,IF($P$5=28,R11,IF($P$5=29,R12,IF($P$5=30,R12,IF($P$5=31,R12,IF($P$5=32,R12,IF($P$5=33,R12,IF($P$5=34,R12,IF($P$5=35,R12,IF($P$5=36,R12,IF($P$5=37,R12,IF($P$5=38,R12,IF($P$5=39,R12,IF($P$5=40,R12,IF($P$5=41,R12,IF($P$5=42,R12,IF($P$5=43,R12,IF($P$5=44,R12,IF($P$5=45,R12,IF($P$5=46,R12,IF($P$5=47,R12,IF($P$5=48,R12,IF($P$5=49,O13,IF($P$5=50,O13,IF($P$5=51,O13,IF($P$5=52,O13,IF($P$5=53,R12,IF($P$5=54,O13,0)))))))))))))))))))))))))))))))))))))))))))))))</f>
        <v>A4</v>
      </c>
      <c r="V11" s="176" t="str">
        <f>IF($P$5=8,S11,IF($P$5=9,S13,IF($P$5=10,S13,IF($P$5=11,S13,IF($P$5=12,S10,IF($P$5=13,S10,IF($P$5=14,S13,IF($P$5=15,S13,IF($P$5=16,S12,IF($P$5=17,S14,IF($P$5=18,S11,IF($P$5=19,S15,IF($P$5=20,S10,IF($P$5=21,S17,IF($P$5=22,S10,IF($P$5=23,S10,IF($P$5=24,S10,IF($P$5=25,S11,IF($P$5=26,S11,IF($P$5=27,S14,IF($P$5=28,S13,IF($P$5=29,S11,IF($P$5=30,S11,IF($P$5=31,S11,IF($P$5=32,S11,IF($P$5=33,S11,IF($P$5=34,S11,IF($P$5=35,S11,IF($P$5=36,S13,IF($P$5=37,S13,IF($P$5=38,S13,IF($P$5=39,S13,IF($P$5=40,S13,IF($P$5=41,S13,IF($P$5=42,S13,IF($P$5=43,S13,IF($P$5=44,S13,IF($P$5=45,S13,IF($P$5=46,S13,IF($P$5=47,S13,IF($P$5=48,S13,IF($P$5=49,S13,IF($P$5=50,S13,IF($P$5=51,S13,IF($P$5=52,S13,IF($P$5=53,S13,IF($P$5=54,S13,0)))))))))))))))))))))))))))))))))))))))))))))))</f>
        <v>B6</v>
      </c>
      <c r="W11" s="173" t="str">
        <f>IF($P$5=10,T10,IF($P$5=11,T11,IF($P$5=12,T11,IF(P$5=14,T11,IF($P$5=15,S14,IF(P$5=16,T13,IF($P$5=17,T11,IF($P$5=18,T13,IF($P$5=19,S17,IF($P$5=20,T11,IF($P$5=21,S12,IF($P$5=22,T13,IF($P$5=23,T14,IF($P$5=24,T15,IF($P$5=25,T13,IF($P$5=26,T13,IF($P$5=27,T13,IF($P$5=28,T12,IF($P$5=29,T13,IF($P$5=30,T13,IF($P$5=31,T13,IF($P$5=32,T10,IF($P$5=33,T10,IF($P$5=34,T10,IF($P$5=35,T10,IF($P$5=36,T14,IF($P$5=37,T14,IF($P$5=38,T14,IF($P$5=39,T14,IF($P$5=40,T14,IF($P$5=41,T14,IF($P$5=42,T14,IF($P$5=43,T14,IF($P$5=44,T14,IF($P$5=45,T14,IF($P$5=46,T14,IF($P$5=47,T14,IF($P$5=48,T14,IF($P$5=49,T14,IF($P$5=50,T14,IF($P$5=51,T14,IF($P$5=52,T14,IF($P$5=53,T14,IF($P$5=54,T14,0))))))))))))))))))))))))))))))))))))))))))))</f>
        <v>C8</v>
      </c>
      <c r="X11" s="408"/>
      <c r="Y11" s="446">
        <v>1</v>
      </c>
      <c r="Z11" s="12" t="str">
        <f>+O10</f>
        <v>A1</v>
      </c>
      <c r="AA11" s="33">
        <v>5</v>
      </c>
      <c r="AB11" s="48">
        <f>IF(AA11+AA15=0,0,IF(AA11=AA15,2,IF(AA11&gt;AA15,3,1)))</f>
        <v>1</v>
      </c>
      <c r="AC11" s="13">
        <f>AA11-AA15</f>
        <v>-1</v>
      </c>
      <c r="AD11" s="24"/>
      <c r="AE11" s="12" t="str">
        <f>+R10</f>
        <v>A2</v>
      </c>
      <c r="AF11" s="126">
        <v>5</v>
      </c>
      <c r="AG11" s="48">
        <f>IF(AF11+AF15=0,0,IF(AF11=AF15,2,IF(AF11&gt;AF15,3,1)))</f>
        <v>1</v>
      </c>
      <c r="AH11" s="13">
        <f>AF11-AF15</f>
        <v>-5</v>
      </c>
      <c r="AI11" s="24"/>
      <c r="AJ11" s="12" t="str">
        <f>+U10</f>
        <v>A3</v>
      </c>
      <c r="AK11" s="36">
        <v>4</v>
      </c>
      <c r="AL11" s="48">
        <f>IF(AK11+AK15=0,0,IF(AK11=AK15,2,IF(AK11&gt;AK15,3,1)))</f>
        <v>1</v>
      </c>
      <c r="AM11" s="13">
        <f>AK11-AK15</f>
        <v>-1</v>
      </c>
      <c r="AN11" s="23"/>
      <c r="AO11" s="54">
        <v>3</v>
      </c>
      <c r="AP11" s="321" t="str">
        <f>+Inscrits!B5</f>
        <v>A3</v>
      </c>
      <c r="AQ11" s="286">
        <f t="shared" si="3"/>
        <v>3</v>
      </c>
      <c r="AR11" s="99">
        <f t="shared" si="4"/>
        <v>6</v>
      </c>
      <c r="AS11" s="219">
        <f t="shared" si="5"/>
        <v>12</v>
      </c>
      <c r="AT11" s="289">
        <f t="shared" si="6"/>
        <v>3</v>
      </c>
      <c r="AU11" s="99">
        <f t="shared" si="7"/>
        <v>5</v>
      </c>
      <c r="AV11" s="291">
        <f t="shared" si="8"/>
        <v>10</v>
      </c>
      <c r="AW11" s="286">
        <f t="shared" si="9"/>
        <v>1</v>
      </c>
      <c r="AX11" s="99">
        <f t="shared" si="10"/>
        <v>-1</v>
      </c>
      <c r="AY11" s="291">
        <f t="shared" si="11"/>
        <v>4</v>
      </c>
      <c r="AZ11" s="286">
        <f t="shared" ref="AZ11:AZ62" si="17">SUMIFS(AQ11:AW11,$AQ$8:$AW$8,"Pts",AQ11:AW11,"&lt;&gt;#N/A")</f>
        <v>7</v>
      </c>
      <c r="BA11" s="99">
        <f t="shared" si="12"/>
        <v>10</v>
      </c>
      <c r="BB11" s="291">
        <f t="shared" si="13"/>
        <v>26</v>
      </c>
      <c r="BC11" s="294">
        <f t="shared" si="14"/>
        <v>0</v>
      </c>
      <c r="BD11" s="7">
        <f t="shared" si="15"/>
        <v>10</v>
      </c>
      <c r="BE11" s="218">
        <f t="shared" si="16"/>
        <v>0.89740010999999997</v>
      </c>
      <c r="BF11" s="99">
        <f>IF(AP11="","",SMALL(BE$9:BE$62,ROWS(AZ$9:AZ11)))</f>
        <v>1.9183003199999999</v>
      </c>
      <c r="BG11" s="88"/>
      <c r="BH11" s="289" t="str">
        <f>IF(OR(AP11="",AZ11=""),"",INDEX($AP$9:$AP$63,MATCH(BF11,$BE$9:BE$62,0)))</f>
        <v>B6</v>
      </c>
      <c r="BI11" s="7">
        <f t="shared" si="0"/>
        <v>6</v>
      </c>
      <c r="BJ11" s="7">
        <f t="shared" si="1"/>
        <v>8</v>
      </c>
      <c r="BK11" s="7">
        <f t="shared" si="2"/>
        <v>17</v>
      </c>
      <c r="BL11" s="280">
        <f>IF(BF11="","",IF(AND(BI10=BI11,BJ10=BJ11,BK10=BK11),BL10,$BL$9+2))</f>
        <v>3</v>
      </c>
      <c r="BN11" s="3">
        <f>IF(BH11="","",IF(AND(BK10=BK11,BL10=BL11,BM10=BM11),BN10,$BL$9+17))</f>
        <v>18</v>
      </c>
      <c r="BO11" s="405">
        <f>IF(AND($K$5=8),6,IF(AND($K$5=9),7,IF(AND($K$5=10),8,IF(AND($K$5=11),9,IF(AND($K$5=12),10,IF(AND($K$5=13),11,IF(AND($K$5=14),12,IF(AND($K$5=15),13,IF(AND($K$5=16),14,IF(AND($K$5=17),15,IF(AND($K$5=18),16,IF(AND($K$5=19),17,IF(AND($K$5=20),18,IF(AND($K$5=21),19,IF(AND($K$5=22),20,IF(AND($K$5=23),21,IF(AND($K$5=24),22,IF(AND($K$5=25),23,IF(AND($K$5=26),24,IF(AND($K$5=27),25,IF(AND($K$5=28),26,IF(AND($K$5=29),27,IF(AND($K$5=30),28,IF(AND($K$5=31),29,IF(AND($K$5=32),30,IF(AND($K$5=33),31,IF(AND($K$5=34),32,IF(AND($K$5=35),33,IF(AND($K$5=36),34,IF(AND($K$5=37),35,IF(AND($K$5=38),36,IF(AND($K$5=39),37,IF(AND($K$5=40),38,IF(AND($K$5=41),39,IF(AND($K$5=42),40,IF(AND($K$5=43),41,IF(AND($K$5=44),42,IF(AND($K$5=45),43,IF(AND($K$5=46),44,IF(AND($K$5=47),45,IF(AND($K$5=48),46,IF(AND($K$5=49),47,IF(AND($K$5=50),48,IF(AND($K$5=51),49,IF(AND($K$5=52),50,IF(AND($K$5=53),51,IF(AND($K$5=54),52," ")))))))))))))))))))))))))))))))))))))))))))))))</f>
        <v>46</v>
      </c>
    </row>
    <row r="12" spans="1:67" ht="18" customHeight="1" thickBot="1">
      <c r="A12" s="131">
        <v>3</v>
      </c>
      <c r="B12" s="393" t="s">
        <v>68</v>
      </c>
      <c r="C12" s="272">
        <f>IF($P$5&gt;7,3,0)</f>
        <v>3</v>
      </c>
      <c r="D12" s="395" t="s">
        <v>86</v>
      </c>
      <c r="E12" s="272">
        <f>IF($P$5&gt;7,3,0)</f>
        <v>3</v>
      </c>
      <c r="F12" s="24" t="s">
        <v>104</v>
      </c>
      <c r="G12" s="272">
        <f>IF($P$5=8,0,3)</f>
        <v>3</v>
      </c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M12" s="155"/>
      <c r="N12" s="82">
        <v>2</v>
      </c>
      <c r="O12" s="138" t="str">
        <f>IF($P$5&gt;=8,J12,0)</f>
        <v>A3</v>
      </c>
      <c r="P12" s="139" t="str">
        <f>IF($P$5&gt;=10,K12,IF($P$5=8,L10,IF($P$5=9,L11,0)))</f>
        <v>B3</v>
      </c>
      <c r="Q12" s="153" t="str">
        <f>IF($P$5=11,L12,IF($P$5=12,L12,IF($P$5=15,L14,IF($P$5=16,L12,IF($P$5=17,L12,IF($P$5=18,L12,IF($P$5=19,L12,IF($P$5=20,L12,IF($P$5=21,L12,IF($P$5=22,L12,IF($P$5=23,L12,IF($P$5=24,L12,IF($P$5=25,L12,IF($P$5=26,L12,IF($P$5=27,L12,IF($P$5=28,L12,IF($P$5=29,L12,IF($P$5=30,L12,IF($P$5=31,L12,IF($P$5=32,L12,IF($P$5=33,L12,IF($P$5=34,L12,IF($P$5=35,L12,IF($P$5=36,L12,IF($P$5=37,L12,IF($P$5=38,L12,IF($P$5=39,L12,IF($P$5=40,L12,IF($P$5=41,L12,IF($P$5=42,L12,IF($P$5=43,L12,IF($P$5=44,L12,IF($P$5=45,L12,IF($P$5=46,L12,IF($P$5=47,L12,IF($P$5=48,L12,IF($P$5=49,L12,IF($P$5=50,L12,IF($P$5=51,L12,IF($P$5=52,L12,IF($P$5=53,L12,IF($P$5=54,L12,0))))))))))))))))))))))))))))))))))))))))))</f>
        <v>C3</v>
      </c>
      <c r="R12" s="160" t="str">
        <f>IF($P$5=8,O12,IF($P$5=9,O11,IF($P$5=10,O10,IF($P$5=11,O11,IF(P$5=12,O12,IF($P$5=13,J10,IF($P$5=14,J13,IF($P$5=15,J13,IF($P$5=16,J13,IF($P$5=17,J14,IF($P$5=18,J14,IF($P$5=19,J12,IF($P$5=20,J11,IF($P$5=21,J11,IF($P$5=22,J13,IF($P$5=23,J13,IF($P$5=24,J13,IF($P$5=25,J13,IF($P$5=26,J13,IF($P$5=27,J13,IF($P$5=28,J13,IF($P$5=29,J13,IF($P$5=30,J13,IF($P$5=31,J13,IF($P$5=32,J13,IF($P$5=33,J13,IF($P$5=34,J13,IF($P$5=35,J13,IF($P$5=36,J13,IF($P$5=37,J13,IF($P$5=38,J13,IF($P$5=39,J13,IF($P$5=40,J13,IF($P$5=41,J13,IF($P$5=42,J13,IF($P$5=43,J13,IF($P$5=44,J13,IF($P$5=45,J13,IF($P$5=46,J13,IF($P$5=47,J13,IF($P$5=48,J13,IF($P$5=49,J13,IF($P$5=50,O13,IF($P$5=51,C13,IF($P$5=52,C13,IF($P$5=53,O13,IF($P$5=54,O13,0)))))))))))))))))))))))))))))))))))))))))))))))</f>
        <v>A4</v>
      </c>
      <c r="S12" s="157" t="str">
        <f>IF($P$5=8,P11,IF($P$5=9,P10,IF($P$5=10,P11,IF($P$5=11,P10,IF($P$5=12,P11,IF($P$5=13,K11,IF($P$5=14,K10,IF($P$5=15,K11,IF($P$5=16,K14,IF($P$5=17,K11,IF($P$5=18,K11,IF($P$5=19,K11,IF($P$5=20,K10,IF($P$5=21,P10,IF($P$5=22,K11,IF($P$5=23,K15,IF($P$5=24,K10,IF($P$5=25,K11,IF($P$5=26,K11,IF($P$5=27,P14,IF($P$5=28,K11,IF($P$5=29,K11,IF($P$5=30,K11,IF($P$5=31,K10,IF($P$5=32,K11,IF($P$5=33,K11,IF($P$5=34,K11,IF($P$5=35,K11,IF($P$5=36,K14,IF($P$5=37,K14,IF($P$5=38,K14,IF($P$5=39,K14,IF($P$5=40,K14,IF($P$5=41,K14,IF($P$5=42,K14,IF($P$5=43,K14,IF($P$5=44,K14,IF($P$5=45,K14,IF($P$5=46,K14,IF($P$5=47,K14,IF($P$5=48,K14,IF($P$5=49,K14,IF($P$5=50,K14,IF($P$5=51,K14,IF($P$5=52,K14,IF($P$5=53,K14,IF($P$5=54,K14,0)))))))))))))))))))))))))))))))))))))))))))))))</f>
        <v>B5</v>
      </c>
      <c r="T12" s="179" t="str">
        <f>IF($P$5=11,Q12,IF($P$5=12,L10,IF($P$5=15,Q12,IF($P$5=16,L10,IF($P$5=17,L13,IF($P$5=18,L15,IF($P$5=19,P15,IF($P$5=20,L13,IF($P$5=21,L13,IF($P$5=22,L14,IF($P$5=23,Q11,IF($P$5=24,L11,IF($P$5=25,P19,IF($P$5=26,P19,IF($P$5=27,P19,IF($P$5=28,L10,IF($P$5=29,Q14,IF($P$5=30,L14,IF($P$5=31,L14,IF($P$5=32,L14,IF($P$5=33,L14,IF($P$5=34,L14,IF($P$5=35,L14,IF($P$5=36,L15,IF($P$5=37,L15,IF($P$5=38,L15,IF($P$5=39,L15,IF($P$5=40,L15,IF($P$5=41,L15,IF($P$5=42,L15,IF($P$5=43,L15,IF($P$5=44,L15,IF($P$5=45,L15,IF($P$5=46,L15,IF($P$5=47,L15,IF($P$5=48,L15,IF($P$5=49,L15,IF($P$5=50,L15,IF($P$5=51,L15,IF($P$5=52,L15,IF($P$5=53,L15,IF($P$5=54,L15,0))))))))))))))))))))))))))))))))))))))))))</f>
        <v>C6</v>
      </c>
      <c r="U12" s="165" t="str">
        <f>IF($P$5=8,R11,IF($P$5=9,R13,IF($P$5=10,R13,IF($P$5=11,R10,IF($P$5=12,R10,IF($P$5=13,R14,IF(P$5=14,R13,IF($P$5=15,R13,IF(P$5=16,R13,IF($P$5=17,R13,IF($P$5=18,R11,IF($P$5=19,R12,IF($P$5=20,R12,IF($P$5=21,R14,IF($P$5=22,R10,IF($P$5=23,R12,IF($P$5=24,R11,IF($P$5=25,R11,IF($P$5=26,R11,IF($P$5=27,R11,IF($P$5=28,R12,IF($P$5=29,R11,IF($P$5=30,R11,IF($P$5=31,R11,IF($P$5=32,R11,IF($P$5=33,R11,IF($P$5=34,R11,IF($P$5=35,R11,IF($P$5=36,R13,IF($P$5=37,R13,IF($P$5=38,R13,IF($P$5=39,R13,IF($P$5=40,R13,IF($P$5=41,R13,IF($P$5=42,O14,IF($P$5=43,R13,IF($P$5=44,R13,IF($P$5=45,R13,IF($P$5=46,R13,IF($P$5=47,R13,IF($P$5=48,R13,IF($P$5=49,R13,IF($P$5=50,O14,IF($P$5=51,O14,IF($P$5=52,O14,IF($P$5=53,O14,IF($P$5=54,O14,0)))))))))))))))))))))))))))))))))))))))))))))))</f>
        <v>A5</v>
      </c>
      <c r="V12" s="163" t="str">
        <f>IF($P$5=8,S12,IF($P$5=9,S12,IF($P$5=10,T11,IF($P$5=11,S11,IF($P$5=12,S12,IF($P$5=13,R15,IF($P$5=14,T10,IF($P$5=15,S11,IF($P$5=16,S14,IF($P$5=17,S11,IF($P$5=18,S14,IF($P$5=19,S11,IF($P$5=20,S11,IF($P$5=21,S11,IF($P$5=22,S11,IF($P$5=23,S11,IF($P$5=24,S15,IF($P$5=25,S13,IF($P$5=26,S10,IF($P$5=27,S12,IF($P$5=28,S11,IF($P$5=29,S10,IF($P$5=30,S10,IF($P$5=31,S16,IF($P$5=32,S16,IF($P$5=33,S16,IF($P$5=34,S16,IF($P$5=35,S16,IF($P$5=36,S14,IF($P$5=37,S14,IF($P$5=38,S14,IF($P$5=39,S14,IF($P$5=40,S14,IF($P$5=41,S14,IF($P$5=42,S14,IF($P$5=43,S14,IF($P$5=44,S14,IF($P$5=45,S14,IF($P$5=46,S14,IF($P$5=47,S14,IF($P$5=48,S14,IF($P$5=49,S14,IF($P$5=50,S14,IF($P$5=51,S14,IF($P$5=52,S14,IF($P$5=53,S14,IF($P$5=54,S14,0)))))))))))))))))))))))))))))))))))))))))))))))</f>
        <v>B7</v>
      </c>
      <c r="W12" s="172" t="str">
        <f>IF($P$5=11,T12,IF($P$5=12,T13,IF($P$5=14,T14,IF($P$5=15,T11,IF(P$5=16,T10,IF($P$5=17,T14,IF($P$5=18,T14,IF($P$5=19,S16,IF($P$5=20,S16,IF($P$5=21,T13,IF($P$5=22,T15,IF($P$5=23,T16,IF($P$5=24,T13,IF($P$5=25,S19,IF($P$5=26,T14,IF($P$5=27,T14,IF($P$5=28,T14,IF($P$5=29,T15,IF($P$5=30,T14,IF($P$5=31,T14,IF($P$5=32,T12,IF($P$5=33,T12,IF($P$5=34,T12,IF($P$5=35,T12,IF($P$5=36,T15,IF($P$5=37,T15,IF($P$5=38,T15,IF($P$5=39,T15,IF($P$5=40,T15,IF($P$5=41,T15,IF($P$5=42,T15,IF($P$5=43,T15,IF($P$5=44,T15,IF($P$5=45,T15,IF($P$5=46,T15,IF($P$5=47,T15,IF($P$5=48,T15,IF($P$5=49,T15,IF($P$5=50,T15,IF($P$5=51,T15,IF($P$5=52,T15,IF($P$5=53,T15,IF($P$5=54,T15,0)))))))))))))))))))))))))))))))))))))))))))</f>
        <v>C9</v>
      </c>
      <c r="X12" s="408"/>
      <c r="Y12" s="447"/>
      <c r="Z12" s="14" t="str">
        <f>+P10</f>
        <v>B1</v>
      </c>
      <c r="AA12" s="59">
        <f>IF(ISTEXT(Z12),AA11,0)</f>
        <v>5</v>
      </c>
      <c r="AB12" s="59">
        <f>IF(ISTEXT(Z12),AB11,0)</f>
        <v>1</v>
      </c>
      <c r="AC12" s="60">
        <f>IF(ISTEXT(Z12),AC11,0)</f>
        <v>-1</v>
      </c>
      <c r="AD12" s="11"/>
      <c r="AE12" s="14" t="str">
        <f>+S10</f>
        <v>B3</v>
      </c>
      <c r="AF12" s="59">
        <f>IF(ISTEXT(AE12),AF11,0)</f>
        <v>5</v>
      </c>
      <c r="AG12" s="59">
        <f>IF(ISTEXT(AE12),AG11,0)</f>
        <v>1</v>
      </c>
      <c r="AH12" s="61">
        <f>IF(ISTEXT(AE12),AH11,0)</f>
        <v>-5</v>
      </c>
      <c r="AI12" s="11"/>
      <c r="AJ12" s="14" t="str">
        <f>+V10</f>
        <v>B5</v>
      </c>
      <c r="AK12" s="18">
        <f>IF(ISTEXT(AJ12),AK11,0)</f>
        <v>4</v>
      </c>
      <c r="AL12" s="59">
        <f>IF(ISTEXT(AJ12),AL11,0)</f>
        <v>1</v>
      </c>
      <c r="AM12" s="62">
        <f>IF(ISTEXT(AJ12),AM11,0)</f>
        <v>-1</v>
      </c>
      <c r="AN12" s="23"/>
      <c r="AO12" s="54">
        <v>4</v>
      </c>
      <c r="AP12" s="321" t="str">
        <f>+Inscrits!B6</f>
        <v>A4</v>
      </c>
      <c r="AQ12" s="286">
        <f t="shared" si="3"/>
        <v>1</v>
      </c>
      <c r="AR12" s="99">
        <f t="shared" si="4"/>
        <v>-6</v>
      </c>
      <c r="AS12" s="219">
        <f t="shared" si="5"/>
        <v>6</v>
      </c>
      <c r="AT12" s="289">
        <f t="shared" si="6"/>
        <v>1</v>
      </c>
      <c r="AU12" s="99">
        <f t="shared" si="7"/>
        <v>-7</v>
      </c>
      <c r="AV12" s="291">
        <f t="shared" si="8"/>
        <v>5</v>
      </c>
      <c r="AW12" s="286">
        <f t="shared" si="9"/>
        <v>3</v>
      </c>
      <c r="AX12" s="99">
        <f t="shared" si="10"/>
        <v>1</v>
      </c>
      <c r="AY12" s="291">
        <f t="shared" si="11"/>
        <v>5</v>
      </c>
      <c r="AZ12" s="286">
        <f t="shared" si="17"/>
        <v>5</v>
      </c>
      <c r="BA12" s="99">
        <f t="shared" si="12"/>
        <v>-12</v>
      </c>
      <c r="BB12" s="291">
        <f t="shared" si="13"/>
        <v>16</v>
      </c>
      <c r="BC12" s="294">
        <f t="shared" si="14"/>
        <v>-12</v>
      </c>
      <c r="BD12" s="7">
        <f t="shared" si="15"/>
        <v>0</v>
      </c>
      <c r="BE12" s="218">
        <f t="shared" si="16"/>
        <v>4.1184001200000004</v>
      </c>
      <c r="BF12" s="99">
        <f>IF(AP12="","",SMALL(BE$9:BE$62,ROWS(AZ$9:AZ12)))</f>
        <v>4.1184001200000004</v>
      </c>
      <c r="BG12" s="88"/>
      <c r="BH12" s="289" t="str">
        <f>IF(OR(AP12="",AZ12=""),"",INDEX($AP$9:$AP$63,MATCH(BF12,$BE$9:BE$62,0)))</f>
        <v>A4</v>
      </c>
      <c r="BI12" s="7">
        <f t="shared" si="0"/>
        <v>5</v>
      </c>
      <c r="BJ12" s="7">
        <f t="shared" si="1"/>
        <v>-12</v>
      </c>
      <c r="BK12" s="7">
        <f t="shared" si="2"/>
        <v>16</v>
      </c>
      <c r="BL12" s="280">
        <f>IF(BF12="","",IF(AND(BI11=BI12,BJ11=BJ12,BK11=BK12),BL11,$BL$9+3))</f>
        <v>4</v>
      </c>
      <c r="BN12" s="3">
        <f>IF(BH12="","",IF(AND(BK11=BK12,BL11=BL12,BM11=BM12),BN11,$BL$9+16))</f>
        <v>17</v>
      </c>
      <c r="BO12" s="405">
        <f>IF(AND($K$5=8),5,IF(AND($K$5=9),6,IF(AND($K$5=10),7,IF(AND($K$5=11),8,IF(AND($K$5=12),9,IF(AND($K$5=13),10,IF(AND($K$5=14),11,IF(AND($K$5=15),12,IF(AND($K$5=16),13,IF(AND($K$5=17),14,IF(AND($K$5=18),15,IF(AND($K$5=19),16,IF(AND($K$5=20),17,IF(AND($K$5=21),18,IF(AND($K$5=22),19,IF(AND($K$5=23),20,IF(AND($K$5=24),21,IF(AND($K$5=25),22,IF(AND($K$5=26),23,IF(AND($K$5=27),24,IF(AND($K$5=28),25,IF(AND($K$5=29),26,IF(AND($K$5=30),27,IF(AND($K$5=31),28,IF(AND($K$5=32),29,IF(AND($K$5=33),30,IF(AND($K$5=34),31,IF(AND($K$5=35),32,IF(AND($K$5=36),33,IF(AND($K$5=37),34,IF(AND($K$5=38),35,IF(AND($K$5=39),36,IF(AND($K$5=40),37,IF(AND($K$5=41),38,IF(AND($K$5=42),39,IF(AND($K$5=43),40,IF(AND($K$5=44),41,IF(AND($K$5=45),42,IF(AND($K$5=46),43,IF(AND($K$5=47),44,IF(AND($K$5=48),45,IF(AND($K$5=49),46,IF(AND($K$5=50),47,IF(AND($K$5=51),48,IF(AND($K$5=52),49,IF(AND($K$5=53),50,IF(AND($K$5=54),51," ")))))))))))))))))))))))))))))))))))))))))))))))</f>
        <v>45</v>
      </c>
    </row>
    <row r="13" spans="1:67" ht="18" customHeight="1" thickBot="1">
      <c r="A13" s="131">
        <v>4</v>
      </c>
      <c r="B13" s="393" t="s">
        <v>69</v>
      </c>
      <c r="C13" s="273">
        <f>IF($P$5=8,0,IF($P$5=9,0,4))</f>
        <v>4</v>
      </c>
      <c r="D13" s="395" t="s">
        <v>87</v>
      </c>
      <c r="E13" s="272">
        <f>IF($P$5&gt;=11,4,0)</f>
        <v>4</v>
      </c>
      <c r="F13" s="24" t="s">
        <v>105</v>
      </c>
      <c r="G13" s="272">
        <f>IF($P$5&gt;=12,4,0)</f>
        <v>4</v>
      </c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M13" s="155"/>
      <c r="N13" s="52" t="s">
        <v>5</v>
      </c>
      <c r="O13" s="208" t="str">
        <f>IF($P$5&gt;=10,J13,IF($P$5=8,K12,IF($P$5=9,K12,0)))</f>
        <v>A4</v>
      </c>
      <c r="P13" s="142" t="str">
        <f>IF($P$5=8,L11,IF($P$5=9,L12,IF($P$5=10,L12,IF($P$5=11,K13,IF($P$5=12,K13,IF($P$5=13,L11,IF($P$5=14,K13,IF($P$5=15,K13,IF($P$5=16,K13,IF($P$5=17,K13,IF($P$5=18,K13,IF($P$5=19,K13,IF($P$5=20,K13,IF($P$5=21,K13,IF(P$5=22,K13,IF($P$5=23,K13,IF($P$5=24,K13,IF($P$5=25,K13,IF($P$5=26,K13,IF($P$5=27,K13,IF($P$5=28,K13,IF($P$5=29,K13,IF($P$5=30,K13,IF($P$5=31,K13,IF($P$5=32,K13,IF($P$5=33,K13,IF($P$5=34,K13,IF($P$5=35,K13,IF($P$5=36,K13,IF($P$5=37,K13,IF($P$5=38,K13,IF($P$5=39,K13,IF($P$5=40,K13,IF($P$5=41,K13,IF($P$5=42,K13,IF($P$5=43,K13,IF($P$5=44,K13,IF($P$5=45,K13,IF($P$5=46,K13,IF($P$5=47,K13,IF($P$5=48,K13,IF($P$5=49,K13,IF($P$5=50,K13,IF($P$5=51,K13,IF($P$5=52,K13,IF($P$5=53,K13,IF($P$5=54,K13,0)))))))))))))))))))))))))))))))))))))))))))))))</f>
        <v>B4</v>
      </c>
      <c r="Q13" s="152" t="str">
        <f>IF($P$5=12,L13,IF($P$5=16,L13,IF($P$5=17,L13,IF($P$5=18,L13,IF($P$5=20,L13,IF($P$5=21,L13,IF($P$5=22,L13,IF($P$5=23,L13,IF($P$5=24,L13,IF($P$5=25,L13,IF($P$5=26,L13,IF($P$5=27,L13,IF($P$5=28,L13,IF($P$5=29,L13,IF($P$5=30,L13,IF($P$5=31,L13,IF($P$5=32,L13,IF($P$5=33,L13,IF($P$5=34,L13,IF($P$5=35,L13,IF($P$5=36,L13,IF($P$5=37,L13,IF($P$5=38,L13,IF($P$5=39,L13,IF($P$5=40,L13,IF($P$5=41,L13,IF($P$5=42,L13,IF($P$5=43,L13,IF($P$5=44,L13,IF($P$5=45,L13,IF($P$5=46,L13,IF($P$5=47,L13,IF($P$5=48,L13,IF($P$5=49,L13,IF($P$5=50,L13,IF($P$5=51,L13,IF($P$5=52,L13,IF($P$5=53,L13,IF($P$5=54,L13,0)))))))))))))))))))))))))))))))))))))))</f>
        <v>C4</v>
      </c>
      <c r="R13" s="161" t="str">
        <f>IF($P$5=8,O11,IF($P$5=9,O12,IF($P$5=10,O11,IF($P$5=11,O13,IF($P$5=12,O11,IF($P$5=13,J14,IF($P$5=14,J14,IF($P$5=15,J14,IF($P$5=16,J14,IF($P$5=17,J13,IF($P$5=18,J11,IF($P$5=19,J10,IF($P$5=20,J13,IF($P$5=21,J14,IF($P$5=22,J14,IF($P$5=23,J14,IF($P$5=24,J14,IF($P$5=25,J14,IF($P$5=26,J14,IF($P$5=27,J14,IF($P$5=28,J14,IF($P$5=29,J14,IF($P$5=30,J14,IF($P$5=31,J14,IF($P$5=32,J14,IF($P$5=33,J14,IF($P$5=34,J14,IF($P$5=35,J14,IF($P$5=36,J14,IF($P$5=37,J14,IF($P$5=38,J14,IF($P$5=39,J14,IF($P$5=40,J14,IF($P$5=41,J14,IF($P$5=42,J14,IF($P$5=43,J14,IF($P$5=44,J14,IF($P$5=45,J14,IF($P$5=46,J14,IF($P$5=47,J14,IF($P$5=48,J14,IF($P$5=49,J14,IF($P$5=50,J14,IF($P$5=51,J14,IF($P$5=52,J14,IF($P$5=53,J14,IF($P$5=54,J14,0)))))))))))))))))))))))))))))))))))))))))))))))</f>
        <v>A5</v>
      </c>
      <c r="S13" s="162" t="str">
        <f>IF($P$5=8,P10,IF($P$5=9,Q10,IF($P$5=10,P12,IF($P$5=11,P12,IF($P$5=12,P10,IF($P$5=13,K12,IF($P$5=14,K11,IF($P$5=15,P12,IF($P$5=16,K10,IF($P$5=17,K12,IF($P$5=18,K12,IF($P$5=19,K12,IF($P$5=20,K12,IF($P$5=21,K12,IF($P$5=22,K12,IF($P$5=23,K16,IF($P$5=24,K12,IF($P$5=25,K12,IF($P$5=26,K12,IF($P$5=27,K12,IF($P$5=28,P16,IF($P$5=29,K12,IF($P$5=30,K12,IF($P$5=31,K12,IF($P$5=32,K12,IF($P$5=33,K12,IF($P$5=34,K12,IF($P$5=35,K12,IF($P$5=36,K15,IF($P$5=37,K15,IF($P$5=38,K15,IF($P$5=39,K15,IF($P$5=40,K15,IF($P$5=41,K15,IF($P$5=42,K15,IF($P$5=43,K15,IF($P$5=44,K15,IF($P$5=45,K15,IF($P$5=46,K15,IF($P$5=47,K15,IF($P$5=48,K15,IF($P$5=49,K15,IF($P$5=50,K15,IF($P$5=51,K15,IF($P$5=52,K15,IF($P$5=53,K15,IF($P$5=54,K15,0)))))))))))))))))))))))))))))))))))))))))))))))</f>
        <v>B6</v>
      </c>
      <c r="T13" s="181" t="str">
        <f>IF($P$5=12,L13,IF($P$5=16,L11,IF($P$5=17,L14,IF($P$5=18,L14,IF($P$5=20,P16,IF($P$5=21,P16,IF($P$5=22,L15,IF($P$5=23,Q10,IF($P$5=24,L15,IF($P$5=25,P17,IF($P$5=26,Q15,IF($P$5=27,Q16,IF($P$5=28,Q17,IF($P$5=29,Q16,IF($P$5=30,L15,IF($P$5=31,L11,IF($P$5=32,L13,IF($P$5=33,L13,IF($P$5=34,L13,IF($P$5=35,L13,IF($P$5=36,L16,IF($P$5=37,L16,IF($P$5=38,L16,IF($P$5=39,L16,IF($P$5=40,L16,IF($P$5=41,L16,IF($P$5=42,L16,IF($P$5=43,L16,IF($P$5=44,L16,IF($P$5=45,L16,IF($P$5=46,L16,IF($P$5=47,L16,IF($P$5=48,L16,IF($P$5=49,L16,IF($P$5=50,L16,IF($P$5=51,L16,IF($P$5=52,L16,IF($P$5=53,L16,IF($P$5=54,L16,0)))))))))))))))))))))))))))))))))))))))</f>
        <v>C7</v>
      </c>
      <c r="U13" s="184" t="str">
        <f>IF($P$5=8,R10,IF($P$5=9,R10,IF($P$5=10,R10,IF($P$5=11,R11,IF($P$5=12,R11,IF($P$5=13,R13,IF($P$5=14,R14,IF($P$5=15,R14,IF(P$5=16,R14,IF($P$5=17,R11,IF($P$5=18,R12,IF($P$5=19,R11,IF($P$5=20,R11,IF($P$5=21,R12,IF($P$5=22,R12,IF($P$5=23,R15,IF($P$5=24,R13,IF($P$5=25,R13,IF($P$5=26,R13,IF($P$5=27,R13,IF($P$5=28,R13,IF($P$5=29,R13,IF($P$5=30,R13,IF($P$5=31,R13,IF($P$5=32,R13,IF($P$5=33,R13,IF($P$5=34,R13,IF($P$5=35,R13,IF($P$5=36,R14,IF($P$5=37,R14,IF($P$5=38,R14,IF($P$5=39,R14,IF($P$5=40,R14,IF($P$5=41,R14,IF($P$5=42,O15,IF($P$5=43,R14,IF($P$5=44,R14,IF($P$5=45,R14,IF($P$5=46,R14,IF($P$5=47,R14,IF($P$5=48,R14,IF($P$5=49,R14,IF($P$5=50,O15,IF($P$5=51,O15,IF($P$5=52,O15,IF($P$5=53,O15,IF($P$5=54,O15,0)))))))))))))))))))))))))))))))))))))))))))))))</f>
        <v>A6</v>
      </c>
      <c r="V13" s="163" t="str">
        <f>IF($P$5=8,S13,IF($P$5=9,S11,IF($P$5=10,S10,IF($P$5=11,S10,IF($P$5=12,S13,IF($P$5=13,S12,IF($P$5=14,S11,IF($P$5=15,S12,IF($P$5=16,S11,IF($P$5=17,S10,IF($P$5=18,S10,IF($P$5=19,S12,IF($P$5=20,S14,IF($P$5=21,S14,IF($P$5=22,S15,IF($P$5=23,S14,IF($P$5=24,S14,IF($P$5=25,S14,IF($P$5=26,S14,IF($P$5=27,S10,IF($P$5=28,S14,IF($P$5=29,S15,IF($P$5=30,S17,IF($P$5=31,S14,IF($P$5=32,S20,IF($P$5=33,S18,IF($P$5=34,S18,IF($P$5=35,S17,IF($P$5=36,S15,IF($P$5=37,S15,IF($P$5=38,S15,IF($P$5=39,S15,IF($P$5=40,S15,IF($P$5=41,S15,IF($P$5=42,S15,IF($P$5=43,S15,IF($P$5=44,S15,IF($P$5=45,S15,IF($P$5=46,S15,IF($P$5=47,S15,IF($P$5=48,S15,IF($P$5=49,S15,IF($P$5=50,S15,IF($P$5=51,S15,IF($P$5=52,S15,IF($P$5=53,S15,IF($P$5=54,S15,0)))))))))))))))))))))))))))))))))))))))))))))))</f>
        <v>B8</v>
      </c>
      <c r="W13" s="174" t="str">
        <f>IF($P$5=12,T10,IF($P$5=16,S15,IF($P$5=17,T13,IF($P$5=18,T15,IF($P$5=20,T13,IF($P$5=21,T11,IF($P$5=22,T14,IF($P$5=23,T13,IF($P$5=24,T14,IF($P$5=25,S17,IF($P$5=26,T15,IF($P$5=27,T15,IF($P$5=28,T15,IF($P$5=29,T11,IF($P$5=30,T15,IF($P$5=31,T15,IF($P$5=32,T14,IF($P$5=33,T14,IF($P$5=34,T14,IF($P$5=35,T20,IF($P$5=36,T16,IF($P$5=37,T16,IF($P$5=38,T16,IF($P$5=39,T16,IF($P$5=40,T16,IF($P$5=41,T16,IF($P$5=42,T16,IF($P$5=43,T16,IF($P$5=44,T16,IF($P$5=45,T16,IF($P$5=46,T16,IF($P$5=47,T16,IF($P$5=48,T16,IF($P$5=49,T16,IF($P$5=50,T16,IF($P$5=51,T16,IF($P$5=52,T16,IF($P$5=53,T16,IF($P$5=54,T16,0)))))))))))))))))))))))))))))))))))))))</f>
        <v>C10</v>
      </c>
      <c r="Y13" s="447"/>
      <c r="Z13" s="14" t="str">
        <f>+Q10</f>
        <v>C1</v>
      </c>
      <c r="AA13" s="63">
        <f>IF(ISTEXT(Z13),AA11,0)</f>
        <v>5</v>
      </c>
      <c r="AB13" s="64">
        <f>IF(ISTEXT(Z13),AB11,0)</f>
        <v>1</v>
      </c>
      <c r="AC13" s="65">
        <f>IF(ISTEXT(Z13),AC11,0)</f>
        <v>-1</v>
      </c>
      <c r="AD13" s="11"/>
      <c r="AE13" s="14" t="str">
        <f>+T10</f>
        <v>C4</v>
      </c>
      <c r="AF13" s="63">
        <f>IF(ISTEXT(AE13),AF11,0)</f>
        <v>5</v>
      </c>
      <c r="AG13" s="64">
        <f>IF(ISTEXT(AE13),AG11,0)</f>
        <v>1</v>
      </c>
      <c r="AH13" s="66">
        <f>IF(ISTEXT(AE13),AH11,0)</f>
        <v>-5</v>
      </c>
      <c r="AI13" s="11"/>
      <c r="AJ13" s="14" t="str">
        <f>+W10</f>
        <v>C7</v>
      </c>
      <c r="AK13" s="67">
        <f>IF(ISTEXT(AJ13),AK11,0)</f>
        <v>4</v>
      </c>
      <c r="AL13" s="64">
        <f>IF(ISTEXT(AJ13),AL11,0)</f>
        <v>1</v>
      </c>
      <c r="AM13" s="68">
        <f>IF(ISTEXT(AJ13),AM11,0)</f>
        <v>-1</v>
      </c>
      <c r="AN13" s="23"/>
      <c r="AO13" s="54">
        <v>5</v>
      </c>
      <c r="AP13" s="321" t="str">
        <f>+Inscrits!B7</f>
        <v>A5</v>
      </c>
      <c r="AQ13" s="286" t="str">
        <f t="shared" si="3"/>
        <v>0</v>
      </c>
      <c r="AR13" s="99" t="str">
        <f t="shared" si="4"/>
        <v>0</v>
      </c>
      <c r="AS13" s="219" t="str">
        <f t="shared" si="5"/>
        <v>0</v>
      </c>
      <c r="AT13" s="289">
        <f t="shared" si="6"/>
        <v>3</v>
      </c>
      <c r="AU13" s="99">
        <f t="shared" si="7"/>
        <v>7</v>
      </c>
      <c r="AV13" s="291">
        <f t="shared" si="8"/>
        <v>12</v>
      </c>
      <c r="AW13" s="286">
        <f t="shared" si="9"/>
        <v>3</v>
      </c>
      <c r="AX13" s="99">
        <f t="shared" si="10"/>
        <v>5</v>
      </c>
      <c r="AY13" s="291">
        <f t="shared" si="11"/>
        <v>14</v>
      </c>
      <c r="AZ13" s="286">
        <f t="shared" si="17"/>
        <v>6</v>
      </c>
      <c r="BA13" s="99">
        <f t="shared" si="12"/>
        <v>12</v>
      </c>
      <c r="BB13" s="291">
        <f t="shared" si="13"/>
        <v>26</v>
      </c>
      <c r="BC13" s="294">
        <f t="shared" si="14"/>
        <v>0</v>
      </c>
      <c r="BD13" s="7">
        <f t="shared" si="15"/>
        <v>12</v>
      </c>
      <c r="BE13" s="218">
        <f t="shared" si="16"/>
        <v>1.8774001300000001</v>
      </c>
      <c r="BF13" s="99">
        <f>IF(AP13="","",SMALL(BE$9:BE$62,ROWS(AZ$9:AZ13)))</f>
        <v>4.9384005100000001</v>
      </c>
      <c r="BG13" s="88"/>
      <c r="BH13" s="289" t="str">
        <f>IF(OR(AP13="",AZ13=""),"",INDEX($AP$9:$AP$63,MATCH(BF13,$BE$9:BE$62,0)))</f>
        <v>C7</v>
      </c>
      <c r="BI13" s="7">
        <f t="shared" si="0"/>
        <v>4</v>
      </c>
      <c r="BJ13" s="7">
        <f t="shared" si="1"/>
        <v>6</v>
      </c>
      <c r="BK13" s="7">
        <f t="shared" si="2"/>
        <v>16</v>
      </c>
      <c r="BL13" s="280">
        <f>IF(BF13="","",IF(AND(BI12=BI13,BJ12=BJ13,BK12=BK13),BL12,$BL$9+4))</f>
        <v>5</v>
      </c>
      <c r="BN13" s="3">
        <f>IF(BH13="","",IF(AND(BK12=BK13,BL12=BL13,BM12=BM13),BN12,$BL$9+15))</f>
        <v>16</v>
      </c>
      <c r="BO13" s="405">
        <f>IF(AND($K$5=8),4,IF(AND($K$5=9),5,IF(AND($K$5=10),6,IF(AND($K$5=11),7,IF(AND($K$5=12),8,IF(AND($K$5=13),9,IF(AND($K$5=14),10,IF(AND($K$5=15),11,IF(AND($K$5=16),12,IF(AND($K$5=17),13,IF(AND($K$5=18),14,IF(AND($K$5=19),15,IF(AND($K$5=20),16,IF(AND($K$5=21),17,IF(AND($K$5=22),18,IF(AND($K$5=23),19,IF(AND($K$5=24),20,IF(AND($K$5=25),21,IF(AND($K$5=26),22,IF(AND($K$5=27),23,IF(AND($K$5=28),24,IF(AND($K$5=29),25,IF(AND($K$5=30),26,IF(AND($K$5=31),27,IF(AND($K$5=32),28,IF(AND($K$5=33),29,IF(AND($K$5=34),30,IF(AND($K$5=35),31,IF(AND($K$5=36),32,IF(AND($K$5=37),33,IF(AND($K$5=38),34,IF(AND($K$5=39),35,IF(AND($K$5=40),36,IF(AND($K$5=41),37,IF(AND($K$5=42),38,IF(AND($K$5=43),39,IF(AND($K$5=44),40,IF(AND($K$5=45),41,IF(AND($K$5=46),42,IF(AND($K$5=47),43,IF(AND($K$5=48),44,IF(AND($K$5=49),45,IF(AND($K$5=50),46,IF(AND($K$5=51),47,IF(AND($K$5=52),48,IF(AND($K$5=53),49,IF(AND($K$5=54),50," ")))))))))))))))))))))))))))))))))))))))))))))))</f>
        <v>44</v>
      </c>
    </row>
    <row r="14" spans="1:67" ht="18" customHeight="1">
      <c r="A14" s="131">
        <v>5</v>
      </c>
      <c r="B14" s="393" t="s">
        <v>70</v>
      </c>
      <c r="C14" s="272">
        <f>IF($P$5&gt;=13,5,0)</f>
        <v>5</v>
      </c>
      <c r="D14" s="395" t="s">
        <v>88</v>
      </c>
      <c r="E14" s="272">
        <f>IF($P$5&gt;=14,5,0)</f>
        <v>5</v>
      </c>
      <c r="F14" s="24" t="s">
        <v>106</v>
      </c>
      <c r="G14" s="272">
        <f>IF($P$5&gt;=15,5,0)</f>
        <v>5</v>
      </c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M14" s="155"/>
      <c r="N14" s="82">
        <v>3</v>
      </c>
      <c r="O14" s="138" t="str">
        <f>IF($P$5=13,J14,IF($P$5=14,J14,IF($P$5=15,J14,IF($P$5=16,J14,IF($P$5=17,J14,IF($P$5=18,J14,IF($P$5=19,J14,IF($P$5=20,J14,IF($P$5=21,J14,IF($P$5=22,J14,IF($P$5=23,J14,IF($P$5=24,J14,IF($P$5=25,J14,IF($P$5=26,J14,IF($P$5=27,J14,IF($P$5=28,J14,IF($P$5=29,J14,IF($P$5=29,J14,IF($P$5=30,J14,IF($P$5=31,J14,IF($P$5=32,J14,IF($P$5=33,J14,IF($P$5=34,J14,IF($P$5=35,J14,IF($P$5=36,J14,IF($P$5=37,J14,IF($P$5=38,J14,IF($P$5=39,J14,IF($P$5=40,J14,IF($P$5=41,J14,IF($P$5=42,J14,IF($P$5=43,J14,IF($P$5=44,J14,IF($P$5=45,J14,IF($P$5=46,J14,IF($P$5=47,J14,IF($P$5=48,J14,IF($P$5=49,J14,IF($P$5=50,J14,IF($P$5=51,J14,IF($P$5=52,J14,IF($P$5=53,J14,IF($P$5=54,J14,0)))))))))))))))))))))))))))))))))))))))))))</f>
        <v>A5</v>
      </c>
      <c r="P14" s="139" t="str">
        <f>IF($P$5=13,L12,IF($P$5=14,L12,IF($P$5=15,L12,IF($P$5=16,K14,IF($P$5=17,K14,IF($P$5=18,K14,IF($P$5=19,K14,IF($P$5=20,K14,IF($P$5=21,K14,IF($P$5=22,K14,IF($P$5=23,K14,IF($P$5=24,K14,IF($P$5=25,K14,IF($P$5=26,K14,IF($P$5=27,K14,IF($P$5=28,K14,IF($P$5=29,K14,IF($P$5=30,K14,IF($P$5=31,K14,IF($P$5=32,K14,IF($P$5=33,K14,IF($P$5=34,K14,IF($P$5=35,K14,IF($P$5=36,K14,IF($P$5=37,K14,IF($P$5=38,K14,IF($P$5=39,K14,IF($P$5=40,K14,IF($P$5=41,K14,IF($P$5=42,K14,IF($P$5=43,K14,IF($P$5=44,K14,IF($P$5=45,K14,IF($P$5=46,K14,IF($P$5=47,K14,IF($P$5=48,K14,IF($P$5=49,K14,IF($P$5=50,K14,IF($P$5=51,K14,IF($P$5=52,K14,IF($P$5=53,K14,IF($P$5=54,K14,0))))))))))))))))))))))))))))))))))))))))))</f>
        <v>B5</v>
      </c>
      <c r="Q14" s="153" t="str">
        <f>IF($P$5=17,L14,IF($P$5=18,L14,IF($P$5=21,L14,IF($P$5=22,L14,IF($P$5=23,L14,IF($P$5=24,L14,IF($P$5=25,L14,IF($P$5=26,L14,IF($P$5=27,L14,IF($P$5=28,L14,IF($P$5=29,L14,IF($P$5=30,L14,IF($P$5=31,L14,IF($P$5=32,L14,IF($P$5=33,L14,IF($P$5=34,L14,IF($P$5=35,L14,IF($P$5=36,L14,IF($P$5=37,L14,IF($P$5=38,L14,IF($P$5=39,L14,IF($P$5=40,L14,IF($P$5=41,L14,IF($P$5=42,L14,IF($P$5=43,L14,IF($P$5=44,L14,IF($P$5=45,L14,IF($P$5=46,L14,IF($P$5=47,L14,IF($P$5=48,L14,IF($P$5=49,L14,IF($P$5=50,L14,IF($P$5=51,L14,IF($P$5=52,L14,IF($P$5=53,L14,IF($P$5=54,L14,0))))))))))))))))))))))))))))))))))))</f>
        <v>C5</v>
      </c>
      <c r="R14" s="160" t="str">
        <f>IF($P$5=13,J13,IF($P$5=14,J10,IF($P$5=15,J10,IF($P$5=16,J15,IF($P$5=17,J11,IF($P$5=18,J13,IF($P$5=19,J14,IF($P$5=20,J14,IF($P$5=21,J13,IF($P$5=22,J15,IF($P$5=23,O16,IF($P$5=24,J15,IF($P$5=25,J15,IF($P$5=26,J15,IF($P$5=27,J15,IF($P$5=28,J15,IF($P$5=29,J15,IF($P$5=30,J15,IF($P$5=31,J15,IF($P$5=32,J15,IF($P$5=33,J15,IF($P$5=34,J15,IF($P$5=35,J15,IF($P$5=36,J15,IF($P$5=37,J15,IF($P$5=38,J15,IF($P$5=39,J15,IF($P$5=40,J15,IF($P$5=41,J15,IF($P$5=42,J15,IF($P$5=43,J15,IF($P$5=44,J15,IF($P$5=45,J15,IF($P$5=46,J15,IF($P$5=47,J15,IF($P$5=48,J15,IF($P$5=49,J15,IF($P$5=50,J15,IF($P$5=51,J15,IF($P$5=52,J15,IF($P$5=53,J15,IF($P$5=54,J15,0))))))))))))))))))))))))))))))))))))))))))</f>
        <v>A6</v>
      </c>
      <c r="S14" s="163" t="str">
        <f>IF($P$5=13,P14,IF($P$5=14,L11,IF($P$5=15,Q11,IF($P$5=16,K11,IF($P$5=17,K15,IF($P$5=18,K15,IF($P$5=19,P10,IF($P$5=20,K11,IF($P$5=21,K15,IF($P$5=22,Q11,IF($P$5=23,P17,IF($P$5=24,K17,IF($P$5=25,K16,IF($P$5=26,K17,IF($P$5=27,K15,IF($P$5=28,K17,IF($P$5=29,P16,IF($P$5=30,P14,IF($P$5=31,K17,IF($P$5=32,K17,IF($P$5=33,K17,IF($P$5=34,K17,IF($P$5=35,K17,IF($P$5=36,K16,IF($P$5=37,K16,IF($P$5=38,K16,IF($P$5=39,K16,IF($P$5=40,K16,IF($P$5=41,K16,IF($P$5=42,K16,IF($P$5=43,K16,IF($P$5=44,K16,IF($P$5=45,K16,IF($P$5=46,K16,IF($P$5=47,K16,IF($P$5=48,K16,IF($P$5=49,K16,IF($P$5=50,K16,IF($P$5=51,K16,IF($P$5=52,K16,IF($P$5=53,K16,IF($P$5=54,K16,0))))))))))))))))))))))))))))))))))))))))))</f>
        <v>B7</v>
      </c>
      <c r="T14" s="182" t="str">
        <f>IF($P$5=17,L10,IF($P$5=18,Q10,IF($P$5=20,0,IF($P$5=21,Q14,IF($P$5=22,P17,IF($P$5=23,Q15,IF($P$5=24,Q16,IF($P$5=25,Q14,IF($P$5=26,Q14,IF($P$5=27,L15,IF($P$5=28,Q16,IF($P$5=29,Q13,IF($P$5=30,L11,IF($P$5=31,L16,IF($P$5=32,L16,IF($P$5=33,L16,IF($P$5=34,L16,IF($P$5=35,L16,IF($P$5=36,L17,IF($P$5=37,L17,IF($P$5=38,L17,IF($P$5=39,L17,IF($P$5=40,L17,IF($P$5=41,L17,IF($P$5=42,L17,IF($P$5=43,L17,IF($P$5=44,L17,IF($P$5=45,L17,IF($P$5=46,L17,IF($P$5=47,L17,IF($P$5=48,L17,IF($P$5=49,L17,IF($P$5=50,L17,IF($P$5=51,L17,IF($P$5=52,L17,IF($P$5=53,L17,IF($P$5=54,L17,0)))))))))))))))))))))))))))))))))))))</f>
        <v>C8</v>
      </c>
      <c r="U14" s="160" t="str">
        <f>IF($P$5=13,R10,IF($P$5=14,R10,IF($P$5=15,R10,IF($P$5=16,R12,IF($P$5=17,R14,IF($P$5=18,R13,IF($P$5=19,R10,IF($P$5=20,R14,IF($P$5=21,R11,IF($P$5=22,R13,IF($P$5=23,R17,IF($P$5=24,R10,IF($P$5=25,R10,IF($P$5=26,R10,IF($P$5=27,R10,IF($P$5=28,R10,IF($P$5=29,R10,IF($P$5=30,R10,IF($P$5=31,R14,IF($P$5=32,R14,IF($P$5=33,R14,IF($P$5=34,R14,IF($P$5=35,R14,IF($P$5=36,R15,IF($P$5=37,R15,IF($P$5=38,R15,IF($P$5=39,R15,IF($P$5=40,R15,IF($P$5=41,R15,IF($P$5=42,O16,IF($P$5=43,R15,IF($P$5=44,R15,IF($P$5=45,R15,IF($P$5=46,R15,IF($P$5=47,R15,IF($P$5=48,R15,IF($P$5=49,R15,IF($P$5=50,O16,IF($P$5=51,O16,IF($P$5=52,O16,IF($P$5=53,O16,IF($P$5=54,O16,0))))))))))))))))))))))))))))))))))))))))))</f>
        <v>A7</v>
      </c>
      <c r="V14" s="157" t="str">
        <f>IF($P$5=13,S13,IF($P$5=14,S15,IF($P$5=15,S15,IF($P$5=16,S13,IF($P$5=17,S15,IF($P$5=18,S15,IF($P$5=19,S13,IF($P$5=20,S15,IF($P$5=21,S10,IF($P$5=22,S17,IF($P$5=23,S12,IF($P$5=24,S11,IF($P$5=25,S15,IF($P$5=26,S15,IF($P$5=27,S15,IF($P$5=28,S15,IF($P$5=29,S14,IF($P$5=30,S15,IF($P$5=31,T11,IF($P$5=32,S15,IF($P$5=33,S15,IF($P$5=34,S15,IF($P$5=35,S15,IF($P$5=36,S16,IF($P$5=37,S16,IF($P$5=38,S16,IF($P$5=39,S16,IF($P$5=40,S16,IF($P$5=41,S16,IF($P$5=42,S16,IF($P$5=43,S16,IF($P$5=44,S16,IF($P$5=45,S16,IF($P$5=46,S16,IF($P$5=47,S16,IF($P$5=48,S16,IF($P$5=49,S16,IF($P$5=50,S16,IF($P$5=51,S16,IF($P$5=52,S16,IF($P$5=53,S16,IF($P$5=54,S16,0))))))))))))))))))))))))))))))))))))))))))</f>
        <v>B9</v>
      </c>
      <c r="W14" s="172" t="str">
        <f>IF($P$5=17,T10,IF($P$5=18,T11,IF($P$5=21,T14,IF($P$5=22,T11,IF($P$5=23,T15,IF($P$5=24,T16,IF($P$5=25,T14,IF($P$5=26,S17,IF($P$5=27,T16,IF($P$5=28,T16,IF($P$5=29,T16,IF($P$5=30,T16,IF($P$5=31,S19,IF($P$5=32,T13,IF($P$5=33,T16,IF($P$5=34,T18,IF($P$5=35,T17,IF($P$5=36,T17,IF($P$5=37,T17,IF($P$5=38,T17,IF($P$5=39,T17,IF($P$5=40,T17,IF($P$5=41,T17,IF($P$5=42,T17,IF($P$5=43,T17,IF($P$5=44,T17,IF($P$5=45,T17,IF($P$5=46,T17,IF($P$5=47,T17,IF($P$5=48,T17,IF($P$5=49,T17,IF($P$5=50,T17,IF($P$5=51,T17,IF($P$5=52,T17,IF($P$5=53,T17,IF($P$5=54,T17,0))))))))))))))))))))))))))))))))))))</f>
        <v>C11</v>
      </c>
      <c r="Y14" s="447"/>
      <c r="Z14" s="32"/>
      <c r="AA14" s="230" t="s">
        <v>5</v>
      </c>
      <c r="AB14" s="21"/>
      <c r="AC14" s="22"/>
      <c r="AD14" s="25"/>
      <c r="AE14" s="32"/>
      <c r="AF14" s="230" t="s">
        <v>5</v>
      </c>
      <c r="AG14" s="21"/>
      <c r="AH14" s="22"/>
      <c r="AI14" s="25"/>
      <c r="AJ14" s="32"/>
      <c r="AK14" s="230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 t="str">
        <f t="shared" si="3"/>
        <v>0</v>
      </c>
      <c r="AR14" s="99" t="str">
        <f t="shared" si="4"/>
        <v>0</v>
      </c>
      <c r="AS14" s="219" t="str">
        <f t="shared" si="5"/>
        <v>0</v>
      </c>
      <c r="AT14" s="289" t="str">
        <f t="shared" si="6"/>
        <v>0</v>
      </c>
      <c r="AU14" s="99" t="str">
        <f t="shared" si="7"/>
        <v>0</v>
      </c>
      <c r="AV14" s="291" t="str">
        <f t="shared" si="8"/>
        <v>0</v>
      </c>
      <c r="AW14" s="286">
        <f t="shared" si="9"/>
        <v>1</v>
      </c>
      <c r="AX14" s="99">
        <f t="shared" si="10"/>
        <v>-5</v>
      </c>
      <c r="AY14" s="291">
        <f t="shared" si="11"/>
        <v>9</v>
      </c>
      <c r="AZ14" s="286">
        <f t="shared" si="17"/>
        <v>1</v>
      </c>
      <c r="BA14" s="99">
        <f t="shared" si="12"/>
        <v>-5</v>
      </c>
      <c r="BB14" s="291">
        <f t="shared" si="13"/>
        <v>9</v>
      </c>
      <c r="BC14" s="294">
        <f t="shared" si="14"/>
        <v>-5</v>
      </c>
      <c r="BD14" s="7">
        <f t="shared" si="15"/>
        <v>0</v>
      </c>
      <c r="BE14" s="218">
        <f t="shared" si="16"/>
        <v>18.04910014</v>
      </c>
      <c r="BF14" s="99">
        <f>IF(AP14="","",SMALL(BE$9:BE$62,ROWS(AZ$9:AZ14)))</f>
        <v>4.9883002900000006</v>
      </c>
      <c r="BG14" s="88"/>
      <c r="BH14" s="289" t="str">
        <f>IF(OR(AP14="",AZ14=""),"",INDEX($AP$9:$AP$63,MATCH(BF14,$BE$9:BE$62,0)))</f>
        <v>B3</v>
      </c>
      <c r="BI14" s="7">
        <f t="shared" si="0"/>
        <v>4</v>
      </c>
      <c r="BJ14" s="7">
        <f t="shared" si="1"/>
        <v>1</v>
      </c>
      <c r="BK14" s="7">
        <f t="shared" si="2"/>
        <v>17</v>
      </c>
      <c r="BL14" s="280">
        <f>IF(BF14="","",IF(AND(BI13=BI14,BJ13=BJ14,BK13=BK14),BL13,$BL$9+5))</f>
        <v>6</v>
      </c>
      <c r="BN14" s="3">
        <f>IF(BH14="","",IF(AND(BK13=BK14,BL13=BL14,BM13=BM14),BN13,$BL$9+14))</f>
        <v>15</v>
      </c>
      <c r="BO14" s="405">
        <f>IF(AND($K$5=8),3,IF(AND($K$5=9),4,IF(AND($K$5=10),5,IF(AND($K$5=11),6,IF(AND($K$5=12),7,IF(AND($K$5=13),8,IF(AND($K$5=14),9,IF(AND($K$5=15),10,IF(AND($K$5=16),11,IF(AND($K$5=17),12,IF(AND($K$5=18),13,IF(AND($K$5=19),14,IF(AND($K$5=20),15,IF(AND($K$5=21),16,IF(AND($K$5=22),17,IF(AND($K$5=23),18,IF(AND($K$5=24),19,IF(AND($K$5=25),20,IF(AND($K$5=26),21,IF(AND($K$5=27),22,IF(AND($K$5=28),23,IF(AND($K$5=29),24,IF(AND($K$5=30),25,IF(AND($K$5=31),26,IF(AND($K$5=32),27,IF(AND($K$5=33),28,IF(AND($K$5=34),29,IF(AND($K$5=35),30,IF(AND($K$5=36),31,IF(AND($K$5=37),32,IF(AND($K$5=38),33,IF(AND($K$5=39),34,IF(AND($K$5=40),35,IF(AND($K$5=41),36,IF(AND($K$5=42),37,IF(AND($K$5=43),38,IF(AND($K$5=44),39,IF(AND($K$5=45),40,IF(AND($K$5=46),41,IF(AND($K$5=47),42,IF(AND($K$5=48),43,IF(AND($K$5=49),44,IF(AND($K$5=50),45,IF(AND($K$5=51),46,IF(AND($K$5=52),47,IF(AND($K$5=53),48,IF(AND($K$5=54),49," ")))))))))))))))))))))))))))))))))))))))))))))))</f>
        <v>43</v>
      </c>
    </row>
    <row r="15" spans="1:67" ht="18" customHeight="1" thickBot="1">
      <c r="A15" s="131">
        <v>6</v>
      </c>
      <c r="B15" s="393" t="s">
        <v>71</v>
      </c>
      <c r="C15" s="272">
        <f>IF($P$5&gt;=16,6,0)</f>
        <v>6</v>
      </c>
      <c r="D15" s="395" t="s">
        <v>89</v>
      </c>
      <c r="E15" s="272">
        <f>IF($P$5&gt;=17,6,0)</f>
        <v>6</v>
      </c>
      <c r="F15" s="24" t="s">
        <v>107</v>
      </c>
      <c r="G15" s="272">
        <f>IF($P$5&gt;=18,6,0)</f>
        <v>6</v>
      </c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M15" s="155"/>
      <c r="N15" s="52" t="s">
        <v>5</v>
      </c>
      <c r="O15" s="141" t="str">
        <f>IF($P$5=13,K13,IF($P$5=14,K14,IF($P$5=15,K14,IF($P$5=16,J15,IF($P$5=17,J15,IF($P5=18,J15,IF($P$5=19,J15,IF($P$5=20,J15,IF($P$5=21,J15,IF($P$5=22,J15,IF($P$5=23,J15,IF($P$5=24,J15,IF($P$5=25,J15,IF($P$5=26,J15,IF($P$5=27,J15,IF($P$5=28,J15,IF($P$5=29,J15,IF($P$5=30,J15,IF($P$5=31,J15,IF($P$5=32,J15,IF($P$5=33,J15,IF($P$5=34,J15,IF($P$5=35,J15,IF($P$5=36,J15,IF($P$5=37,J15,IF($P$5=38,J15,IF($P$5=39,J15,IF($P$5=40,J15,IF($P$5=41,J15,IF($P$5=42,J15,IF($P$5=43,J15,IF($P$5=44,J15,IF($P$5=45,J15,IF($P$5=46,J15,IF($P$5=47,J15,IF($P$5=48,J15,IF($P$5=49,J15,IF($P$5=50,J15,IF($P$5=51,J15,IF($P$5=52,J15,IF($P$5=53,J15,IF($P$5=54,J15,0))))))))))))))))))))))))))))))))))))))))))</f>
        <v>A6</v>
      </c>
      <c r="P15" s="142" t="str">
        <f>IF($P$5=13,L13,IF($P$5=14,L13,IF($P$5=15,L13,IF($P$5=16,L14,IF($P$5=17,K15,IF($P$5=18,K15,IF($P$5=19,L13,IF($P$5=20,K15,IF($P$5=21,K15,IF($P$5=22,K15,IF($P$5=23,K15,IF($P$5=24,K15,IF($P$5=25,K15,IF($P$5=26,K15,IF($P$5=27,K15,IF($P$5=28,K15,IF($P$5=29,K15,IF($P$5=30,K15,IF($P$5=31,K15,IF($P$5=32,K15,IF($P$5=33,K15,IF($P$5=34,K15,IF($P$5=35,K15,IF($P$5=36,K15,IF($P$5=37,K15,IF($P$5=38,K15,IF($P$5=39,K15,IF($P$5=40,K15,IF($P$5=41,K15,IF($P$5=42,K15,IF($P$5=43,K15,IF($P$5=44,K15,IF($P$5=45,K15,IF($P$5=46,K15,IF($P$5=47,K15,IF($P$5=48,K15,IF($P$5=49,K15,IF($P$5=50,K15,IF($P$5=51,K15,IF($P$5=52,K15,IF($P$5=53,K15,IF($P$5=54,K15,0))))))))))))))))))))))))))))))))))))))))))</f>
        <v>B6</v>
      </c>
      <c r="Q15" s="152" t="str">
        <f>IF($P$5=18,L15,IF($P$5=22,L15,IF($P$5=23,L15,IF(P$5=24,L15,IF($P$5=26,L15,IF($P$5=27,L15,IF($P$5=28,L15,IF($P$5=29,L15,IF($P$5=30,L15,IF($P$5=31,L15,IF($P$5=32,L15,IF($P$5=33,L15,IF($P$5=34,L15,IF($P$5=35,L15,IF($P$5=36,L15,IF($P$5=37,L15,IF($P$5=38,L15,IF($P$5=39,L15,IF($P$5=40,L15,IF($P$5=41,L15,IF($P$5=42,L15,IF($P$5=43,L15,IF($P$5=44,L15,IF($P$5=45,L15,IF($P$5=46,L15,IF($P$5=47,L15,IF($P$5=48,L15,IF($P$5=49,L15,IF($P$5=50,L15,IF($P$5=51,L15,IF($P$5=52,L15,IF($P$5=53,L15,IF($P$5=54,L15,0)))))))))))))))))))))))))))))))))</f>
        <v>C6</v>
      </c>
      <c r="R15" s="164" t="str">
        <f>IF($P$5=13,K10,IF($P$5=14,O15,IF($P$5=15,O15,IF($P$5=16,J10,IF($P$5=17,J15,IF($P$5=18,J15,IF($P$5=19,J15,IF($P$5=20,J15,IF($P$5=21,J15,IF($P$5=22,J16,IF($P$5=23,O15,IF($P$5=24,J16,IF($P$5=25,J16,IF($P$5=26,J16,IF($P$5=27,J16,IF($P$5=28,J16,IF($P$5=29,O16,IF($P$5=30,J16,IF($P$5=31,J16,IF($P$5=32,J16,IF($P$5=33,J16,IF($P$5=34,J16,IF($P$5=35,J16,IF($P$5=36,J16,IF($P$5=37,J16,IF($P$5=38,J16,IF($P$5=39,J16,IF($P$5=40,J16,IF($P$5=41,J16,IF($P$5=42,J16,IF($P$5=43,J16,IF($P$5=44,J16,IF($P$5=45,J16,IF($P$5=46,J16,IF($P$5=47,J16,IF($P$5=48,J16,IF($P$5=49,J16,IF($P$5=50,J16,IF($P$5=51,J16,IF($P$5=52,J16,IF($P$5=53,J16,IF($P$5=54,J16,0))))))))))))))))))))))))))))))))))))))))))</f>
        <v>A7</v>
      </c>
      <c r="S15" s="159" t="str">
        <f>IF($P$5=13,O15,IF($P$5=14,P14,IF($P$5=15,Q10,IF($P$5=16,L12,IF(P$5=17,P10,IF($P$5=18,K10,IF($P$5=19,L11,IF($P$5=20,K13,IF($P$5=21,L10,IF($P$5=22,P15,IF($P$5=23,P10,IF($P$5=24,K13,IF($P$5=25,K15,IF($P$5=26,K13,IF($P$5=27,K16,IF($P$5=28,P12,IF($P$5=29,P17,IF($P$5=30,P17,IF($P$5=31,K15,IF($P$5=32,K18,IF($P$5=33,K18,IF($P$5=34,K18,IF($P$5=35,K18,IF($P$5=36,K17,IF($P$5=37,K17,IF($P$5=38,K17,IF($P$5=39,K17,IF($P$5=40,K17,IF($P$5=41,K17,IF($P$5=42,K17,IF($P$5=43,K17,IF($P$5=44,K17,IF($P$5=45,K17,IF($P$5=46,K17,IF($P$5=47,K17,IF($P$5=48,K17,IF($P$5=49,K17,IF($P$5=50,K17,IF($P$5=51,K17,IF($P$5=52,K17,IF($P$5=53,K17,IF($P$5=54,K17,0))))))))))))))))))))))))))))))))))))))))))</f>
        <v>B8</v>
      </c>
      <c r="T15" s="183" t="str">
        <f>IF($P$5=17,0,IF($P$5=18,Q11,IF($P$5=21,0,IF($P$5=22,L10,IF($P$5=23,Q14,IF($P$5=24,Q14,IF($P$5=25,0,IF($P$5=26,P18,IF($P$5=27,Q14,IF($P$5=28,Q15,IF($P$5=29,Q15,IF($P$5=30,Q18,IF($P$5=31,L10,IF($P$5=32,L15,IF($P$5=33,L15,IF($P$5=34,L15,IF($P$5=35,L15,IF($P$5=36,L18,IF($P$5=37,L18,IF($P$5=38,L18,IF($P$5=39,L18,IF($P$5=40,L18,IF($P$5=41,L18,IF($P$5=42,L18,IF($P$5=43,L18,IF($P$5=44,L18,IF($P$5=45,L18,IF($P$5=46,L18,IF($P$5=47,L18,IF($P$5=48,L18,IF($P$5=49,L18,IF($P$5=50,L18,IF($P$5=51,L18,IF($P$5=52,L18,IF($P$5=53,L18,IF($P$5=54,L18,0))))))))))))))))))))))))))))))))))))</f>
        <v>C9</v>
      </c>
      <c r="U15" s="185" t="str">
        <f>IF($P$5=13,S15,IF($P$5=14,R15,IF($P$5=15,R15,IF($P$5=16,R10,IF($P$5=17,R15,IF($P$5=18,R15,IF($P$5=19,R15,IF($P$5=20,R15,IF($P$5=21,R15,IF($P$5=22,R15,IF($P$5=23,R14,IF($P$5=24,R15,IF($P$5=25,R15,IF($P$5=26,R15,IF($P$5=27,R15,IF($P$5=28,R15,IF($P$5=29,R15,IF($P$5=30,R15,IF($P$5=31,R15,IF($P$5=32,R16,IF($P$5=33,R16,IF($P$5=34,R16,IF($P$5=35,R16,IF($P$5=36,R16,IF($P$5=37,R16,IF($P$5=38,R16,IF($P$5=39,R16,IF($P$5=40,R16,IF($P$5=41,R16,IF($P$5=42,O17,IF($P$5=43,R16,IF($P$5=44,R16,IF($P$5=45,R16,IF($P$5=46,R16,IF($P$5=47,R16,IF($P$5=48,R16,IF($P$5=49,R16,IF($P$5=50,O17,IF($P$5=51,O17,IF($P$5=52,O17,IF($P$5=53,O17,IF($P$5=54,O17,0))))))))))))))))))))))))))))))))))))))))))</f>
        <v>A8</v>
      </c>
      <c r="V15" s="162" t="str">
        <f>IF($P$5=13,S14,IF($P$5=14,S10,IF($P$5=15,T10,IF($P$5=16,T12,IF($P$5=17,S12,IF($P$5=18,S12,IF($P$5=19,T11,IF($P$5=20,S12,IF($P$5=21,T10,IF($P$5=22,S16,IF($P$5=23,S16,IF($P$5=24,S16,IF($P$5=25,S18,IF($P$5=26,S16,IF($P$5=27,S16,IF($P$5=28,S16,IF($P$5=29,S16,IF($P$5=30,S16,IF($P$5=31,S10,IF($P$5=32,S21,IF($P$5=33,S17,IF($P$5=34,S17,IF($P$5=35,S19,IF($P$5=36,S17,IF($P$5=37,S17,IF($P$5=38,S17,IF($P$5=39,S17,IF($P$5=40,S17,IF($P$5=41,S17,IF($P$5=42,S17,IF($P$5=43,S17,IF($P$5=44,S17,IF($P$5=45,S17,IF($P$5=46,S17,IF($P$5=47,S17,IF($P$5=48,S17,IF($P$5=49,S17,IF($P$5=50,S17,IF($P$5=51,S17,IF($P$5=52,S17,IF($P$5=53,S17,IF($P$5=54,S17,0))))))))))))))))))))))))))))))))))))))))))</f>
        <v>B10</v>
      </c>
      <c r="W15" s="174" t="str">
        <f>IF($P$5=18,T10,IF($P$5=22,S14,IF($P$5=23,T10,IF($P$5=24,T17,IF($P$5=26,T11,IF($P$5=27,S17,IF($P$5=28,T17,IF($P$5=29,T17,IF($P$5=30,T17,IF($P$5=31,S20,IF($P$5=32,T15,IF($P$5=33,T13,IF($P$5=34,T13,IF($P$5=35,T13,IF($P$5=36,T18,IF($P$5=37,T18,IF($P$5=38,T18,IF($P$5=39,S23,IF($P$5=40,T18,IF($P$5=41,T18,IF($P$5=42,T18,IF($P$5=43,T18,IF($P$5=44,T18,IF($P$5=45,T18,IF($P$5=46,T18,IF($P$5=47,T18,IF($P$5=48,T18,IF($P$5=49,T18,IF($P$5=50,T18,IF($P$5=51,T18,IF($P$5=52,T18,IF($P$5=53,T18,IF($P$5=54,T18,0)))))))))))))))))))))))))))))))))</f>
        <v>C12</v>
      </c>
      <c r="Y15" s="447"/>
      <c r="Z15" s="14" t="str">
        <f>+O11</f>
        <v>A2</v>
      </c>
      <c r="AA15" s="34">
        <v>6</v>
      </c>
      <c r="AB15" s="30">
        <f>IF(AA11+AA15=0,0,IF(AA11=AA15,2,IF(AA11&lt;AA15,3,1)))</f>
        <v>3</v>
      </c>
      <c r="AC15" s="15">
        <f>AA15-AA11</f>
        <v>1</v>
      </c>
      <c r="AD15" s="24"/>
      <c r="AE15" s="14" t="str">
        <f>+R11</f>
        <v>A3</v>
      </c>
      <c r="AF15" s="127">
        <v>10</v>
      </c>
      <c r="AG15" s="30">
        <f>IF(AF11+AF15=0,0,IF(AF11=AF15,2,IF(AF11&lt;AF15,3,1)))</f>
        <v>3</v>
      </c>
      <c r="AH15" s="15">
        <f>AF15-AF11</f>
        <v>5</v>
      </c>
      <c r="AI15" s="24"/>
      <c r="AJ15" s="14" t="str">
        <f>+U11</f>
        <v>A4</v>
      </c>
      <c r="AK15" s="37">
        <v>5</v>
      </c>
      <c r="AL15" s="30">
        <f>IF(AK11+AK15=0,0,IF(AK11=AK15,2,IF(AK11&lt;AK15,3,1)))</f>
        <v>3</v>
      </c>
      <c r="AM15" s="15">
        <f>AK15-AK11</f>
        <v>1</v>
      </c>
      <c r="AN15" s="23"/>
      <c r="AO15" s="54">
        <v>7</v>
      </c>
      <c r="AP15" s="321" t="str">
        <f>+Inscrits!B9</f>
        <v>A7</v>
      </c>
      <c r="AQ15" s="286" t="str">
        <f t="shared" si="3"/>
        <v>0</v>
      </c>
      <c r="AR15" s="99" t="str">
        <f t="shared" si="4"/>
        <v>0</v>
      </c>
      <c r="AS15" s="219" t="str">
        <f t="shared" si="5"/>
        <v>0</v>
      </c>
      <c r="AT15" s="289" t="str">
        <f t="shared" si="6"/>
        <v>0</v>
      </c>
      <c r="AU15" s="99" t="str">
        <f t="shared" si="7"/>
        <v>0</v>
      </c>
      <c r="AV15" s="291" t="str">
        <f t="shared" si="8"/>
        <v>0</v>
      </c>
      <c r="AW15" s="286" t="str">
        <f t="shared" si="9"/>
        <v>0</v>
      </c>
      <c r="AX15" s="99" t="str">
        <f t="shared" si="10"/>
        <v>0</v>
      </c>
      <c r="AY15" s="291" t="str">
        <f t="shared" si="11"/>
        <v>0</v>
      </c>
      <c r="AZ15" s="286">
        <f t="shared" si="17"/>
        <v>0</v>
      </c>
      <c r="BA15" s="99">
        <f t="shared" si="12"/>
        <v>0</v>
      </c>
      <c r="BB15" s="291">
        <f t="shared" si="13"/>
        <v>0</v>
      </c>
      <c r="BC15" s="294">
        <f t="shared" si="14"/>
        <v>0</v>
      </c>
      <c r="BD15" s="7">
        <f t="shared" si="15"/>
        <v>0</v>
      </c>
      <c r="BE15" s="218">
        <f t="shared" si="16"/>
        <v>25.000000150000002</v>
      </c>
      <c r="BF15" s="99">
        <f>IF(AP15="","",SMALL(BE$9:BE$62,ROWS(AZ$9:AZ15)))</f>
        <v>5.0084002999999999</v>
      </c>
      <c r="BG15" s="88"/>
      <c r="BH15" s="289" t="str">
        <f>IF(OR(AP15="",AZ15=""),"",INDEX($AP$9:$AP$63,MATCH(BF15,$BE$9:BE$62,0)))</f>
        <v>B4</v>
      </c>
      <c r="BI15" s="7">
        <f t="shared" si="0"/>
        <v>4</v>
      </c>
      <c r="BJ15" s="7">
        <f t="shared" si="1"/>
        <v>-1</v>
      </c>
      <c r="BK15" s="7">
        <f t="shared" si="2"/>
        <v>16</v>
      </c>
      <c r="BL15" s="280">
        <f>IF(BF15="","",IF(AND(BI14=BI15,BJ14=BJ15,BK14=BK15),BL14,$BL$9+6))</f>
        <v>7</v>
      </c>
      <c r="BN15" s="3">
        <f>IF(BH15="","",IF(AND(BK14=BK15,BL14=BL15,BM14=BM15),BN14,$BL$9+13))</f>
        <v>14</v>
      </c>
      <c r="BO15" s="405">
        <f>IF(AND($K$5=8),2,IF(AND($K$5=9),3,IF(AND($K$5=10),4,IF(AND($K$5=11),5,IF(AND($K$5=12),6,IF(AND($K$5=13),7,IF(AND($K$5=14),8,IF(AND($K$5=15),9,IF(AND($K$5=16),10,IF(AND($K$5=17),11,IF(AND($K$5=18),12,IF(AND($K$5=19),13,IF(AND($K$5=20),14,IF(AND($K$5=21),15,IF(AND($K$5=22),16,IF(AND($K$5=23),17,IF(AND($K$5=24),18,IF(AND($K$5=25),19,IF(AND($K$5=26),20,IF(AND($K$5=27),21,IF(AND($K$5=28),22,IF(AND($K$5=29),23,IF(AND($K$5=30),24,IF(AND($K$5=31),25,IF(AND($K$5=32),26,IF(AND($K$5=33),27,IF(AND($K$5=34),28,IF(AND($K$5=35),29,IF(AND($K$5=36),30,IF(AND($K$5=37),31,IF(AND($K$5=38),32,IF(AND($K$5=39),33,IF(AND($K$5=40),34,IF(AND($K$5=41),35,IF(AND($K$5=42),36,IF(AND($K$5=43),37,IF(AND($K$5=44),38,IF(AND($K$5=45),39,IF(AND($K$5=46),40,IF(AND($K$5=47),41,IF(AND($K$5=48),42,IF(AND($K$5=49),43,IF(AND($K$5=50),44,IF(AND($K$5=51),45,IF(AND($K$5=52),46,IF(AND($K$5=53),47,IF(AND($K$5=54),48," ")))))))))))))))))))))))))))))))))))))))))))))))</f>
        <v>42</v>
      </c>
    </row>
    <row r="16" spans="1:67" ht="18" customHeight="1" thickBot="1">
      <c r="A16" s="131">
        <v>7</v>
      </c>
      <c r="B16" s="393" t="s">
        <v>72</v>
      </c>
      <c r="C16" s="272">
        <f>IF($P$5&gt;=19,7,0)</f>
        <v>7</v>
      </c>
      <c r="D16" s="395" t="s">
        <v>90</v>
      </c>
      <c r="E16" s="272">
        <f>IF($P$5&gt;=20,7,0)</f>
        <v>7</v>
      </c>
      <c r="F16" s="24" t="s">
        <v>108</v>
      </c>
      <c r="G16" s="272">
        <f>IF($P$5&gt;=21,7,0)</f>
        <v>7</v>
      </c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M16" s="155"/>
      <c r="N16" s="82">
        <v>4</v>
      </c>
      <c r="O16" s="138" t="str">
        <f>IF($P$5=19,J16,IF($P$5=20,J16,IF($P$5=21,J16,IF($P$5=22,J16,IF($P$5=23,J16,IF(P$5=24,J16,IF($P$5=25,J16,IF($P$5=26,J16,IF(P$5=27,J16,IF($P$5=28,J16,IF($P$5=29,J16,IF($P$5=30,J16,IF($P$5=31,J16,IF($P$5=32,J16,IF($P$5=33,J16,IF($P$5=34,J16,IF($P$5=35,J16,IF($P$5=36,J16,IF($P$5=37,J16,IF($P$5=38,J16,IF($P$5=39,J16,IF($P$5=40,J16,IF($P$5=41,J16,IF($P$5=42,J16,IF($P$5=43,J16,IF($P$5=44,J16,IF($P$5=45,J16,IF($P$5=46,J16,IF($P$5=47,J16,IF($P$5=48,J16,IF($P$5=49,J16,IF($P$5=50,J16,IF($P$5=51,J16,IF($P$5=52,J16,IF($P$5=53,J16,IF($P$5=54,J16,0))))))))))))))))))))))))))))))))))))</f>
        <v>A7</v>
      </c>
      <c r="P16" s="139" t="str">
        <f>IF($P$5=19,L15,IF($P$5=20,L14,IF($P$5=21,L15,IF($P$5=22,K16,IF($P$5=23,K16,IF($P$5=24,K16,IF($P$5=25,K16,IF($P$5=26,K16,IF($P$5=27,K16,IF($P$5=28,K16,IF($P$5=29,K16,IF($P$5=30,K16,IF($P$5=31,K16,IF($P$5=32,K16,IF($P$5=33,K16,IF($P$5=34,K16,IF($P$5=35,K16,IF($P$5=36,K16,IF($P$5=37,K16,IF($P$5=38,K16,IF($P$5=39,K16,IF($P$5=40,K16,IF($P$5=41,K16,IF($P$5=42,K16,IF($P$5=43,K16,IF($P$5=44,K16,IF($P$5=45,K16,IF($P$5=46,K16,IF($P$5=47,K16,IF($P$5=48,K16,IF($P$5=49,K16,IF($P$5=50,K16,IF($P$5=51,K16,IF($P$5=52,I16,IF($P$5=53,K16,IF($P$5=54,K16,0))))))))))))))))))))))))))))))))))))</f>
        <v>B7</v>
      </c>
      <c r="Q16" s="153" t="str">
        <f>IF($P$5=23,L16,IF($P$5=24,L16,IF($P$5=27,L16,IF($P$5=28,L16,IF($P$5=29,L16,IF($P$5=30,L16,IF($P$5=31,L16,IF($P$5=32,L16,IF($P$5=33,L16,IF($P$5=34,L16,IF($P$5=35,L16,IF($P$5=36,L16,IF($P$5=37,L16,IF($P$5=38,L16,IF($P$5=39,L16,IF($P$5=40,L16,IF($P$5=41,L16,IF($P$5=42,L16,IF($P$5=43,L16,IF($P$5=44,L16,IF($P$5=45,L16,IF($P$5=46,L16,IF($P$5=47,L16,IF($P$5=48,L16,IF($P$5=49,L16,IF($P$5=50,L16,IF($P$5=51,L16,IF($P$5=52,L16,IF($P$5=53,L16,IF($P$5=54,L16,0))))))))))))))))))))))))))))))</f>
        <v>C7</v>
      </c>
      <c r="R16" s="165" t="str">
        <f>IF($P$5=19,J16,IF($P$5=20,J16,IF($P$5=21,J16,IF($P$5=22,J17,IF($P$5=23,J17,IF($P$5=24,J17,IF($P$5=25,J17,IF($P$5=26,J17,IF($P$5=27,J17,IF($P$5=28,J17,IF($P$5=29,J17,IF($P$5=30,J17,IF($P$5=31,J17,IF($P$5=32,J17,IF($P$5=33,J17,IF($P$5=34,J17,IF($P$5=35,J17,IF($P$5=36,J17,IF($P$5=37,J17,IF($P$5=38,J17,IF($P$5=39,J17,IF($P$5=40,J17,IF($P$5=41,J17,IF($P$5=42,J17,IF($P$5=43,J17,IF($P$5=44,J17,IF($P$5=45,J17,IF($P$5=46,J17,IF($P$5=47,J17,IF($P$5=48,J17,IF($P$5=49,J17,IF($P$5=50,J17,IF($P$5=51,J17,IF($P$5=52,J17,IF($P$5=53,J17,IF($P$5=54,J17,0))))))))))))))))))))))))))))))))))))</f>
        <v>A8</v>
      </c>
      <c r="S16" s="157" t="str">
        <f>IF($P$5=19,P16,IF($P$5=20,L10,IF($P$5=21,L11,IF($P$5=22,K10,IF($P$5=23,P11,IF($P$5=24,K15,IF($P$5=25,K10,IF($P$5=26,K15,IF($P$5=27,K17,IF(P$5=28,K15,IF($P$5=29,P15,IF($P$5=30,P16,IF($P$5=31,P18,IF($P$5=32,K15,IF($P$5=33,K15,IF($P$5=34,K15,IF($P$5=35,K15,IF($P$5=36,K18,IF($P$5=37,K18,IF($P$5=38,K18,IF($P$5=39,K18,IF($P$5=40,K18,IF($P$5=41,K18,IF($P$5=42,K18,IF($P$5=43,K18,IF($P$5=44,K18,IF($P$5=45,K18,IF($P$5=46,K18,IF($P$5=47,K18,IF($P$5=48,K18,IF($P$5=49,K18,IF($P$5=50,K18,IF($P$5=51,K18,IF($P$5=52,K18,IF($P$5=53,K18,IF($P$5=54,K18,0))))))))))))))))))))))))))))))))))))</f>
        <v>B9</v>
      </c>
      <c r="T16" s="179" t="str">
        <f>IF($P$5=22,0,IF($P$5=23,Q16,IF($P$5=24,L10,IF($P$5=26,0,IF($P$5=27,P18,IF($P$5=28,Q14,IF($P$5=29,Q18,IF($P$5=30,Q13,IF($P$5=31,L15,IF($P$5=32,L10,IF($P$5=33,L10,IF($P$5=34,L10,IF($P$5=35,L10,IF($P$5=36,L19,IF($P$5=37,P23,IF($P$5=38,L19,IF($P$5=39,L19,IF($P$5=40,L19,IF($P$5=41,L19,IF($P$5=42,L19,IF($P$5=43,L19,IF($P$5=44,L19,IF($P$5=45,L19,IF($P$5=46,L19,IF($P$5=47,L19,IF($P$5=48,L19,IF($P$5=49,L19,IF($P$5=50,L19,IF($P$5=51,L19,IF($P$5=52,L19,IF($P$5=53,L19,IF($P$5=54,L19,0))))))))))))))))))))))))))))))))</f>
        <v>C10</v>
      </c>
      <c r="U16" s="165" t="str">
        <f>IF($P$5=19,R16,IF($P$5=20,R16,IF($P$5=21,R16,IF($P$5=22,R14,IF($P$5=23,R16,IF($P$5=24,R14,IF($P$5=25,R14,IF($P$5=26,R14,IF($P$5=27,R14,IF($P$5=28,R14,IF($P$5=29,R14,IF($P$5=30,R14,IF($P$5=31,R16,IF($P$5=32,R15,IF($P$5=33,R15,IF($P$5=34,R15,IF($P$5=35,R15,IF($P$5=36,R17,IF($P$5=37,R17,IF($P$5=38,R17,IF($P$5=39,R17,IF($P$5=40,R17,IF($P$5=41,R17,IF($P$5=42,O18,IF($P$5=43,R17,IF($P$5=44,R17,IF($P$5=45,R17,IF($P$5=46,R17,IF($P$5=47,O18,IF($P$5=48,R17,IF($P$5=49,R17,IF($P$5=50,O18,IF($P$5=51,O18,IF($P$5=52,O18,IF($P$5=53,O18,IF($P$5=54,O18,0))))))))))))))))))))))))))))))))))))</f>
        <v>A9</v>
      </c>
      <c r="V16" s="163" t="str">
        <f>IF($P$5=19,S10,IF($P$5=20,S17,IF($P$5=21,S15,IF($P$5=22,S12,IF($P$5=23,S15,IF($P$5=24,S12,IF($P$5=25,S16,IF($P$5=26,S19,IF($P$5=27,T11,IF($P$5=28,S19,IF($P$5=29,S19,IF($P$5=30,S19,IF($P$5=31,S17,IF($P$5=32,S12,IF($P$5=33,S19,IF($P$5=34,S19,IF($P$5=35,S18,IF($P$5=36,S18,IF($P$5=37,S18,IF($P$5=38,S18,IF($P$5=39,S18,IF($P$5=40,S18,IF($P$5=41,S18,IF($P$5=42,S18,IF($P$5=43,S18,IF($P$5=44,S18,IF($P$5=45,S18,IF($P$5=46,S18,IF($P$5=47,S18,IF($P$5=48,S18,IF($P$5=49,S18,IF($P$5=50,S18,IF($P$5=51,S18,IF($P$5=52,S18,IF($P$5=53,S18,IF($P$5=54,S18,0))))))))))))))))))))))))))))))))))))</f>
        <v>B11</v>
      </c>
      <c r="W16" s="173" t="str">
        <f>IF($P$5=23,T11,IF($P$5=24,T11,IF($P$5=27,S18,IF($P$5=28,T11,IF($P$5=29,T18,IF($P$5=30,T11,IF($P$5=31,S18,IF($P$5=32,T17,IF($P$5=33,T17,IF($P$5=34,T17,IF($P$5=35,T19,IF($P$5=36,T19,IF($P$5=37,S21,IF($P$5=38,T19,IF($P$5=39,S22,IF($P$5=40,T19,IF($P$5=41,T19,IF($P$5=42,T19,IF($P$5=43,T19,IF($P$5=44,T19,IF($P$5=45,T19,IF($P$5=46,T19,IF($P$5=47,T19,IF($P$5=48,T19,IF($P$5=49,T19,IF($P$5=50,T19,IF($P$5=51,T19,IF($P$5=52,T19,IF($P$5=53,T19,IF($P$5=54,T19,0))))))))))))))))))))))))))))))</f>
        <v>C13</v>
      </c>
      <c r="Y16" s="447"/>
      <c r="Z16" s="14" t="str">
        <f>+P11</f>
        <v>B2</v>
      </c>
      <c r="AA16" s="69">
        <f>IF(ISTEXT(Z16),AA15,0)</f>
        <v>6</v>
      </c>
      <c r="AB16" s="18">
        <f>IF(ISTEXT(Z16),AB15,0)</f>
        <v>3</v>
      </c>
      <c r="AC16" s="62">
        <f>IF(ISTEXT(Z16),AC15,0)</f>
        <v>1</v>
      </c>
      <c r="AD16" s="11"/>
      <c r="AE16" s="14" t="str">
        <f>+S11</f>
        <v>B4</v>
      </c>
      <c r="AF16" s="18">
        <f>IF(ISTEXT(AE16),AF15,0)</f>
        <v>10</v>
      </c>
      <c r="AG16" s="18">
        <f>IF(ISTEXT(AE16),AG15,0)</f>
        <v>3</v>
      </c>
      <c r="AH16" s="62">
        <f>IF(ISTEXT(AE16),AH15,0)</f>
        <v>5</v>
      </c>
      <c r="AI16" s="11"/>
      <c r="AJ16" s="14" t="str">
        <f>+V11</f>
        <v>B6</v>
      </c>
      <c r="AK16" s="18">
        <f>IF(ISTEXT(AJ16),AK15,0)</f>
        <v>5</v>
      </c>
      <c r="AL16" s="18">
        <f>IF(ISTEXT(AJ16),AL15,0)</f>
        <v>3</v>
      </c>
      <c r="AM16" s="62">
        <f>IF(ISTEXT(AJ16),AM15,0)</f>
        <v>1</v>
      </c>
      <c r="AN16" s="23"/>
      <c r="AO16" s="54">
        <v>8</v>
      </c>
      <c r="AP16" s="321" t="str">
        <f>+Inscrits!B10</f>
        <v>A8</v>
      </c>
      <c r="AQ16" s="286" t="str">
        <f t="shared" si="3"/>
        <v>0</v>
      </c>
      <c r="AR16" s="99" t="str">
        <f t="shared" si="4"/>
        <v>0</v>
      </c>
      <c r="AS16" s="219" t="str">
        <f t="shared" si="5"/>
        <v>0</v>
      </c>
      <c r="AT16" s="289" t="str">
        <f t="shared" si="6"/>
        <v>0</v>
      </c>
      <c r="AU16" s="99" t="str">
        <f t="shared" si="7"/>
        <v>0</v>
      </c>
      <c r="AV16" s="291" t="str">
        <f t="shared" si="8"/>
        <v>0</v>
      </c>
      <c r="AW16" s="286" t="str">
        <f t="shared" si="9"/>
        <v>0</v>
      </c>
      <c r="AX16" s="99" t="str">
        <f t="shared" si="10"/>
        <v>0</v>
      </c>
      <c r="AY16" s="291" t="str">
        <f t="shared" si="11"/>
        <v>0</v>
      </c>
      <c r="AZ16" s="286">
        <f t="shared" si="17"/>
        <v>0</v>
      </c>
      <c r="BA16" s="99">
        <f t="shared" si="12"/>
        <v>0</v>
      </c>
      <c r="BB16" s="291">
        <f t="shared" si="13"/>
        <v>0</v>
      </c>
      <c r="BC16" s="294">
        <f t="shared" si="14"/>
        <v>0</v>
      </c>
      <c r="BD16" s="7">
        <f t="shared" si="15"/>
        <v>0</v>
      </c>
      <c r="BE16" s="218">
        <f t="shared" si="16"/>
        <v>25.000000159999999</v>
      </c>
      <c r="BF16" s="99">
        <f>IF(AP16="","",SMALL(BE$9:BE$62,ROWS(AZ$9:AZ16)))</f>
        <v>5.0389001000000002</v>
      </c>
      <c r="BG16" s="88"/>
      <c r="BH16" s="289" t="str">
        <f>IF(OR(AP16="",AZ16=""),"",INDEX($AP$9:$AP$63,MATCH(BF16,$BE$9:BE$62,0)))</f>
        <v>A2</v>
      </c>
      <c r="BI16" s="7">
        <f t="shared" si="0"/>
        <v>4</v>
      </c>
      <c r="BJ16" s="7">
        <f t="shared" si="1"/>
        <v>-4</v>
      </c>
      <c r="BK16" s="7">
        <f t="shared" si="2"/>
        <v>11</v>
      </c>
      <c r="BL16" s="280">
        <f>IF(BF16="","",IF(AND(BI15=BI16,BJ15=BJ16,BK15=BK16),BL15,$BL$9+7))</f>
        <v>8</v>
      </c>
      <c r="BN16" s="3">
        <f>IF(BH16="","",IF(AND(BK15=BK16,BL15=BL16,BM15=BM16),BN15,$BL$9+12))</f>
        <v>13</v>
      </c>
      <c r="BO16" s="405">
        <f>IF(AND($K$5=8),1,IF(AND($K$5=9),2,IF(AND($K$5=10),3,IF(AND($K$5=11),4,IF(AND($K$5=12),5,IF(AND($K$5=13),6,IF(AND($K$5=14),7,IF(AND($K$5=15),8,IF(AND($K$5=16),19,IF(AND($K$5=17),10,IF(AND($K$5=18),11,IF(AND($K$5=19),12,IF(AND($K$5=20),13,IF(AND($K$5=21),14,IF(AND($K$5=22),15,IF(AND($K$5=23),16,IF(AND($K$5=24),17,IF(AND($K$5=25),18,IF(AND($K$5=26),19,IF(AND($K$5=27),20,IF(AND($K$5=28),21,IF(AND($K$5=29),22,IF(AND($K$5=30),23,IF(AND($K$5=31),24,IF(AND($K$5=32),25,IF(AND($K$5=33),26,IF(AND($K$5=34),27,IF(AND($K$5=35),28,IF(AND($K$5=36),29,IF(AND($K$5=37),30,IF(AND($K$5=38),31,IF(AND($K$5=39),32,IF(AND($K$5=40),33,IF(AND($K$5=41),34,IF(AND($K$5=42),35,IF(AND($K$5=43),36,IF(AND($K$5=44),37,IF(AND($K$5=45),38,IF(AND($K$5=46),39,IF(AND($K$5=47),40,IF(AND($K$5=48),41,IF(AND($K$5=49),42,IF(AND($K$5=50),43,IF(AND($K$5=51),44,IF(AND($K$5=52),45,IF(AND($K$5=53),46,IF(AND($K$5=54),47," ")))))))))))))))))))))))))))))))))))))))))))))))</f>
        <v>41</v>
      </c>
    </row>
    <row r="17" spans="1:67" ht="18" customHeight="1" thickBot="1">
      <c r="A17" s="131">
        <v>8</v>
      </c>
      <c r="B17" s="393" t="s">
        <v>73</v>
      </c>
      <c r="C17" s="272">
        <f>IF($P$5&gt;=22,8,0)</f>
        <v>8</v>
      </c>
      <c r="D17" s="395" t="s">
        <v>91</v>
      </c>
      <c r="E17" s="272">
        <f>IF($P$5&gt;=23,8,0)</f>
        <v>8</v>
      </c>
      <c r="F17" s="24" t="s">
        <v>109</v>
      </c>
      <c r="G17" s="272">
        <f>IF($P$5&gt;=24,8,0)</f>
        <v>8</v>
      </c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M17" s="155"/>
      <c r="N17" s="52" t="s">
        <v>5</v>
      </c>
      <c r="O17" s="145" t="str">
        <f>IF($P$5=19,K15,IF($P$5=20,K16,IF($P$5=21,K16,IF($P$5=22,J17,IF($P$5=23,J17,IF(P$5=24,J17,IF($P$5=25,J17,IF($P$5=26,J17,IF($P$5=27,J17,IF($P$5=28,J17,IF($P$5=29,J17,IF($P$5=30,J17,IF($P$5=31,J17,IF($P$5=32,J17,IF($P$5=33,J17,IF($P$5=34,J17,IF($P$5=35,J17,IF($P$5=36,J17,IF($P$5=37,J17,IF($P$5=38,J17,IF($P$5=39,J17,IF($P$5=40,J17,IF($P$5=41,J17,IF($P$5=42,J17,IF($P$5=43,J17,IF($P$5=44,J17,IF($P$5=45,J17,IF($P$5=46,J17,IF($P$5=47,J17,IF($P$5=48,J17,IF($P$5=49,J17,IF($P$5=50,J17,IF($P$5=51,J17,IF($P$5=52,J17,IF($P$5=53,J17,IF($P$5=54,J17,0))))))))))))))))))))))))))))))))))))</f>
        <v>A8</v>
      </c>
      <c r="P17" s="149" t="str">
        <f>IF($P$5=19,L14,IF($P$5=20,L15,IF($P$5=21,L16,IF(P$5=22,L16,IF($P$5=23,K17,IF($P$5=24,K17,IF($P$5=25,L15,IF($P$5=26,K17,IF($P$5=27,K17,IF($P$5=28,K17,IF($P$5=29,K17,IF($P$5=30,K17,IF($P$5=31,K17,IF($P$5=32,K17,IF($P$5=33,K17,IF($P$5=34,K17,IF($P$5=35,K17,IF($P$5=36,K17,IF($P$5=37,K17,IF($P$5=38,K17,IF($P$5=39,K17,IF($P$5=40,K17,IF($P$5=41,K17,IF($P$5=42,K17,IF($P$5=43,K17,IF($P$5=44,K17,IF($P$5=45,K17,IF($P$5=46,K17,IF($P$5=47,K17,IF($P$5=48,K17,IF($P$5=49,K17,IF($P$5=50,K17,IF($P$5=51,K17,IF($P$5=52,K17,IF($P$5=53,K17,IF($P$5=54,K17,0))))))))))))))))))))))))))))))))))))</f>
        <v>B8</v>
      </c>
      <c r="Q17" s="152" t="str">
        <f>IF($P$5=24,L17,IF($P$5=28,L17,IF($P$5=29,L17,IF($P$5=30,L17,IF($P$5=31,0,IF($P$5=32,L17,IF($P$5=33,L17,IF($P$5=34,L17,IF($P$5=35,L17,IF($P$5=36,L17,IF($P$5=37,L17,IF($P$5=38,L17,IF($P$5=39,L17,IF(P$5=40,L17,IF($P$5=41,L17,IF($P$5=42,L17,IF($P$5=43,L17,IF($P$5=44,L17,IF($P$5=45,L17,IF($P$5=46,L17,IF($P$5=47,L17,IF($P$5=48,L17,IF($P$5=49,L17,IF($P$5=50,L17,IF($P$5=51,L17,IF($P$5=52,L17,IF($P$5=53,L17,IF($P$5=54,L17,0))))))))))))))))))))))))))))</f>
        <v>C8</v>
      </c>
      <c r="R17" s="166" t="str">
        <f>IF($P$5=19,K15,IF($P$5=20,O17,IF($P$5=21,O17,IF($P$5=22,J10,IF($P$5=23,J10,IF($P$5=24,J10,IF($P$5=25,J18,IF($P$5=26,J18,IF($P$5=27,J18,IF($P$5=28,J18,IF($P$5=29,J18,IF($P$5=30,J18,IF($P$5=31,J18,IF($P$5=32,J18,IF($P$5=33,J18,IF($P$5=34,J18,IF($P$5=35,J18,IF($P$5=36,J18,IF($P$5=37,J18,IF($P$5=38,J18,IF($P$5=39,J18,IF($P$5=40,J18,IF($P$5=41,J18,IF($P$5=42,J18,IF($P$5=43,J18,IF($P$5=44,J18,IF($P$5=45,J18,IF($P$5=46,J18,IF($P$5=47,J18,IF($P$5=48,J18,IF($P$5=49,J18,IF($P$5=50,J18,IF($P$5=51,J18,IF($P$5=52,J18,IF($P$5=53,J18,IF($P$5=54,J18,0))))))))))))))))))))))))))))))))))))</f>
        <v>A9</v>
      </c>
      <c r="S17" s="162" t="str">
        <f>IF($P$5=19,L12,IF($P$5=20,K15,IF($P$5=21,L12,IF($P$5=22,P16,IF($P$5=23,K12,IF($P$5=24,K11,IF($P$5=25,L10,IF($P$5=26,L10,IF($P$5=27,L10,IF($P$5=28,K10,IF($P$5=29,K19,IF($P$5=30,K19,IF(P$5=31,P16,IF($P$5=32,K16,IF($P$5=33,K16,IF($P$5=34,K16,IF($P$5=35,K16,IF($P$5=36,K19,IF($P$5=37,K19,IF($P$5=38,K19,IF($P$5=39,K19,IF($P$5=40,K19,IF($P$5=41,K19,IF($P$5=42,K19,IF($P$5=43,K19,IF($P$5=44,K19,IF($P$5=45,K19,IF($P$5=46,K19,IF($P$5=47,K19,IF($P$5=48,K19,IF($P$5=49,K19,IF($P$5=50,K19,IF($P$5=51,K19,IF($P$5=52,K19,IF($P$5=53,K19,IF($P$5=54,K19,0))))))))))))))))))))))))))))))))))))</f>
        <v>B10</v>
      </c>
      <c r="T17" s="181" t="str">
        <f>IF($P$5=24,L17,IF($P$5=27,0,IF($P$5=28,P19,IF($P$6=29,L18,IF($P$5=29,Q17,IF($P$5=30,Q17,IF($P$5=32,L17,IF($P$5=33,L17,IF($P$5=34,L17,IF($P$5=35,L17,IF($P$5=36,L20,IF($P$5=37,P22,IF($P$5=38,P22,IF($P$5=39,L20,IF($P$5=40,L20,IF($P$5=41,L20,IF($P$5=42,L20,IF($P$5=43,L20,IF($P$5=44,L20,IF($P$5=45,L20,IF($P$5=46,L20,IF($P$5=47,L20,IF($P$5=48,L20,IF($P$5=49,L20,IF($P$5=50,L20,IF($P$5=51,L20,IF($P$5=52,L20,IF($P$5=53,L20,IF($P$5=54,L20,0)))))))))))))))))))))))))))))</f>
        <v>C11</v>
      </c>
      <c r="U17" s="209" t="str">
        <f>IF($P$5=19,R17,IF($P$5=20,R17,IF($P$5=21,R17,IF($P$5=22,R16,IF($P$5=23,R10,IF($P$5=24,R16,IF($P$5=25,R16,IF($P$5=26,R16,IF($P$5=27,R16,IF($P$5=28,R17,IF($P$5=29,R17,IF($P$5=30,R17,IF($P$5=31,R17,IF($P$5=32,R17,IF($P$5=33,R17,IF($P$5=34,R17,IF($P$5=35,R17,IF($P$5=36,R18,IF($P$5=37,R18,IF($P$5=38,R18,IF($P$5=39,R18,IF($P$5=40,R18,IF($P$5=41,R18,IF($P$5=42,R18,IF($P$5=43,R18,IF($P$5=44,R18,IF($P$5=45,R18,IF($P$5=46,R18,IF($P$5=47,R18,IF($P$5=48,R18,IF($P$5=49,R18,IF($P$5=50,R18,IF($P$5=51,R18:R18,IF($P$5=52,R18,IF($P$5=53,R18,IF($P$5=54,O19,0))))))))))))))))))))))))))))))))))))</f>
        <v>A10</v>
      </c>
      <c r="V17" s="159" t="str">
        <f>IF($P$5=19,S14,IF($P$5=20,T10,IF($P$5=21,S16,IF($P$5=22,T10,IF($P$5=23,S17,IF($P$5=24,S17,IF($P$5=25,T10,IF($P$5=26,S12,IF($P$5=27,S11,IF($P$5=28,T10,IF($P$5=29,S18,IF($P$5=30,S14,IF($P$5=31,R21,IF($P$5=32,S13,IF($P$5=33,S12,IF($P$5=34,S12,IF($P$5=35,S12,IF($P$5=36,S19,IF($P$5=37,S19,IF($P$5=38,S19,IF($P$5=39,S19,IF($P$5=40,S19,IF($P$5=41,S19,IF($P$5=42,S19,IF($P$5=43,S19,IF($P$5=44,S19,IF($P$5=45,S19,IF($P$5=46,S19,IF($P$5=47,S19,IF($P$5=48,S19,IF($P$5=49,S19,IF($P$5=50,S19,IF($P$5=51,S19,IF($P$5=52,S19,IF($P$5=53,S19,IF($P$5=54,S19,0))))))))))))))))))))))))))))))))))))</f>
        <v>B12</v>
      </c>
      <c r="W17" s="175" t="str">
        <f>IF($P$5=24,T10,IF($P$5=28,S18,IF($P$5=29,T14,IF($P$5=30,T18,IF($P$5=32,T16,IF($P$5=33,T15,IF($P$5=34,T16,IF($P$5=35,T18,IF($P$5=36,T20,IF($P$5=37,S22,IF($P$5=38,S22,IF($P$5=39,T20,IF($P$5=40,T20,IF($P$5=41,T20,IF($P$5=42,T20,IF($P$5=43,T20,IF($P$5=44,T20,IF($P$5=45,T20,IF($P$5=46,T20,IF($P$5=47,T20,IF($P$5=48,T20,IF($P$5=49,T20,IF($P$5=50,T20,IF($P$5=51,T20,IF($P$5=52,T20,IF($P$5=53,T20,IF($P$5=54,T20,0)))))))))))))))))))))))))))</f>
        <v>C14</v>
      </c>
      <c r="Y17" s="448"/>
      <c r="Z17" s="16" t="str">
        <f>+Q11</f>
        <v>C2</v>
      </c>
      <c r="AA17" s="69">
        <f>IF(ISTEXT(Z17),AA15,0)</f>
        <v>6</v>
      </c>
      <c r="AB17" s="18">
        <f>IF(ISTEXT(Z17),AB15,0)</f>
        <v>3</v>
      </c>
      <c r="AC17" s="62">
        <f>IF(ISTEXT(Z17),AC15,0)</f>
        <v>1</v>
      </c>
      <c r="AD17" s="11"/>
      <c r="AE17" s="16" t="str">
        <f>+T11</f>
        <v>C5</v>
      </c>
      <c r="AF17" s="18">
        <f>IF(ISTEXT(AE17),AF15,0)</f>
        <v>10</v>
      </c>
      <c r="AG17" s="18">
        <f>IF(ISTEXT(AE17),AG15,0)</f>
        <v>3</v>
      </c>
      <c r="AH17" s="62">
        <f>IF(ISTEXT(AE17),AH15,0)</f>
        <v>5</v>
      </c>
      <c r="AI17" s="11"/>
      <c r="AJ17" s="16" t="str">
        <f>+W11</f>
        <v>C8</v>
      </c>
      <c r="AK17" s="18">
        <f>IF(ISTEXT(AJ17),AK15,0)</f>
        <v>5</v>
      </c>
      <c r="AL17" s="18">
        <f>IF(ISTEXT(AJ17),AL15,0)</f>
        <v>3</v>
      </c>
      <c r="AM17" s="62">
        <f>IF(ISTEXT(AJ17),AM15,0)</f>
        <v>1</v>
      </c>
      <c r="AN17" s="23"/>
      <c r="AO17" s="54">
        <v>9</v>
      </c>
      <c r="AP17" s="321" t="str">
        <f>+Inscrits!B11</f>
        <v>A9</v>
      </c>
      <c r="AQ17" s="286" t="str">
        <f t="shared" si="3"/>
        <v>0</v>
      </c>
      <c r="AR17" s="99" t="str">
        <f t="shared" si="4"/>
        <v>0</v>
      </c>
      <c r="AS17" s="219" t="str">
        <f t="shared" si="5"/>
        <v>0</v>
      </c>
      <c r="AT17" s="289" t="str">
        <f t="shared" si="6"/>
        <v>0</v>
      </c>
      <c r="AU17" s="99" t="str">
        <f t="shared" si="7"/>
        <v>0</v>
      </c>
      <c r="AV17" s="291" t="str">
        <f t="shared" si="8"/>
        <v>0</v>
      </c>
      <c r="AW17" s="286" t="str">
        <f t="shared" si="9"/>
        <v>0</v>
      </c>
      <c r="AX17" s="99" t="str">
        <f t="shared" si="10"/>
        <v>0</v>
      </c>
      <c r="AY17" s="291" t="str">
        <f t="shared" si="11"/>
        <v>0</v>
      </c>
      <c r="AZ17" s="286">
        <f t="shared" si="17"/>
        <v>0</v>
      </c>
      <c r="BA17" s="99">
        <f t="shared" si="12"/>
        <v>0</v>
      </c>
      <c r="BB17" s="291">
        <f t="shared" si="13"/>
        <v>0</v>
      </c>
      <c r="BC17" s="294">
        <f t="shared" si="14"/>
        <v>0</v>
      </c>
      <c r="BD17" s="7">
        <f t="shared" si="15"/>
        <v>0</v>
      </c>
      <c r="BE17" s="218">
        <f t="shared" si="16"/>
        <v>25.00000017</v>
      </c>
      <c r="BF17" s="99">
        <f>IF(AP17="","",SMALL(BE$9:BE$62,ROWS(AZ$9:AZ17)))</f>
        <v>8.9388004699999986</v>
      </c>
      <c r="BG17" s="88"/>
      <c r="BH17" s="289" t="str">
        <f>IF(OR(AP17="",AZ17=""),"",INDEX($AP$9:$AP$63,MATCH(BF17,$BE$9:BE$62,0)))</f>
        <v>C3</v>
      </c>
      <c r="BI17" s="7">
        <f t="shared" si="0"/>
        <v>3</v>
      </c>
      <c r="BJ17" s="7">
        <f t="shared" si="1"/>
        <v>6</v>
      </c>
      <c r="BK17" s="7">
        <f t="shared" si="2"/>
        <v>12</v>
      </c>
      <c r="BL17" s="280">
        <f>IF(BF17="","",IF(AND(BI16=BI17,BJ16=BJ17,BK16=BK17),BL16,$BL$9+8))</f>
        <v>9</v>
      </c>
      <c r="BN17" s="3">
        <f>IF(BH17="","",IF(AND(BK16=BK17,BL16=BL17,BM16=BM17),BN16,$BL$9+11))</f>
        <v>12</v>
      </c>
      <c r="BO17" s="405">
        <f>IF(AND($K$5=8)," ",IF(AND($K$5=9),1,IF(AND($K$5=10),2,IF(AND($K$5=11),3,IF(AND($K$5=12),4,IF(AND($K$5=13),5,IF(AND($K$5=14),6,IF(AND($K$5=15),7,IF(AND($K$5=16),8,IF(AND($K$5=17),9,IF(AND($K$5=18),10,IF(AND($K$5=19),11,IF(AND($K$5=20),12,IF(AND($K$5=21),13,IF(AND($K$5=22),14,IF(AND($K$5=23),15,IF(AND($K$5=24),16,IF(AND($K$5=25),17,IF(AND($K$5=26),18,IF(AND($K$5=27),19,IF(AND($K$5=28),20,IF(AND($K$5=29),21,IF(AND($K$5=30),22,IF(AND($K$5=31),23,IF(AND($K$5=32),24,IF(AND($K$5=33),25,IF(AND($K$5=34),26,IF(AND($K$5=35),27,IF(AND($K$5=36),28,IF(AND($K$5=37),29,IF(AND($K$5=38),30,IF(AND($K$5=39),31,IF(AND($K$5=40),32,IF(AND($K$5=41),33,IF(AND($K$5=42),34,IF(AND($K$5=43),35,IF(AND($K$5=44),36,IF(AND($K$5=45),37,IF(AND($K$5=46),38,IF(AND($K$5=47),39,IF(AND($K$5=48),40,IF(AND($K$5=49),41,IF(AND($K$5=50),42,IF(AND($K$5=51),43,IF(AND($K$5=52),44,IF(AND($K$5=53),45,IF(AND($K$5=54),46," ")))))))))))))))))))))))))))))))))))))))))))))))</f>
        <v>40</v>
      </c>
    </row>
    <row r="18" spans="1:67" ht="18" customHeight="1" thickBot="1">
      <c r="A18" s="131">
        <v>9</v>
      </c>
      <c r="B18" s="393" t="s">
        <v>74</v>
      </c>
      <c r="C18" s="272">
        <f>IF($P$5&gt;=25,9,0)</f>
        <v>9</v>
      </c>
      <c r="D18" s="395" t="s">
        <v>92</v>
      </c>
      <c r="E18" s="272">
        <f>IF($P$5&gt;=26,9,0)</f>
        <v>9</v>
      </c>
      <c r="F18" s="24" t="s">
        <v>110</v>
      </c>
      <c r="G18" s="272">
        <f>IF($P$5&gt;=27,9,0)</f>
        <v>9</v>
      </c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M18" s="155"/>
      <c r="N18" s="82">
        <v>5</v>
      </c>
      <c r="O18" s="138" t="str">
        <f>IF($P$5=25,J18,IF($P$5=26,J18,IF($P$5=27,J18,IF(P$5=28,J18,IF($P$5=29,J18,IF($P$5=30,J18,IF($P$5=31,J18,IF($P$5=32,J18,IF($P$5=33,J18,IF($P$5=34,J18,IF($P$5=35,J18,IF($P$5=36,J18,IF($P$5=37,J18,IF($P$5=38,J18,IF($P$5=39,J18,IF($P$5=40,J18,IF($P$5=41,J18,IF($P$5=42,J18,IF($P$5=43,J18,IF($P$5=44,J18,IF($P$5=45,J18,IF($P$5=46,J18,IF($P$5=47,J18,IF($P$5=48,J18,IF($P$5=49,J18,IF($P$5=50,J18,IF($P$5=51,J18,IF($P$5=52,J18,IF($P$5=53,J18,IF($P$5=54,J18,0))))))))))))))))))))))))))))))</f>
        <v>A9</v>
      </c>
      <c r="P18" s="150" t="str">
        <f>IF($P$5=25,L16,IF($P$5=26,L16,IF($P$5=27,L17,IF($P$5=28,K18,IF($P$5=29,K18,IF($P$5=30,K18,IF($P$5=31,K18,IF($P$5=32,K19,IF($P$5=33,K18,IF($P$5=34,K18,IF($P$5=35,K18,IF($P$5=36,K18,IF($P$5=37,K18,IF($P$5=38,K18,IF($P$5=39,K18,IF($P$5=40,K18,IF($P$5=41,K18,IF($P$5=42,K18,IF($P$5=43,K18,IF($P$5=44,K18,IF($P$5=45,K18,IF($P$5=46,K18,IF($P$5=47,K18,IF($P$5=48,K18,IF($P$5=49,K18,IF($P$5=50,K18,IF($P$5=51,K18,IF($P$5=52,K18,IF($P$5=53,K18,IF($P$5=54,K18,0))))))))))))))))))))))))))))))</f>
        <v>B9</v>
      </c>
      <c r="Q18" s="153" t="str">
        <f>IF($P$5=29,L18,IF($P$5=30,L18,IF($P$5=33,L18,IF($P$5=34,L18,IF($P$5=35,L18,IF($P$5=36,L18,IF($P$5=37,L18,IF($P$5=38,L18,IF($P$5=39,L18,IF($P$5=40,L18,IF($P$5=41,L18,IF($P$5=42,L18,IF($P$5=43,L18,IF($P$5=44,L18,IF($P$5=45,L18,IF($P$5=46,L18,IF($P$5=47,L18,IF($P$5=48,L18,IF($P$5=49,L18,IF($P$5=50,L18,IF($P$5=51,L18,IF($P$5=52,L18,IF($P$5=53,L18,IF($P$5=54,L18,0))))))))))))))))))))))))</f>
        <v>C9</v>
      </c>
      <c r="R18" s="167" t="str">
        <f>IF($P$5=25,O19,IF($P$5=26,O19,IF($P$5=27,J10,IF($P$5=28,J19,IF($P$5=29,J19,IF($P$5=30,J19,IF($P$5=31,J19,IF($P$5=32,J19,IF($P$5=33,J19,IF($P$5=34,J19,IF($P$5=35,J19,IF($P$5=36,J19,IF($P$5=37,J19,IF($P$5=38,J19,IF($P$5=39,J19,IF($P$5=40,J19,IF($P$5=41,J19,IF($P$5=42,J19,IF($P$5=43,J19,IF($P$5=44,J19,IF($P$5=45,J19,IF($P$5=46,J19,IF($P$5=47,J19,IF($P$5=48,J19,IF($P$5=49,J19,IF($P$5=50,J19,IF($P$5=51,J19,IF($P$5=52,J19,IF($P$5=53,J19,IF($P$5=54,J19,0))))))))))))))))))))))))))))))</f>
        <v>A10</v>
      </c>
      <c r="S18" s="163" t="str">
        <f>IF($P$5=25,L11,IF($P$5=26,L11,IF(P$5=27,Q11,IF($P$5=28,L11,IF($P$5=29,K10,IF($P$5=30,K10,IF($P$5=31,P21,IF($P$5=32,P20,IF($P$5=33,K10,IF($P$5=34,K10,IF($P$5=35,K10,IF($P$5=36,K20,IF($P$5=37,K20,IF($P$5=38,K20,IF($P$5=39,K20,IF($P$5=40,K20,IF($P$5=41,K20,IF($P$5=42,K20,IF($P$5=43,K20,IF($P$5=44,K20,IF($P$5=45,K20,IF($P$5=46,K20,IF($P$5=47,K20,IF($P$5=48,K20,IF($P$5=49,K20,IF($P$5=50,K20,IF($P$5=51,K20,IF($P$5=52,K20,IF($P$5=53,K20,IF($P$5=54,K20,0))))))))))))))))))))))))))))))</f>
        <v>B11</v>
      </c>
      <c r="T18" s="182" t="str">
        <f>IF($P$5=27,0,IF($P$5=29,L11,IF($P$5=30,Q16,IF(J$5=32,0,IF($P$5=33,L18,IF($P$5=34,P21,IF($P$5=35,L20,IF($P$5=36,L21,IF($P$5=37,P21,IF($P$5=38,P23,IF($P$5=39,L10,IF($P$5=40,L21,IF($P$5=41,L21,IF($P$5=42,L21,IF($P$5=43,P25,IF($P$5=44,L21,IF($P$5=45,L21,IF($P$5=46,L21,IF($P$5=47,L21,IF($P$5=48,L21,IF($P$5=49,L21,IF($P$5=50,L21,IF($P$5=51,L21,IF($P$5=52,L21,IF($P$5=53,L21,IF($P$5=54,L21,0))))))))))))))))))))))))))</f>
        <v>C12</v>
      </c>
      <c r="U18" s="160" t="str">
        <f>IF($P$5=25,R17,IF($P$5=26,R17,IF($P$5=27,R17,IF($P$5=28,R16,IF($P$5=29,R16,IF($P$5=30,R16,IF($P$5=31,R10,IF($P$5=32,R18,IF($P$5=33,R18,IF($P$5=34,R19,IF($P$5=35,R19,IF($P$5=36,R19,IF($P$5=37,R19,IF($P$5=38,R19,IF($P$5=39,R19,IF($P$5=40,R19,IF($P$5=41,R19,IF($P$5=42,O20,IF($P$5=43,R19,IF($P$5=44,R19,IF($P$5=45,R19,IF($P$5=46,R19,IF($P$5=47,R19,IF($P$5=48,R19,IF($P$5=49,O20,IF($P$5=50,O20,IF($P$5=51,O20,IF($P$5=52,O20,IF($P$5=53,O20,IF($P$5=54,O20,0))))))))))))))))))))))))))))))</f>
        <v>A11</v>
      </c>
      <c r="V18" s="157" t="str">
        <f>IF($P$5=25,T11,IF($P$5=26,S18,IF($P$5=27,R19,IF($P$5=28,S12,IF($P$5=29,S17,IF($P$5=30,S18,IF($P$5=31,S12,IF($P$5=32,S17,IF($P$5=33,S13,IF($P$5=34,S13,IF($P$5=35,S13,IF($P$5=36,S20,IF($P$5=37,S20,IF($P$5=38,S20,IF($P$5=39,S11,IF($P$5=40,S20,IF($P$5=41,S20,IF($P$5=42,S20,IF($P$5=43,S20,IF($P$5=44,S20,IF($P$5=45,S20,IF($P$5=46,S20,IF($P$5=47,S20,IF($P$5=48,S20,IF($P$5=49,S20,IF($P$5=50,S20,IF($P$5=51,S20,IF($P$5=52,S20,IF($P$5=53,S20,IF($P$5=54,S20,0))))))))))))))))))))))))))))))</f>
        <v>B13</v>
      </c>
      <c r="W18" s="172" t="str">
        <f>IF($P$5=29,T10,IF($P$5=30,T19,IF($P$5=33,S20,IF($P$5=34,T15,IF($P$5=35,T15,IF($P$5=36,T21,IF($P$5=37,S23,IF($P$5=38,S23,IF($P$5=39,T12,IF($P$5=40,T21,IF($P$5=41,T21,IF($P$5=42,T21,IF($P$5=43,S25,IF($P$5=44,T21,IF($P$5=45,T21,IF($P$5=46,T21,IF($P$5=47,T21,IF($P$5=48,T21,IF($P$5=49,T21,IF($P$5=50,T21,IF($P$5=51,T21,IF($P$5=52,T21,IF($P$5=53,T21,IF($P$5=54,T21,0))))))))))))))))))))))))</f>
        <v>C15</v>
      </c>
      <c r="Y18" s="128"/>
      <c r="Z18" s="70"/>
      <c r="AA18" s="231"/>
      <c r="AB18" s="70"/>
      <c r="AC18" s="70"/>
      <c r="AD18" s="231"/>
      <c r="AE18" s="70"/>
      <c r="AF18" s="231"/>
      <c r="AG18" s="70"/>
      <c r="AH18" s="70"/>
      <c r="AI18" s="231"/>
      <c r="AJ18" s="70"/>
      <c r="AK18" s="231"/>
      <c r="AL18" s="70"/>
      <c r="AM18" s="70"/>
      <c r="AN18" s="23"/>
      <c r="AO18" s="54">
        <v>10</v>
      </c>
      <c r="AP18" s="321" t="str">
        <f>+Inscrits!B12</f>
        <v>A10</v>
      </c>
      <c r="AQ18" s="286" t="str">
        <f t="shared" si="3"/>
        <v>0</v>
      </c>
      <c r="AR18" s="99" t="str">
        <f t="shared" si="4"/>
        <v>0</v>
      </c>
      <c r="AS18" s="219" t="str">
        <f t="shared" si="5"/>
        <v>0</v>
      </c>
      <c r="AT18" s="289" t="str">
        <f t="shared" si="6"/>
        <v>0</v>
      </c>
      <c r="AU18" s="99" t="str">
        <f t="shared" si="7"/>
        <v>0</v>
      </c>
      <c r="AV18" s="291" t="str">
        <f t="shared" si="8"/>
        <v>0</v>
      </c>
      <c r="AW18" s="286" t="str">
        <f t="shared" si="9"/>
        <v>0</v>
      </c>
      <c r="AX18" s="99" t="str">
        <f t="shared" si="10"/>
        <v>0</v>
      </c>
      <c r="AY18" s="291" t="str">
        <f t="shared" si="11"/>
        <v>0</v>
      </c>
      <c r="AZ18" s="286">
        <f t="shared" si="17"/>
        <v>0</v>
      </c>
      <c r="BA18" s="99">
        <f t="shared" si="12"/>
        <v>0</v>
      </c>
      <c r="BB18" s="291">
        <f t="shared" si="13"/>
        <v>0</v>
      </c>
      <c r="BC18" s="294">
        <f t="shared" si="14"/>
        <v>0</v>
      </c>
      <c r="BD18" s="7">
        <f t="shared" si="15"/>
        <v>0</v>
      </c>
      <c r="BE18" s="218">
        <f t="shared" si="16"/>
        <v>25.000000180000001</v>
      </c>
      <c r="BF18" s="99">
        <f>IF(AP18="","",SMALL(BE$9:BE$62,ROWS(AZ$9:AZ18)))</f>
        <v>8.9486003299999997</v>
      </c>
      <c r="BG18" s="88"/>
      <c r="BH18" s="289" t="str">
        <f>IF(OR(AP18="",AZ18=""),"",INDEX($AP$9:$AP$63,MATCH(BF18,$BE$9:BE$62,0)))</f>
        <v>B7</v>
      </c>
      <c r="BI18" s="7">
        <f t="shared" si="0"/>
        <v>3</v>
      </c>
      <c r="BJ18" s="7">
        <f t="shared" si="1"/>
        <v>5</v>
      </c>
      <c r="BK18" s="7">
        <f t="shared" si="2"/>
        <v>14</v>
      </c>
      <c r="BL18" s="280">
        <f>IF(BF18="","",IF(AND(BI17=BI18,BJ17=BJ18,BK17=BK18),BL17,$BL$9+9))</f>
        <v>10</v>
      </c>
      <c r="BN18" s="3">
        <f>IF(BH18="","",IF(AND(BK17=BK18,BL17=BL18,BM17=BM18),BN17,$BL$9+10))</f>
        <v>11</v>
      </c>
      <c r="BO18" s="405">
        <f>IF(AND($K$5=10),1,IF(AND($K$5=11),2,IF(AND($K$5=12),3,IF(AND($K$5=13),4,IF(AND($K$5=14),5,IF(AND($K$5=15),6,IF(AND($K$5=16),7,IF(AND($K$5=17),8,IF(AND($K$5=18),9,IF(AND($K$5=19),10,IF(AND($K$5=20),11,IF(AND($K$5=21),12,IF(AND($K$5=22),13,IF(AND($K$5=23),14,IF(AND($K$5=24),15,IF(AND($K$5=25),16,IF(AND($K$5=26),17,IF(AND($K$5=27),18,IF(AND($K$5=28),19,IF(AND($K$5=29),20,IF(AND($K$5=30),21,IF(AND($K$5=31),22,IF(AND($K$5=32),23,IF(AND($K$5=33),24,IF(AND($K$5=34),25,IF(AND($K$5=35),26,IF(AND($K$5=36),27,IF(AND($K$5=37),28,IF(AND($K$5=38),29,IF(AND($K$5=39),30,IF(AND($K$5=40),31,IF(AND($K$5=41),32,IF(AND($K$5=42),33,IF(AND($K$5=43),34,IF(AND($K$5=44),35,IF(AND($K$5=45),36,IF(AND($K$5=46),37,IF(AND($K$5=47),38,IF(AND($K$5=48),39,IF(AND($K$5=49),40,IF(AND($K$5=50),41,IF(AND($K$5=51),42,IF(AND($K$5=52),43,IF(AND($K$5=53),44,IF(AND($K$5=54),45," ")))))))))))))))))))))))))))))))))))))))))))))</f>
        <v>39</v>
      </c>
    </row>
    <row r="19" spans="1:67" ht="18" customHeight="1" thickBot="1">
      <c r="A19" s="131">
        <v>10</v>
      </c>
      <c r="B19" s="393" t="s">
        <v>75</v>
      </c>
      <c r="C19" s="272">
        <f>IF($P$5&gt;=28,10,0)</f>
        <v>10</v>
      </c>
      <c r="D19" s="395" t="s">
        <v>93</v>
      </c>
      <c r="E19" s="272">
        <f>IF($P$5&gt;=29,10,0)</f>
        <v>10</v>
      </c>
      <c r="F19" s="24" t="s">
        <v>111</v>
      </c>
      <c r="G19" s="272">
        <f>IF($P$5&gt;=30,10,0)</f>
        <v>10</v>
      </c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M19" s="155"/>
      <c r="N19" s="3" t="s">
        <v>5</v>
      </c>
      <c r="O19" s="141" t="str">
        <f>IF($P$5=25,K17,IF($P$5=26,K18,IF($P$5=27,K18,IF($P$5=28,J19,IF($P$5=29,J19,IF($P$5=30,J19,IF($P$5=31,J19,IF($P$5=32,J19,IF($P$5=33,J19,IF($P$5=34,J19,IF($P$5=35,J19,IF($P$5=36,J19,IF($P$5=37,J19,IF($P$5=38,J19,IF($P$5=39,J19,IF($P$5=40,J19,IF($P$5=41,J19,IF($P$5=42,J19,IF($P$5=43,J19,IF($P$5=44,J19,IF($P$5=45,J19,IF($P$5=46,J19,IF($P$5=47,J19,IF($P$5=48,J19,IF($P$5=49,J19,IF($P$5=50,J19,IF($P$5=51,J19,IF($P$5=52,J19,IF($P$5=53,J19,IF($P$5=54,J19,0))))))))))))))))))))))))))))))</f>
        <v>A10</v>
      </c>
      <c r="P19" s="149" t="str">
        <f>IF($P$5=25,L17,IF($P$5=26,L17,IF($P$5=27,L18,IF($P$5=28,L18,IF($P$5=29,K19,IF($P$5=30,K19,IF($P$5=31,L17,IF($P$5=32,K18,IF($P$5=33,K19,IF($P$5=34,K19,IF($P$5=35,K19,IF($P$5=36,K19,IF($P$5=37,K19,IF($P$5=38,K19,IF($P$5=39,K19,IF($P$5=40,K19,IF($P$5=41,K19,IF($P$5=42,K19,IF($P$5=43,K19,IF($P$5=44,K19,IF($P$5=45,K19,IF($P$5=46,K19,IF($P$5=47,K19,IF($P$5=48,K19,IF($P$5=49,K19,IF($P$5=50,K19,IF($P$5=51,K19,IF($P$5=52,K19,IF($P$5=53,K19,IF($P$5=54,K19,0))))))))))))))))))))))))))))))</f>
        <v>B10</v>
      </c>
      <c r="Q19" s="152" t="str">
        <f>IF($P$5=30,L19,IF($P$5=34,L19,IF($P$5=35,L19,IF($P$5=36,L19,IF($P$5=38,L19,IF($P$5=39,L19,IF($P$5=40,L19,IF($P$5=41,L19,IF($P$5=42,L19,IF($P$5=43,L19,IF($P$5=44,L19,IF($P$5=45,L19,IF($P$5=46,L19,IF($P$5=47,L19,IF($P$5=48,L19,IF($P$5=49,L19,IF($P$5=50,L19,IF($P$5=51,L19,IF($P$5=52,L19,IF($P$5=53,L19,IF($P$5=54,L19,0)))))))))))))))))))))</f>
        <v>C10</v>
      </c>
      <c r="R19" s="168" t="str">
        <f>IF($P$5=25,J10,IF($P$5=26,J10,IF($P$5=27,K10,IF($P$5=28,J10,IF($P$5=29,J10,IF($P$5=30,J10,IF($P$5=31,J20,IF($P$5=32,J20,IF($P$5=33,J20,IF($P$5=34,J20,IF($P$5=35,J20,IF($P$5=36,J20,IF($P$5=37,J20,IF($P$5=38,J20,IF($P$5=39,J20,IF($P$5=40,J20,IF($P$5=41,J20,IF($P$5=42,J20,IF($P$5=43,J20,IF($P$5=44,J20,IF($P$5=45,J20,IF($P$5=46,J20,IF($P$5=47,J20,IF($P$5=48,J20,IF($P$5=49,J20,IF($P$5=50,J20,IF($P$5=51,J20,IF($P$5=52,J20,IF($P$5=53,J20,IF($P$5=54,J20,0))))))))))))))))))))))))))))))</f>
        <v>A11</v>
      </c>
      <c r="S19" s="159" t="str">
        <f>IF($P$5=25,P18,IF($P$5=26,P14,IF($P$5=27,O19,IF($P$5=28,K18,IF($P$5=29,K18,IF($P$5=30,K18,IF($P$5=31,P19,IF($P$5=32,P21,IF($P$5=33,K19,IF($P$5=34,K19,IF($P$5=35,K19,IF($P$5=36,K21,IF($P$5=37,P11,IF($P$5=38,K21,IF($P$5=39,K21,IF($P$5=40,K21,IF($P$5=41,K21,IF($P$5=42,K21,IF($P$5=43,K21,IF($P$5=44,K21,IF($P$5=45,K21,IF($P$5=46,K21,IF($P$5=47,K21,IF($P$5=48,K21,IF($P$5=49,K21,IF($P$5=50,K21,IF($P$5=51,K21,IF($P$5=52,K21,IF($P$5=53,K21,IF($P$5=54,K21,0))))))))))))))))))))))))))))))</f>
        <v>B12</v>
      </c>
      <c r="T19" s="183" t="str">
        <f>IF($P$5=30,L19,IF($P$5=34,L18,IF($P$5=35,L18,IF($P$5=36,L10,IF($P$5=38,L10,IF($P$5=39,L11,IF($P$5=40,P23,IF($P$5=41,L22,IF($P$5=42,L22,IF($P$5=43,P23,IF($P$5=44,P24,IF($P$5=45,L22,IF($P$5=46,L22,IF($P$5=47,L22,IF($P$5=48,L22,IF($P$5=49,L22,IF($P$5=50,L22,IF($P$5=51,L22,IF($P$5=52,L22,IF($P$5=53,L22,IF($P$5=54,L22,0)))))))))))))))))))))</f>
        <v>C13</v>
      </c>
      <c r="U19" s="185" t="str">
        <f>IF($P$5=25,R18,IF($P$5=26,R18,IF($P$5=27,S19,IF($P$5=28,R18,IF($P$5=29,R18,IF($P$5=30,R18,IF($P$5=31,R18,IF($P$5=32,R10,IF($P$5=33,R10,IF($P$5=34,R10,IF($P$5=35,R10,IF($P$5=36,R20,IF($P$5=37,R20,IF($P$5=38,R20,IF($P$5=39,R20,IF($P$5=40,R20,IF($P$5=41,R20,IF($P$5=42,O21,IF($P$5=43,R20,IF($P$5=44,R20,IF($P$5=45,R20,IF($P$5=46,R20,IF($P$5=47,R20,IF($P$5=48,R20,IF($P$5=49,O21,IF($P$5=50,O21,IF($P$5=51,O21,IF($P$5=52,O21,IF($P$5=53,O21,IF($P$5=54,O21,0))))))))))))))))))))))))))))))</f>
        <v>A12</v>
      </c>
      <c r="V19" s="162" t="str">
        <f>IF($P$5=25,S12,IF($P$5=26,T10,IF($P$5=27,T10,IF($P$5=28,S17,IF($P$5=29,S12,IF($P$5=30,S12,IF($P$5=31,T16,IF($P$5=32,S14,IF($P$5=33,S14,IF($P$5=34,S20,IF($P$5=35,S20,IF($P$5=36,S21,IF($P$5=37,S11,IF($P$5=38,S21,IF($P$5=39,S21,IF($P$5=40,S21,IF($P$5=41,S21,IF($P$5=42,S21,IF($P$5=43,S11,IF($P$5=44,S21,IF($P$5=45,S21,IF($P$5=46,S21,IF($P$5=47,S21,IF($P$5=48,S21,IF($P$5=49,S21,IF($P$5=50,S21,IF($P$5=51,S21,IF($P$5=52,S21,IF($P$5=53,S21,IF($P$5=54,S21,0))))))))))))))))))))))))))))))</f>
        <v>B14</v>
      </c>
      <c r="W19" s="174" t="str">
        <f>IF($P$5=30,T10,IF($P$5=34,S21,IF($P$5=35,T16,IF($P$5=36,T10,IF($P$5=38,T10,IF($P$5=39,T18,IF($P$5=40,S23,IF($P$5=41,T22,IF($P$5=42,T22,IF($P$5=43,S23,IF($P$5=44,S23,IF($P$5=45,T22,IF($P$5=46,T22,IF($P$5=47,T22,IF($P$5=48,T22,IF($P$5=49,T22,IF($P$5=50,T22,IF($P$5=51,S27,IF($P$5=52,T22,IF($P$5=53,T22,IF($P$5=54,T22,0)))))))))))))))))))))</f>
        <v>C16</v>
      </c>
      <c r="Y19" s="446">
        <v>2</v>
      </c>
      <c r="Z19" s="12" t="str">
        <f>+O12</f>
        <v>A3</v>
      </c>
      <c r="AA19" s="33">
        <v>12</v>
      </c>
      <c r="AB19" s="48">
        <f>IF(AA19+AA23=0,0,IF(AA19=AA23,2,IF(AA19&gt;AA23,3,1)))</f>
        <v>3</v>
      </c>
      <c r="AC19" s="13">
        <f>AA19-AA23</f>
        <v>6</v>
      </c>
      <c r="AD19" s="24"/>
      <c r="AE19" s="12" t="str">
        <f>+R12</f>
        <v>A4</v>
      </c>
      <c r="AF19" s="126">
        <v>5</v>
      </c>
      <c r="AG19" s="48">
        <f>IF(AF19+AF23=0,0,IF(AF19=AF23,2,IF(AF19&gt;AF23,3,1)))</f>
        <v>1</v>
      </c>
      <c r="AH19" s="13">
        <f>AF19-AF23</f>
        <v>-7</v>
      </c>
      <c r="AI19" s="24"/>
      <c r="AJ19" s="12" t="str">
        <f>+U12</f>
        <v>A5</v>
      </c>
      <c r="AK19" s="36">
        <v>14</v>
      </c>
      <c r="AL19" s="48">
        <f>IF(AK19+AK23=0,0,IF(AK19=AK23,2,IF(AK19&gt;AK23,3,1)))</f>
        <v>3</v>
      </c>
      <c r="AM19" s="13">
        <f>AK19-AK23</f>
        <v>5</v>
      </c>
      <c r="AN19" s="23"/>
      <c r="AO19" s="54">
        <v>11</v>
      </c>
      <c r="AP19" s="321" t="str">
        <f>+Inscrits!B13</f>
        <v>A11</v>
      </c>
      <c r="AQ19" s="286" t="str">
        <f t="shared" si="3"/>
        <v>0</v>
      </c>
      <c r="AR19" s="99" t="str">
        <f t="shared" si="4"/>
        <v>0</v>
      </c>
      <c r="AS19" s="219" t="str">
        <f t="shared" si="5"/>
        <v>0</v>
      </c>
      <c r="AT19" s="289" t="str">
        <f t="shared" si="6"/>
        <v>0</v>
      </c>
      <c r="AU19" s="99" t="str">
        <f t="shared" si="7"/>
        <v>0</v>
      </c>
      <c r="AV19" s="291" t="str">
        <f t="shared" si="8"/>
        <v>0</v>
      </c>
      <c r="AW19" s="286" t="str">
        <f t="shared" si="9"/>
        <v>0</v>
      </c>
      <c r="AX19" s="99" t="str">
        <f t="shared" si="10"/>
        <v>0</v>
      </c>
      <c r="AY19" s="291" t="str">
        <f t="shared" si="11"/>
        <v>0</v>
      </c>
      <c r="AZ19" s="286">
        <f t="shared" si="17"/>
        <v>0</v>
      </c>
      <c r="BA19" s="99">
        <f t="shared" si="12"/>
        <v>0</v>
      </c>
      <c r="BB19" s="291">
        <f t="shared" si="13"/>
        <v>0</v>
      </c>
      <c r="BC19" s="294">
        <f t="shared" si="14"/>
        <v>0</v>
      </c>
      <c r="BD19" s="7">
        <f t="shared" si="15"/>
        <v>0</v>
      </c>
      <c r="BE19" s="218">
        <f t="shared" si="16"/>
        <v>25.000000190000002</v>
      </c>
      <c r="BF19" s="99">
        <f>IF(AP19="","",SMALL(BE$9:BE$62,ROWS(AZ$9:AZ19)))</f>
        <v>8.9486005299999984</v>
      </c>
      <c r="BG19" s="88"/>
      <c r="BH19" s="289" t="str">
        <f>IF(OR(AP19="",AZ19=""),"",INDEX($AP$9:$AP$63,MATCH(BF19,$BE$9:BE$62,0)))</f>
        <v>C9</v>
      </c>
      <c r="BI19" s="7">
        <f t="shared" si="0"/>
        <v>3</v>
      </c>
      <c r="BJ19" s="7">
        <f t="shared" si="1"/>
        <v>5</v>
      </c>
      <c r="BK19" s="7">
        <f t="shared" si="2"/>
        <v>14</v>
      </c>
      <c r="BL19" s="280">
        <f>IF(BF19="","",IF(AND(BI18=BI19,BJ18=BJ19,BK18=BK19),BL18,$BL$9+10))</f>
        <v>10</v>
      </c>
      <c r="BN19" s="3">
        <f>IF(BH19="","",IF(AND(BK18=BK19,BL18=BL19,BM18=BM19),BN18,$BL$9+9))</f>
        <v>11</v>
      </c>
      <c r="BO19" s="405">
        <f>IF(AND($K$5=11),1,IF(AND($K$5=12),2,IF(AND($K$5=13),3,IF(AND($K$5=14),4,IF(AND($K$5=15),5,IF(AND($K$5=16),6,IF(AND($K$5=17),7,IF(AND($K$5=18),8,IF(AND($K$5=19),9,IF(AND($K$5=20),10,IF(AND($K$5=21),11,IF(AND($K$5=22),12,IF(AND($K$5=23),13,IF(AND($K$5=24),14,IF(AND($K$5=25),15,IF(AND($K$5=26),16,IF(AND($K$5=27),17,IF(AND($K$5=28),18,IF(AND($K$5=29),19,IF(AND($K$5=30),20,IF(AND($K$5=31),21,IF(AND($K$5=32),22,IF(AND($K$5=33),23,IF(AND($K$5=34),24,IF(AND($K$5=35),25,IF(AND($K$5=36),26,IF(AND($K$5=37),27,IF(AND($K$5=38),28,IF(AND($K$5=39),29,IF(AND($K$5=40),30,IF(AND($K$5=41),31,IF(AND($K$5=42),32,IF(AND($K$5=43),33,IF(AND($K$5=44),34,IF(AND($K$5=45),35,IF(AND($K$5=46),36,IF(AND($K$5=47),37,IF(AND($K$5=48),38,IF(AND($K$5=49),39,IF(AND($K$5=50),40,IF(AND($K$5=51),41,IF(AND($K$5=52),42,IF(AND($K$5=53),43,IF(AND($K$5=54),44," "))))))))))))))))))))))))))))))))))))))))))))</f>
        <v>38</v>
      </c>
    </row>
    <row r="20" spans="1:67" ht="18" customHeight="1" thickBot="1">
      <c r="A20" s="131">
        <v>11</v>
      </c>
      <c r="B20" s="393" t="s">
        <v>76</v>
      </c>
      <c r="C20" s="272">
        <f>IF($P$5&gt;=31,11,0)</f>
        <v>11</v>
      </c>
      <c r="D20" s="395" t="s">
        <v>94</v>
      </c>
      <c r="E20" s="272">
        <f>IF($P$5&gt;=32,11,0)</f>
        <v>11</v>
      </c>
      <c r="F20" s="24" t="s">
        <v>112</v>
      </c>
      <c r="G20" s="272">
        <f>IF($P$5&gt;=33,11,0)</f>
        <v>11</v>
      </c>
      <c r="I20" s="196">
        <v>11</v>
      </c>
      <c r="J20" s="204" t="str">
        <f>IF(ISNA(MATCH(I20,$C$10:$C$27,0)),"",INDEX(B$10:$B$27,MATCH(I20,$C$10:$C$27,0)))</f>
        <v>A11</v>
      </c>
      <c r="K20" s="137" t="str">
        <f>IF(ISNA(MATCH(I20,$E$10:$E$27,0)),"",INDEX($D$10:D$27,MATCH(I20,$E$10:$E$27,0)))</f>
        <v>B11</v>
      </c>
      <c r="L20" s="188" t="str">
        <f>IF(ISNA(MATCH(I20,$G$10:$G$27,0)),"",INDEX($F$10:F$27,MATCH(I20,$G$10:$G$27,0)))</f>
        <v>C11</v>
      </c>
      <c r="M20" s="155"/>
      <c r="N20" s="3">
        <v>6</v>
      </c>
      <c r="O20" s="138" t="str">
        <f>IF($P$5=31,J20,IF($P$5=32,J20,IF($P$5=33,J20,IF($P$5=34,J20,IF($P$5=35,J20,IF($P$5=36,J20,IF($P$5=37,J20,IF($P$5=38,J20,IF($P$5=39,J20,IF($P$5=40,J20,IF($P$5=41,J20,IF($P$5=42,J20,IF($P$5=43,J20,IF($P$5=44,J20,IF($P$5=45,J20,IF($P$5=46,J20,IF($P$5=47,J20,IF($P$5=48,J20,IF($P$5=49,J20,IF($P$5=50,J20,IF($P$5=51,J20,IF($P$5=52,J20,IF($P$5=53,J20,IF($P$5=54,J20,0))))))))))))))))))))))))</f>
        <v>A11</v>
      </c>
      <c r="P20" s="150" t="str">
        <f>IF($P$5=31,L18,IF($P$5=32,L18,IF($P$5=33,L19,IF($P$5=34,K20,IF($P$5=35,K20,IF($P$5=36,K20,IF($P$5=37,K20,IF($P$5=38,K20,IF($P$5=39,K20,IF($P$5=40,K20,IF($P$5=41,K20,IF($P$5=42,K20,IF($P$5=43,K20,IF($P$5=44,K20,IF($P$5=45,K20,IF($P$5=46,K20,IF($P$5=47,K20,IF($P$5=48,K20,IF($P$5=49,K20,IF($P$5=50,K20,IF($P$5=51,K20,IF($P$5=52,K20,IF($P$5=53,K20,IF($P$5=54,K20,0))))))))))))))))))))))))</f>
        <v>B11</v>
      </c>
      <c r="Q20" s="153" t="str">
        <f>IF($P$5=35,L20,IF($P$5=36,L20,IF($P$5=39,L20,IF($P$5=40,L20,IF($P$5=41,L20,IF($P$5=42,L20,IF($P$5=43,L20,IF($P$5=44,L20,IF($P$5=45,L20,IF($P$5=46,L20,IF($P$5=47,L20,IF($P$5=48,L20,IF($P$5=49,L20,IF($P$5=50,L20,IF($P$5=51,L20,IF($P$5=52,L20,IF($P$5=53,L20,IF($P$5=54,L20,0))))))))))))))))))</f>
        <v>C11</v>
      </c>
      <c r="R20" s="165" t="str">
        <f>IF($P$5=31,J10,IF($P$5=32,K20,IF($P$5=33,J10,IF($P$5=34,J21,IF($P$5=35,J21,IF($P$5=36,J21,IF($P$5=37,J21,IF($P$5=38,J21,IF($P$5=39,J21,IF($P$5=40,J21,IF($P$5=41,J21,IF($P$5=42,J21,IF($P$5=43,J21,IF($P$5=44,J21,IF($P$5=45,J21,IF($P$5=46,J21,IF($P$5=47,J21,IF($P$5=48,J21,IF($P$5=49,J21,IF($P$5=50,J21,IF($P$5=51,J21,IF($P$5=52,J21,IF($P$5=53,J21,IF($P$5=54,J21,0))))))))))))))))))))))))</f>
        <v>A12</v>
      </c>
      <c r="S20" s="157" t="str">
        <f>IF($P$5=31,P20,IF($P$5=32,K10,IF($P$5=33,P21,IF($P$5=34,K20,IF($P$5=35,K20,IF($P$5=36,K10,IF($P$5=37,K10,IF($P$5=38,P11,IF($P$5=39,K10,IF($P$5=40,K22,IF($P$5=41,K22,IF($P$5=42,K22,IF($P$5=43,K22,IF($P$5=44,K22,IF($P$5=45,K22,IF($P$5=46,K22,IF($P$5=47,K22,IF($P$5=48,K22,IF($P$5=49,K22,IF($P$5=50,K22,IF($P$5=51,K22,IF($P$5=52,K22,IF($P$5=53,K22,IF($P$5=54,K22,0))))))))))))))))))))))))</f>
        <v>B13</v>
      </c>
      <c r="T20" s="179" t="str">
        <f>IF($P$5=35,L19,IF($P$5=36,L11,IF($P$5=39,L12,IF($P$5=40,L10,IF($P$5=41,L10,IF($P$5=42,L23,IF($P$5=43,P24,IF($P$5=44,P25,IF($P$5=45,P24,IF($P$5=46,L23,IF($P$5=47,L23,IF($P$5=48,L23,IF($P$5=49,L10,IF($P$5=50,L23,IF($P$5=51,L23,IF($P$5=52,L23,IF($P$5=53,L23,IF($P$5=54,L23,0))))))))))))))))))</f>
        <v>C14</v>
      </c>
      <c r="U20" s="165" t="str">
        <f>IF($P$5=31,R19,IF($P$5=32,R19,IF($P$5=33,R19,IF($P$5=34,R18,IF($P$5=35,R18,IF($P$5=36,R21,IF($P$5=37,R21,IF($P$5=38,R21,IF($P$5=39,R21,IF($P$5=40,R21,IF($P$5=41,R21,IF($P$5=42,O22,IF($P$5=43,R21,IF($P$5=44,R21,IF($P$5=45,R21,IF($P$5=46,R21,IF($P$5=47,R21,IF($P$5=48,R21,IF($P$5=49,O22,IF($P$5=50,O22,IF($P$5=51,R21,IF($P$5=52,O22,IF($P$5=53,O22,IF($P$5=54,O22,0))))))))))))))))))))))))</f>
        <v>A13</v>
      </c>
      <c r="V20" s="163" t="str">
        <f>IF($P$5=31,T10,IF($P$5=32,S18,IF($P$5=33,S21,IF($P$5=34,S14,IF($P$5=35,S21,IF($P$5=36,S10,IF($P$5=37,S10,IF($P$5=38,S11,IF($P$5=39,S20,IF($P$5=40,S22,IF($P$5=41,S22,IF($P$5=42,S22,IF($P$5=43,S22,IF($P$5=44,S22,IF($P$5=45,S22,IF($P$5=46,S22,IF($P$5=47,S22,IF($P$5=48,S22,IF($P$5=49,S22,IF($P$5=50,S22,IF($P$5=51,S22,IF($P$5=52,S22,IF($P$5=53,S22,IF($P$5=54,S22,0))))))))))))))))))))))))</f>
        <v>B15</v>
      </c>
      <c r="W20" s="173" t="str">
        <f>IF($P$5=35,T14,IF($P$5=36,T11,IF($P$5=39,T10,IF($P$5=40,T10,IF($P$5=41,T10,IF($P$5=42,T23,IF($P$5=43,S24,IF($P$5=44,S24,IF($P$5=45,S24,IF($P$5=46,T23,IF($P$5=47,T23,IF($P$5=48,T23,IF($P$5=49,T10,IF($P$5=50,T23,IF($P$5=51,S26,IF($P$5=52,S27,IF($P$5=53,T23,IF($P$5=54,T23,0))))))))))))))))))</f>
        <v>C1</v>
      </c>
      <c r="Y20" s="447"/>
      <c r="Z20" s="14" t="str">
        <f>+P12</f>
        <v>B3</v>
      </c>
      <c r="AA20" s="18">
        <f>IF(ISTEXT(Z20),AA19,0)</f>
        <v>12</v>
      </c>
      <c r="AB20" s="18">
        <f>IF(ISTEXT(Z20),AB19,0)</f>
        <v>3</v>
      </c>
      <c r="AC20" s="62">
        <f>IF(ISTEXT(Z20),AC19,0)</f>
        <v>6</v>
      </c>
      <c r="AD20" s="11"/>
      <c r="AE20" s="14" t="str">
        <f>+S12</f>
        <v>B5</v>
      </c>
      <c r="AF20" s="18">
        <f>IF(ISTEXT(AE20),AF19,0)</f>
        <v>5</v>
      </c>
      <c r="AG20" s="59">
        <f>IF(ISTEXT(AE20),AG19,0)</f>
        <v>1</v>
      </c>
      <c r="AH20" s="62">
        <f>IF(ISTEXT(AE20),AH19,0)</f>
        <v>-7</v>
      </c>
      <c r="AI20" s="11"/>
      <c r="AJ20" s="14" t="str">
        <f>+V12</f>
        <v>B7</v>
      </c>
      <c r="AK20" s="18">
        <f>IF(ISTEXT(AJ20),AK19,0)</f>
        <v>14</v>
      </c>
      <c r="AL20" s="59">
        <f>IF(ISTEXT(AJ20),AL19,0)</f>
        <v>3</v>
      </c>
      <c r="AM20" s="62">
        <f>IF(ISTEXT(AJ20),AM19,0)</f>
        <v>5</v>
      </c>
      <c r="AN20" s="23"/>
      <c r="AO20" s="54">
        <v>12</v>
      </c>
      <c r="AP20" s="321" t="str">
        <f>+Inscrits!B14</f>
        <v>A12</v>
      </c>
      <c r="AQ20" s="286" t="str">
        <f t="shared" si="3"/>
        <v>0</v>
      </c>
      <c r="AR20" s="99" t="str">
        <f t="shared" si="4"/>
        <v>0</v>
      </c>
      <c r="AS20" s="219" t="str">
        <f t="shared" si="5"/>
        <v>0</v>
      </c>
      <c r="AT20" s="289" t="str">
        <f t="shared" si="6"/>
        <v>0</v>
      </c>
      <c r="AU20" s="99" t="str">
        <f t="shared" si="7"/>
        <v>0</v>
      </c>
      <c r="AV20" s="291" t="str">
        <f t="shared" si="8"/>
        <v>0</v>
      </c>
      <c r="AW20" s="286" t="str">
        <f t="shared" si="9"/>
        <v>0</v>
      </c>
      <c r="AX20" s="99" t="str">
        <f t="shared" si="10"/>
        <v>0</v>
      </c>
      <c r="AY20" s="291" t="str">
        <f t="shared" si="11"/>
        <v>0</v>
      </c>
      <c r="AZ20" s="286">
        <f t="shared" si="17"/>
        <v>0</v>
      </c>
      <c r="BA20" s="99">
        <f t="shared" si="12"/>
        <v>0</v>
      </c>
      <c r="BB20" s="291">
        <f t="shared" si="13"/>
        <v>0</v>
      </c>
      <c r="BC20" s="294">
        <f t="shared" si="14"/>
        <v>0</v>
      </c>
      <c r="BD20" s="7">
        <f t="shared" si="15"/>
        <v>0</v>
      </c>
      <c r="BE20" s="218">
        <f t="shared" si="16"/>
        <v>25.000000199999999</v>
      </c>
      <c r="BF20" s="99">
        <f>IF(AP20="","",SMALL(BE$9:BE$62,ROWS(AZ$9:AZ20)))</f>
        <v>8.9490004899999995</v>
      </c>
      <c r="BG20" s="88"/>
      <c r="BH20" s="289" t="str">
        <f>IF(OR(AP20="",AZ20=""),"",INDEX($AP$9:$AP$63,MATCH(BF20,$BE$9:BE$62,0)))</f>
        <v>C5</v>
      </c>
      <c r="BI20" s="7">
        <f t="shared" si="0"/>
        <v>3</v>
      </c>
      <c r="BJ20" s="7">
        <f t="shared" si="1"/>
        <v>5</v>
      </c>
      <c r="BK20" s="7">
        <f t="shared" si="2"/>
        <v>10</v>
      </c>
      <c r="BL20" s="280">
        <f>IF(BF20="","",IF(AND(BI19=BI20,BJ19=BJ20,BK19=BK20),BL19,$BL$9+11))</f>
        <v>12</v>
      </c>
      <c r="BN20" s="3">
        <f>IF(BH20="","",IF(AND(BK19=BK20,BL19=BL20,BM19=BM20),BN19,$BL$9+8))</f>
        <v>9</v>
      </c>
      <c r="BO20" s="405">
        <f>IF(AND($K$5=8)," ",IF(AND($K$5=9)," ",IF(AND($K$5=10)," ",IF(AND($K$5=11)," ",IF(AND($K$5=12),1,IF(AND($K$5=13),2,IF(AND($K$5=14),3,IF(AND($K$5=15),4,IF(AND($K$5=16),5,IF(AND($K$5=17),6,IF(AND($K$5=18),7,IF(AND($K$5=19),8,IF(AND($K$5=20),9,IF(AND($K$5=21),10,IF(AND($K$5=22),11,IF(AND($K$5=23),12,IF(AND($K$5=24),13,IF(AND($K$5=25),14,IF(AND($K$5=26),15,IF(AND($K$5=27),16,IF(AND($K$5=28),17,IF(AND($K$5=29),18,IF(AND($K$5=30),19,IF(AND($K$5=31),20,IF(AND($K$5=32),21,IF(AND($K$5=33),22,IF(AND($K$5=34),23,IF(AND($K$5=35),24,IF(AND($K$5=36),25,IF(AND($K$5=37),26,IF(AND($K$5=38),27,IF(AND($K$5=39),28,IF(AND($K$5=40),29,IF(AND($K$5=41),30,IF(AND($K$5=42),31,IF(AND($K$5=43),32,IF(AND($K$5=44),33,IF(AND($K$5=45),34,IF(AND($K$5=46),35,IF(AND($K$5=47),36,IF(AND($K$5=48),37,IF(AND($K$5=49),38,IF(AND($K$5=50),39,IF(AND($K$5=51),40,IF(AND($K$5=52),41,IF(AND($K$5=53),42,IF(AND($K$5=54),43," ")))))))))))))))))))))))))))))))))))))))))))))))</f>
        <v>37</v>
      </c>
    </row>
    <row r="21" spans="1:67" ht="18" customHeight="1" thickBot="1">
      <c r="A21" s="131">
        <v>12</v>
      </c>
      <c r="B21" s="393" t="s">
        <v>77</v>
      </c>
      <c r="C21" s="272">
        <f>IF($P$5&gt;=34,12,0)</f>
        <v>12</v>
      </c>
      <c r="D21" s="395" t="s">
        <v>95</v>
      </c>
      <c r="E21" s="272">
        <f>IF($P$5&gt;=35,12,0)</f>
        <v>12</v>
      </c>
      <c r="F21" s="24" t="s">
        <v>113</v>
      </c>
      <c r="G21" s="272">
        <f>IF($P$5&gt;=36,12,0)</f>
        <v>12</v>
      </c>
      <c r="I21" s="196">
        <v>12</v>
      </c>
      <c r="J21" s="204" t="str">
        <f>IF(ISNA(MATCH(I21,$C$10:$C$27,0)),"",INDEX(B$10:$B$27,MATCH(I21,$C$10:$C$27,0)))</f>
        <v>A12</v>
      </c>
      <c r="K21" s="137" t="str">
        <f>IF(ISNA(MATCH(I21,$E$10:$E$27,0)),"",INDEX($D$10:D$27,MATCH(I21,$E$10:$E$27,0)))</f>
        <v>B12</v>
      </c>
      <c r="L21" s="188" t="str">
        <f>IF(ISNA(MATCH(I21,$G$10:$G$27,0)),"",INDEX($F$10:F$27,MATCH(I21,$G$10:$G$27,0)))</f>
        <v>C12</v>
      </c>
      <c r="M21" s="155"/>
      <c r="N21" s="52" t="s">
        <v>5</v>
      </c>
      <c r="O21" s="141" t="str">
        <f>IF($P$5=31,K19,IF($P$5=32,K20,IF($P$5=33,K20,IF($P$5=34,J21,IF($P$5=35,J21,IF($P$5=36,J21,IF($P$5=37,J21,IF($P$5=38,J21,IF($P$5=39,J21,IF($P$5=40,J21,IF($P$5=41,J21,IF($P$5=42,J21,IF($P$5=43,J21,IF($P$5=44,J21,IF($P$5=45,J21,IF($P$5=46,J21,IF($P$5=47,J21,IF($P$5=48,J21,IF($P$5=49,J21,IF($P$5=50,J21,IF($P$5=51,J21,IF($P$5=52,J21,IF($P$5=53,J21,IF($P$5=54,J21,0))))))))))))))))))))))))</f>
        <v>A12</v>
      </c>
      <c r="P21" s="149" t="str">
        <f>IF($P$5=31,L19,IF($P$5=32,L19,IF($P$5=33,L20,IF($P$5=34,L20,IF($P$5=35,K21,IF($P$5=36,K21,IF($P$5=37,L21,IF($P$5=38,K21,IF($P$5=39,K21,IF($P$5=40,K21,IF($P$5=41,K21,IF($P$5=42,K21,IF($P$5=43,K21,IF($P$5=44,K21,IF($P$5=45,K21,IF($P$5=46,K21,IF($P$5=47,K21,IF($P$5=48,K21,IF($P$5=49,K21,IF($P$5=50,K21,IF($P$5=51,K21,IF($P$5=52,K21,IF($P$5=53,K21,IF($P$5=54,K21,0))))))))))))))))))))))))</f>
        <v>B12</v>
      </c>
      <c r="Q21" s="152" t="str">
        <f>IF($P$5=36,L21,IF($P$5=40,L21,IF($P$5=41,L21,IF($P$5=42,L21,IF($P$5=43,0,IF($P$5=44,L21,IF($P$5=45,L21,IF($P$5=46,L21,IF($P$5=47,L21,IF($P$5=48,L21,IF($P$5=49,L21,IF($P$5=50,L21,IF($P$5=51,L21,IF($P$5=52,L21,IF($P$5=53,L21,IF($P$5=54,L21,0))))))))))))))))</f>
        <v>C12</v>
      </c>
      <c r="R21" s="169" t="str">
        <f>IF($P$5=31,K11,IF($P$5=32,J10,IF($P$5=33,O21,IF($P$5=34,J10,IF($P$5=35,J10,IF($P$5=36,J10,IF($P$5=37,J22,IF($P$5=38,J22,IF($P$5=39,J22,IF($P$5=40,J22,IF($P$5=41,J22,IF($P$5=42,J22,IF($P$5=43,J22,IF($P$5=44,J22,IF($P$5=45,J22,IF($P$5=46,J22,IF($P$5=47,J22,IF($P$5=48,J22,IF($P$5=49,J22,IF($P$5=50,J22,IF($P$5=51,J22,IF($P$5=52,J22,IF($P$5=53,J22,IF($P$5=54,J22,0))))))))))))))))))))))))</f>
        <v>A13</v>
      </c>
      <c r="S21" s="162" t="str">
        <f>IF($P$5=31,O21,IF($P$5=32,P18,IF($P$5=33,P20,IF($P$5=34,L19,IF($P$5=35,K21,IF($P$5=36,K11,IF($P$5=37,L10,IF($P$5=38,K10,IF($P$5=39,K11,IF($P$5=40,K10,IF($P$5=41,K23,IF($P$5=42,K23,IF($P$5=43,P11,IF($P$5=44,K23,IF($P$5=45,K23,IF($P$5=46,K23,IF($P$5=47,K23,IF($P$5=48,K23,IF($P$5=49,K23,IF($P$5=50,K23,IF($P$5=51,K23,IF($P$5=52,K23,IF($P$5=53,K23,IF($P$5=54,K23,0))))))))))))))))))))))))</f>
        <v>B14</v>
      </c>
      <c r="T21" s="181" t="str">
        <f>IF($P$5=36,L12,IF($P$5=40,L11,IF($P$5=41,L11,IF($P$5=42,L10,IF($P$5=43,0,IF($P$5=44,L10,IF($P$5=45,P25,IF($P$5=46,P25,IF($P$5=47,L24,IF($P$5=48,L24,IF($P$5=49,L11,IF($P$5=50,P26,IF($P$5=51,L24,IF($P$5=52,L24,IF($P$5=53,L24,IF($P$5=54,L24,0))))))))))))))))</f>
        <v>C15</v>
      </c>
      <c r="U21" s="184" t="str">
        <f>IF($P$5=31,S21,IF($P$5=32,R20,IF($P$5=33,R21,IF($P$5=34,R20,IF($P$5=35,R20,IF($P$5=36,R10,IF($P$5=37,R22,IF($P$5=38,R22,IF($P$5=39,R22,IF($P$5=40,R22,IF($P$5=41,R22,IF($P$5=42,O23,IF($P$5=43,R22,IF($P$5=44,R22,IF($P$5=45,R22,IF($P$5=46,R22,IF($P$5=47,R22,IF($P$5=48,R22,IF($P$5=49,R22,IF($P$5=50,O23,IF($P$5=51,R22,IF($P$5=52,R22,IF($P$5=53,O23,IF($P$5=54,O23,0))))))))))))))))))))))))</f>
        <v>A14</v>
      </c>
      <c r="V21" s="162" t="str">
        <f>IF($P$5=31,S15,IF($P$5=32,S19,IF($P$5=33,T18,IF($P$5=34,T19,IF($P$5=35,S14,IF($P$5=36,S11,IF($P$5=37,T10,IF($P$5=38,S10,IF($P$5=39,S10,IF($P$5=40,S10,IF($P$5=41,S23,IF($P$5=42,S23,IF($P$5=43,S21,IF($P$5=44,S11,IF($P$5=45,S23,IF($P$5=46,S23,IF($P$5=47,S23,IF($P$5=48,S23,IF($P$5=49,S23,IF($P$5=50,S23,IF($P$5=51,S23,IF($P$5=52,S23,IF($P$5=53,S23,IF($P$5=54,S23,0))))))))))))))))))))))))</f>
        <v>B16</v>
      </c>
      <c r="W21" s="174" t="str">
        <f>IF($P$5=36,T12,IF($P$5=40,T11,IF($P$5=41,T11,IF($P$5=42,T10,IF($P$5=44,T10,IF($P$5=45,T10,IF($P$5=46,S25,IF($P$5=47,T24,IF($P$5=48,T24,IF($P$5=49,T11,IF($P$5=50,S26,IF($P$5=51,T22,IF($P$5=52,T23,IF($P$5=53,T24,IF($P$5=54,T24,0)))))))))))))))</f>
        <v>C2</v>
      </c>
      <c r="Y21" s="447"/>
      <c r="Z21" s="14" t="str">
        <f>+Q12</f>
        <v>C3</v>
      </c>
      <c r="AA21" s="67">
        <f>IF(ISTEXT(Z21),AA19,0)</f>
        <v>12</v>
      </c>
      <c r="AB21" s="67">
        <f>IF(ISTEXT(Z21),AB19,0)</f>
        <v>3</v>
      </c>
      <c r="AC21" s="68">
        <f>IF(ISTEXT(Z21),AC19,0)</f>
        <v>6</v>
      </c>
      <c r="AD21" s="11"/>
      <c r="AE21" s="14" t="str">
        <f>+T12</f>
        <v>C6</v>
      </c>
      <c r="AF21" s="67">
        <f>IF(ISTEXT(AE21),AF19,0)</f>
        <v>5</v>
      </c>
      <c r="AG21" s="64">
        <f>IF(ISTEXT(AE21),AG19,0)</f>
        <v>1</v>
      </c>
      <c r="AH21" s="68">
        <f>IF(ISTEXT(AE21),AH19,0)</f>
        <v>-7</v>
      </c>
      <c r="AI21" s="11"/>
      <c r="AJ21" s="14" t="str">
        <f>+W12</f>
        <v>C9</v>
      </c>
      <c r="AK21" s="67">
        <f>IF(ISTEXT(AJ21),AK19,0)</f>
        <v>14</v>
      </c>
      <c r="AL21" s="64">
        <f>IF(ISTEXT(AJ21),AL19,0)</f>
        <v>3</v>
      </c>
      <c r="AM21" s="68">
        <f>IF(ISTEXT(AJ21),AM19,0)</f>
        <v>5</v>
      </c>
      <c r="AN21" s="23"/>
      <c r="AO21" s="54">
        <v>13</v>
      </c>
      <c r="AP21" s="321" t="str">
        <f>+Inscrits!B15</f>
        <v>A13</v>
      </c>
      <c r="AQ21" s="286" t="str">
        <f t="shared" si="3"/>
        <v>0</v>
      </c>
      <c r="AR21" s="99" t="str">
        <f t="shared" si="4"/>
        <v>0</v>
      </c>
      <c r="AS21" s="219" t="str">
        <f t="shared" si="5"/>
        <v>0</v>
      </c>
      <c r="AT21" s="289" t="str">
        <f t="shared" si="6"/>
        <v>0</v>
      </c>
      <c r="AU21" s="99" t="str">
        <f t="shared" si="7"/>
        <v>0</v>
      </c>
      <c r="AV21" s="291" t="str">
        <f t="shared" si="8"/>
        <v>0</v>
      </c>
      <c r="AW21" s="286" t="str">
        <f t="shared" si="9"/>
        <v>0</v>
      </c>
      <c r="AX21" s="99" t="str">
        <f t="shared" si="10"/>
        <v>0</v>
      </c>
      <c r="AY21" s="291" t="str">
        <f t="shared" si="11"/>
        <v>0</v>
      </c>
      <c r="AZ21" s="286">
        <f t="shared" si="17"/>
        <v>0</v>
      </c>
      <c r="BA21" s="99">
        <f t="shared" si="12"/>
        <v>0</v>
      </c>
      <c r="BB21" s="291">
        <f t="shared" si="13"/>
        <v>0</v>
      </c>
      <c r="BC21" s="294">
        <f t="shared" si="14"/>
        <v>0</v>
      </c>
      <c r="BD21" s="7">
        <f t="shared" si="15"/>
        <v>0</v>
      </c>
      <c r="BE21" s="218">
        <f t="shared" si="16"/>
        <v>25.00000021</v>
      </c>
      <c r="BF21" s="99">
        <f>IF(AP21="","",SMALL(BE$9:BE$62,ROWS(AZ$9:AZ21)))</f>
        <v>8.9894002799999999</v>
      </c>
      <c r="BG21" s="88"/>
      <c r="BH21" s="289" t="str">
        <f>IF(OR(AP21="",AZ21=""),"",INDEX($AP$9:$AP$63,MATCH(BF21,$BE$9:BE$62,0)))</f>
        <v>B2</v>
      </c>
      <c r="BI21" s="7">
        <f t="shared" si="0"/>
        <v>3</v>
      </c>
      <c r="BJ21" s="7">
        <f t="shared" si="1"/>
        <v>1</v>
      </c>
      <c r="BK21" s="7">
        <f t="shared" si="2"/>
        <v>6</v>
      </c>
      <c r="BL21" s="280">
        <f>IF(BF21="","",IF(AND(BI20=BI21,BJ20=BJ21,BK20=BK21),BL20,$BL$9+12))</f>
        <v>13</v>
      </c>
      <c r="BN21" s="3">
        <f>IF(BH21="","",IF(AND(BK20=BK21,BL20=BL21,BM20=BM21),BN20,$BL$9+7))</f>
        <v>8</v>
      </c>
      <c r="BO21" s="405">
        <f>IF(AND($K$5=13),1,IF(AND($K$5=14),2,IF(AND($K$5=15),3,IF(AND($K$5=16),4,IF(AND($K$5=17),5,IF(AND($K$5=18),6,IF(AND($K$5=19),7,IF(AND($K$5=20),8,IF(AND($K$5=21),9,IF(AND($K$5=22),10,IF(AND($K$5=23),11,IF(AND($K$5=24),12,IF(AND($K$5=25),13,IF(AND($K$5=26),14,IF(AND($K$5=27),15,IF(AND($K$5=28),16,IF(AND($K$5=29),17,IF(AND($K$5=30),18,IF(AND($K$5=31),19,IF(AND($K$5=32),20,IF(AND($K$5=33),21,IF(AND($K$5=34),22,IF(AND($K$5=35),23,IF(AND($K$5=36),24,IF(AND($K$5=37),25,IF(AND($K$5=38),26,IF(AND($K$5=39),27,IF(AND($K$5=40),28,IF(AND($K$5=41),29,IF(AND($K$5=42),30,IF(AND($K$5=43),31,IF(AND($K$5=44),32,IF(AND($K$5=45),33,IF(AND($K$5=46),34,IF(AND($K$5=47),35,IF(AND($K$5=48),36,IF(AND($K$5=49),37,IF(AND($K$5=50),38,IF(AND($K$5=51),39,IF(AND($K$5=52),40,IF(AND($K$5=53),41,IF(AND($K$5=54),42," "))))))))))))))))))))))))))))))))))))))))))</f>
        <v>36</v>
      </c>
    </row>
    <row r="22" spans="1:67" ht="18" customHeight="1">
      <c r="A22" s="131">
        <v>13</v>
      </c>
      <c r="B22" s="393" t="s">
        <v>78</v>
      </c>
      <c r="C22" s="272">
        <f>IF($P$5&gt;=37,13,0)</f>
        <v>13</v>
      </c>
      <c r="D22" s="395" t="s">
        <v>96</v>
      </c>
      <c r="E22" s="272">
        <f>IF($P$5&gt;=38,13,0)</f>
        <v>13</v>
      </c>
      <c r="F22" s="24" t="s">
        <v>114</v>
      </c>
      <c r="G22" s="272">
        <f>IF($P$5&gt;=39,13,0)</f>
        <v>13</v>
      </c>
      <c r="I22" s="196">
        <v>13</v>
      </c>
      <c r="J22" s="204" t="str">
        <f>IF(ISNA(MATCH(I22,$C$10:$C$27,0)),"",INDEX(B$10:$B$27,MATCH(I22,$C$10:$C$27,0)))</f>
        <v>A13</v>
      </c>
      <c r="K22" s="137" t="str">
        <f>IF(ISNA(MATCH(I22,$E$10:$E$27,0)),"",INDEX($D$10:D$27,MATCH(I22,$E$10:$E$27,0)))</f>
        <v>B13</v>
      </c>
      <c r="L22" s="188" t="str">
        <f>IF(ISNA(MATCH(I22,$G$10:$G$27,0)),"",INDEX($F$10:F$27,MATCH(I22,$G$10:$G$27,0)))</f>
        <v>C13</v>
      </c>
      <c r="M22" s="155"/>
      <c r="N22" s="82">
        <v>7</v>
      </c>
      <c r="O22" s="147" t="str">
        <f>IF($P$5=36,0,IF($P$5=37,J22,IF($P$5=38,J22,IF($P$5=39,J22,IF($P$5=40,J22,IF($P$5=41,J22,IF($P$5=42,J22,IF($P$5=43,J22,IF($P$5=44,J22,IF($P$5=45,J22,IF($P$5=46,J22,IF($P$5=47,J22,IF($P$5=48,J22,IF($P$5=49,J22,IF($P$5=50,J22,IF($P$5=51,J22,IF($P$5=52,J22,IF($P$5=53,J22,IF($P$5=54,J22,0)))))))))))))))))))</f>
        <v>A13</v>
      </c>
      <c r="P22" s="151" t="str">
        <f>IF($P$5=36,0,IF($P$5=37,L20,IF($P$5=38,L20,IF($P$5=39,L21,IF($P$5=40,K22,IF($P$5=41,K22,IF($P$5=42,K22,IF($P$5=43,K22,IF($P$5=44,K22,IF($P$5=45,K22,IF($P$5=46,K22,IF($P$5=47,K22,IF($P$5=48,K22,IF($P$5=49,K22,IF($P$5=50,K22,IF($P$5=51,K22,IF($P$5=52,K22,IF($P$5=53,K22,IF($P$5=54,K22,0)))))))))))))))))))</f>
        <v>B13</v>
      </c>
      <c r="Q22" s="148" t="str">
        <f>IF($P$5=39,0,IF($P$5=40,0,IF($P$5=41,L22,IF($P$5=42,L22,IF($P$5=43,0,IF($P$5=44,0,IF($P$5=45,L22,IF($P$5=46,L22,IF($P$5=47,L22,IF($P$5=48,L22,IF($P$5=49,L22,IF($P$5=50,L22,IF($P$5=51,L22,IF($P$5=52,L22,IF($P$5=53,L22,IF($P$5=54,L22,0))))))))))))))))</f>
        <v>C13</v>
      </c>
      <c r="R22" s="165" t="str">
        <f>IF($P$5=33,0,IF($P$5=34,0,IF($P$5=35,0,IF($P$5=36,0,IF($P$5=37,J10,IF($P$5=38,J10,IF($P$5=39,J10,IF($P$5=40,J23,IF($P$5=41,J23,IF($P$5=42,J23,IF($P$5=43,J23,IF($P$5=44,J23,IF($P$5=45,J23,IF($P$5=46,J23,IF($P$5=47,J23,IF($P$5=48,J23,IF($P$5=49,J23,IF($P$5=50,J23,IF($P$5=51,J23,IF($P$5=52,J23,IF($P$5=53,J23,IF($P$5=54,J23,0))))))))))))))))))))))</f>
        <v>A14</v>
      </c>
      <c r="S22" s="157" t="str">
        <f>IF($P$5=37,L11,IF($P$5=38,L11,IF($P$5=39,P23,IF($P$5=40,K11,IF($P$5=41,K10,IF($P$5=42,K10,IF($P$5=43,K10,IF($P$5=44,P10,IF($P$5=45,P11,IF($P$5=46,K24,IF($P$5=47,K24,IF($P$5=48,K24,IF($P$5=49,K24,IF($P$5=50,K24,IF($P$5=51,K24,IF($P$5=52,K24,IF($P$5=53,K24,IF($P$5=54,K24,0))))))))))))))))))</f>
        <v>B15</v>
      </c>
      <c r="T22" s="179" t="str">
        <f>IF($P$5=41,L12,IF($P$5=42,L11,IF($P$5=43,0,IF($P$5=44,0,IF($P$5=45,L10,IF($P$5=46,L10,IF($P$5=47,L10,IF($P$5=48,L25,IF($P$5=49,L12,IF($P$5=50,P27,IF($P$5=51,L10,IF($P$5=52,L25,IF($P$5=53,L25,IF($P$5=54,L25,0))))))))))))))</f>
        <v>C16</v>
      </c>
      <c r="U22" s="167" t="str">
        <f>IF($P$5=37,R10,IF($P$5=38,R10,IF($P$5=39,R10,IF($P$5=40,R23,IF($P$5=41,R23,IF($P$5=42,R23,IF($P$5=43,R23,IF($P$5=44,R23,IF($P$5=45,R23,IF($P$5=46,R23,IF($P$5=47,R23,IF($P$5=48,R23,IF($P$5=49,R23,IF($P$5=50,R23,IF($P$5=51,R23,IF($P$5=52,R23,IF($P$5=53,R23,IF($P$5=54,O24,0))))))))))))))))))</f>
        <v>A15</v>
      </c>
      <c r="V22" s="163" t="str">
        <f>IF($P$5=37,T11,IF($P$5=38,T12,IF($P$5=39,T19,IF($P$5=40,S11,IF($P$5=41,S10,IF($P$5=42,S10,IF($P$5=43,S10,IF($P$5=44,S25,IF($P$5=45,S11,IF($P$5=46,S24,IF($P$5=47,S24,IF($P$5=48,S24,IF($P$5=49,S24,IF($P$5=50,S11,IF($P$5=51,S11,IF($P$5=52,S24,IF($P$5=53,S24,IF($P$5=54,S24,0))))))))))))))))))</f>
        <v>B1</v>
      </c>
      <c r="W22" s="173" t="str">
        <f>IF($P$5=41,T12,IF($P$5=42,T11,IF($P$5=45,S25,IF($P$5=46,T10,IF($P$5=47,T10,IF($P$5=48,T25,IF($P$5=49,T12,IF($P$5=50,S27,IF($P$5=51,T23,IF($P$5=52,T24,IF($P$5=53,T25,IF($P$5=54,T25,0))))))))))))</f>
        <v>C3</v>
      </c>
      <c r="Y22" s="447"/>
      <c r="Z22" s="32"/>
      <c r="AA22" s="230" t="s">
        <v>5</v>
      </c>
      <c r="AB22" s="21"/>
      <c r="AC22" s="22"/>
      <c r="AD22" s="25"/>
      <c r="AE22" s="32"/>
      <c r="AF22" s="230" t="s">
        <v>5</v>
      </c>
      <c r="AG22" s="21"/>
      <c r="AH22" s="22"/>
      <c r="AI22" s="25"/>
      <c r="AJ22" s="32"/>
      <c r="AK22" s="230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 t="str">
        <f t="shared" si="3"/>
        <v>0</v>
      </c>
      <c r="AR22" s="99" t="str">
        <f t="shared" si="4"/>
        <v>0</v>
      </c>
      <c r="AS22" s="219" t="str">
        <f t="shared" si="5"/>
        <v>0</v>
      </c>
      <c r="AT22" s="289" t="str">
        <f t="shared" si="6"/>
        <v>0</v>
      </c>
      <c r="AU22" s="99" t="str">
        <f t="shared" si="7"/>
        <v>0</v>
      </c>
      <c r="AV22" s="291" t="str">
        <f t="shared" si="8"/>
        <v>0</v>
      </c>
      <c r="AW22" s="286" t="str">
        <f t="shared" si="9"/>
        <v>0</v>
      </c>
      <c r="AX22" s="99" t="str">
        <f t="shared" si="10"/>
        <v>0</v>
      </c>
      <c r="AY22" s="291" t="str">
        <f t="shared" si="11"/>
        <v>0</v>
      </c>
      <c r="AZ22" s="286">
        <f t="shared" si="17"/>
        <v>0</v>
      </c>
      <c r="BA22" s="99">
        <f t="shared" si="12"/>
        <v>0</v>
      </c>
      <c r="BB22" s="291">
        <f t="shared" si="13"/>
        <v>0</v>
      </c>
      <c r="BC22" s="294">
        <f t="shared" si="14"/>
        <v>0</v>
      </c>
      <c r="BD22" s="7">
        <f t="shared" si="15"/>
        <v>0</v>
      </c>
      <c r="BE22" s="218">
        <f t="shared" si="16"/>
        <v>25.00000022</v>
      </c>
      <c r="BF22" s="99">
        <f>IF(AP22="","",SMALL(BE$9:BE$62,ROWS(AZ$9:AZ22)))</f>
        <v>8.9894004600000006</v>
      </c>
      <c r="BG22" s="88"/>
      <c r="BH22" s="289" t="str">
        <f>IF(OR(AP22="",AZ22=""),"",INDEX($AP$9:$AP$63,MATCH(BF22,$BE$9:BE$62,0)))</f>
        <v>C2</v>
      </c>
      <c r="BI22" s="7">
        <f t="shared" si="0"/>
        <v>3</v>
      </c>
      <c r="BJ22" s="7">
        <f t="shared" si="1"/>
        <v>1</v>
      </c>
      <c r="BK22" s="7">
        <f t="shared" si="2"/>
        <v>6</v>
      </c>
      <c r="BL22" s="280">
        <f>IF(BF22="","",IF(AND(BI21=BI22,BJ21=BJ22,BK21=BK22),BL21,$BL$9+13))</f>
        <v>13</v>
      </c>
      <c r="BN22" s="3">
        <f>IF(BH22="","",IF(AND(BK21=BK22,BL21=BL22,BM21=BM22),BN21,$BL$9+6))</f>
        <v>8</v>
      </c>
      <c r="BO22" s="405">
        <f>IF(AND($K$5=14),1,IF(AND($K$5=15),2,IF(AND($K$5=16),3,IF(AND($K$5=17),4,IF(AND($K$5=18),5,IF(AND($K$5=19),6,IF(AND($K$5=20),7,IF(AND($K$5=21),8,IF(AND($K$5=22),9,IF(AND($K$5=23),10,IF(AND($K$5=24),11,IF(AND($K$5=25),12,IF(AND($K$5=26),13,IF(AND($K$5=27),14,IF(AND($K$5=28),15,IF(AND($K$5=29),16,IF(AND($K$5=30),17,IF(AND($K$5=31),18,IF(AND($K$5=32),19,IF(AND($K$5=33),20,IF(AND($K$5=34),21,IF(AND($K$5=35),22,IF(AND($K$5=36),23,IF(AND($K$5=37),24,IF(AND($K$5=38),25,IF(AND($K$5=39),26,IF(AND($K$5=40),27,IF(AND($K$5=41),28,IF(AND($K$5=42),29,IF(AND($K$5=43),30,IF(AND($K$5=44),31,IF(AND($K$5=45),32,IF(AND($K$5=46),33,IF(AND($K$5=47),34,IF(AND($K$5=48),35,IF(AND($K$5=49),36,IF(AND($K$5=50),37,IF(AND($K$5=51),38,IF(AND($K$5=52),39,IF(AND($K$5=53),40,IF(AND($K$5=54),41," ")))))))))))))))))))))))))))))))))))))))))</f>
        <v>35</v>
      </c>
    </row>
    <row r="23" spans="1:67" ht="18" customHeight="1" thickBot="1">
      <c r="A23" s="131">
        <v>14</v>
      </c>
      <c r="B23" s="393" t="s">
        <v>79</v>
      </c>
      <c r="C23" s="274">
        <f>IF($P$5&gt;=40,14,0)</f>
        <v>14</v>
      </c>
      <c r="D23" s="395" t="s">
        <v>97</v>
      </c>
      <c r="E23" s="274">
        <f>IF($P$5&gt;=41,14,0)</f>
        <v>14</v>
      </c>
      <c r="F23" s="24" t="s">
        <v>115</v>
      </c>
      <c r="G23" s="274">
        <f>IF($P$5&gt;=42,14,0)</f>
        <v>14</v>
      </c>
      <c r="I23" s="196">
        <v>14</v>
      </c>
      <c r="J23" s="204" t="str">
        <f>IF(ISNA(MATCH(I23,$C$10:$C$27,0)),"",INDEX(B$10:$B$27,MATCH(I23,$C$10:$C$27,0)))</f>
        <v>A14</v>
      </c>
      <c r="K23" s="137" t="str">
        <f>IF(ISNA(MATCH(I23,$E$10:$E$27,0)),"",INDEX($D$10:D$27,MATCH(I23,$E$10:$E$27,0)))</f>
        <v>B14</v>
      </c>
      <c r="L23" s="188" t="str">
        <f>IF(ISNA(MATCH(I23,$G$10:$G$27,0)),"",INDEX($F$10:F$27,MATCH(I23,$G$10:$G$27,0)))</f>
        <v>C14</v>
      </c>
      <c r="M23" s="155"/>
      <c r="N23" s="52" t="s">
        <v>5</v>
      </c>
      <c r="O23" s="141" t="str">
        <f>IF($P$5=36,0,IF($P$5=37,K21,IF($P$5=38,K22,IF($P$5=39,K22,IF($P$5=40,J23,IF($P$5=41,J23,IF($P$5=42,J23,IF($P$5=43,J23,IF($P$5=44,J23,IF($P$5=45,J23,IF($P$5=46,J23,IF($P$5=47,J23,IF($P$5=48,J23,IF($P$5=49,J23,IF($P$5=50,J23,IF($P$5=51,J23,IF($P$5=52,J23,IF($P$5=53,J23,IF($P$5=54,J23,0)))))))))))))))))))</f>
        <v>A14</v>
      </c>
      <c r="P23" s="149" t="str">
        <f>IF($P$5=36,0,IF($P$5=37,L19,IF($P$5=38,L21,IF($P$5=39,L22,IF($P$5=40,L22,IF($P$5=41,K23,IF($P$5=42,K23,IF($P$5=43,L22,IF($P$5=44,K23,IF($P$5=45,K23,IF($P$5=46,K2:K23,IF($P$5=47,K23,IF($P$5=48,K23,IF($P$5=49,K23,IF($P$5=50,K23,IF($P$5=51,K23,IF($P$5=52,K23,IF($P$5=53,K23,IF($P$5=54,K23,0)))))))))))))))))))</f>
        <v>B14</v>
      </c>
      <c r="Q23" s="143" t="str">
        <f>IF($P$5=40,0,IF($P$5=41,0,IF($P$5=42,L23,IF($P$5=43,0,IF($P$5=44,0,IF($P$5=45,0,IF($P$5=46,L23,IF($P$5=47,L23,IF($P$5=48,L23,IF($P$5=49,0,IF($P$5=50,L23,IF($P$5=51,L23,IF($P$5=52,L23,IF($P$5=53,L23,IF($P$5=54,L23,0)))))))))))))))</f>
        <v>C14</v>
      </c>
      <c r="R23" s="170" t="str">
        <f>IF($P$5=37,O23,IF($P$5=38,O23,IF($P$5=39,O23,IF($P$5=40,J10,IF($P$5=41,J10,IF($P$5=42,J10,IF($P$5=43,J24,IF($P$5=44,J24,IF($P$5=45,J24,IF($P$5=46,J24,IF($P$5=47,J24,IF($P$5=48,J24,IF($P$5=49,J24,IF($P$5=50,J24,IF($P$5=51,J24,IF($P$5=52,J24,IF($P$5=53,J24,IF($P$5=54,J24,0))))))))))))))))))</f>
        <v>A15</v>
      </c>
      <c r="S23" s="171" t="str">
        <f>IF($P$5=37,L12,IF($P$5=38,L12,IF($P$5=39,P22,IF($P$5=40,L12,IF($P$5=41,K11,IF($P$5=42,K11,IF($P$5=43,L11,IF($P$5=44,L11,IF($P$5=45,K10,IF($P$5=46,K10,IF($P$5=47,K25,IF($P$5=48,K25,IF($P$5=49,P11,IF($P$5=50,K25,IF($P$5=51,K25,IF($P$5=52,K25,IF($P$5=53,K25,IF($P$5=54,K25,0))))))))))))))))))</f>
        <v>B16</v>
      </c>
      <c r="T23" s="181" t="str">
        <f>IF($P$5=42,L12,IF($P$5=46,L11,IF($P$5=47,L11,IF($P$5=48,L10,IF($P$5=49,0,IF($P$5=50,L10,IF($P$5=51,L11,IF($P$5=52,L10,IF($P$5=53,L26,IF($P$5=54,L26,0))))))))))</f>
        <v>C1</v>
      </c>
      <c r="U23" s="210" t="str">
        <f>IF($P$5=37,R23,IF($P$5=38,R23,IF($P$5=39,R23,IF($P$5=40,R10,IF($P$5=41,R10,IF($P$5=42,R10,IF($P$5=43,R24,IF($P$5=44,R24,IF($P$5=45,R24,IF($P$5=46,R24,IF($P$5=47,R24,IF($P$5=48,R24,IF($P$5=49,R24,IF($P$5=50,R24,IF($P$5=51,R24,IF($P$5=52,R24,IF($P$5=53,R24,IF($P$5=54,O25,0))))))))))))))))))</f>
        <v>A16</v>
      </c>
      <c r="V23" s="176" t="str">
        <f>IF($P$5=37,T12,IF($P$5=38,T11,IF($P$5=39,T11,IF($P$5=40,T12,IF($P$5=41,S11,IF($P$5=42,S11,IF($P$5=43,T12,IF($P$5=44,S10,IF($P$5=45,S10,IF($P$5=46,S10,IF($P$5=47,S25,IF($P$5=48,S25,IF($P$5=49,S11,IF($P$5=50,S24,IF($P$5=51,S24,IF($P$5=52,S25,IF($P$5=53,S25,IF($P$5=54,S25,0))))))))))))))))))</f>
        <v>B2</v>
      </c>
      <c r="W23" s="177" t="str">
        <f>IF($P$5=42,T12,IF($P$5=46,T11,IF($P$5=47,T11,IF($P$5=48,T10,IF($P$5=49,0,IF($P$5=50,T10,IF($P$5=51,T24,IF($P$5=52,T25,IF($P$5=53,T26,IF($P$5=54,T26,0))))))))))</f>
        <v>C4</v>
      </c>
      <c r="Y23" s="447"/>
      <c r="Z23" s="14" t="str">
        <f>+O13</f>
        <v>A4</v>
      </c>
      <c r="AA23" s="35">
        <v>6</v>
      </c>
      <c r="AB23" s="30">
        <f>IF(AA19+AA23=0,0,IF(AA19=AA23,2,IF(AA19&lt;AA23,3,1)))</f>
        <v>1</v>
      </c>
      <c r="AC23" s="15">
        <f>AA23-AA19</f>
        <v>-6</v>
      </c>
      <c r="AD23" s="24"/>
      <c r="AE23" s="14" t="str">
        <f>+R13</f>
        <v>A5</v>
      </c>
      <c r="AF23" s="127">
        <v>12</v>
      </c>
      <c r="AG23" s="30">
        <f>IF(AF19+AF23=0,0,IF(AF19=AF23,2,IF(AF19&lt;AF23,3,1)))</f>
        <v>3</v>
      </c>
      <c r="AH23" s="15">
        <f>AF23-AF19</f>
        <v>7</v>
      </c>
      <c r="AI23" s="24"/>
      <c r="AJ23" s="14" t="str">
        <f>+U13</f>
        <v>A6</v>
      </c>
      <c r="AK23" s="37">
        <v>9</v>
      </c>
      <c r="AL23" s="30">
        <f>IF(AK19+AK23=0,0,IF(AK19=AK23,2,IF(AK19&lt;AK23,3,1)))</f>
        <v>1</v>
      </c>
      <c r="AM23" s="15">
        <f>AK23-AK19</f>
        <v>-5</v>
      </c>
      <c r="AN23" s="23"/>
      <c r="AO23" s="54">
        <v>15</v>
      </c>
      <c r="AP23" s="321" t="str">
        <f>+Inscrits!B17</f>
        <v>A15</v>
      </c>
      <c r="AQ23" s="286" t="str">
        <f t="shared" si="3"/>
        <v>0</v>
      </c>
      <c r="AR23" s="99" t="str">
        <f t="shared" si="4"/>
        <v>0</v>
      </c>
      <c r="AS23" s="219" t="str">
        <f t="shared" si="5"/>
        <v>0</v>
      </c>
      <c r="AT23" s="289" t="str">
        <f t="shared" si="6"/>
        <v>0</v>
      </c>
      <c r="AU23" s="99" t="str">
        <f t="shared" si="7"/>
        <v>0</v>
      </c>
      <c r="AV23" s="291" t="str">
        <f t="shared" si="8"/>
        <v>0</v>
      </c>
      <c r="AW23" s="286" t="str">
        <f t="shared" si="9"/>
        <v>0</v>
      </c>
      <c r="AX23" s="99" t="str">
        <f t="shared" si="10"/>
        <v>0</v>
      </c>
      <c r="AY23" s="291" t="str">
        <f t="shared" si="11"/>
        <v>0</v>
      </c>
      <c r="AZ23" s="286">
        <f t="shared" si="17"/>
        <v>0</v>
      </c>
      <c r="BA23" s="99">
        <f t="shared" si="12"/>
        <v>0</v>
      </c>
      <c r="BB23" s="291">
        <f t="shared" si="13"/>
        <v>0</v>
      </c>
      <c r="BC23" s="294">
        <f t="shared" si="14"/>
        <v>0</v>
      </c>
      <c r="BD23" s="7">
        <f t="shared" si="15"/>
        <v>0</v>
      </c>
      <c r="BE23" s="218">
        <f t="shared" si="16"/>
        <v>25.000000230000001</v>
      </c>
      <c r="BF23" s="99">
        <f>IF(AP23="","",SMALL(BE$9:BE$62,ROWS(AZ$9:AZ23)))</f>
        <v>8.98950052</v>
      </c>
      <c r="BG23" s="88"/>
      <c r="BH23" s="289" t="str">
        <f>IF(OR(AP23="",AZ23=""),"",INDEX($AP$9:$AP$63,MATCH(BF23,$BE$9:BE$62,0)))</f>
        <v>C8</v>
      </c>
      <c r="BI23" s="7">
        <f t="shared" si="0"/>
        <v>3</v>
      </c>
      <c r="BJ23" s="7">
        <f t="shared" si="1"/>
        <v>1</v>
      </c>
      <c r="BK23" s="7">
        <f t="shared" si="2"/>
        <v>5</v>
      </c>
      <c r="BL23" s="280">
        <f>IF(BF23="","",IF(AND(BI22=BI23,BJ22=BJ23,BK22=BK23),BL22,$BL$9+14))</f>
        <v>15</v>
      </c>
      <c r="BN23" s="3">
        <f>IF(BH23="","",IF(AND(BK22=BK23,BL22=BL23,BM22=BM23),BN22,$BL$9+5))</f>
        <v>6</v>
      </c>
      <c r="BO23" s="405">
        <f>IF(AND($K$5=8)," ",IF(AND($K$5=9)," ",IF(AND($K$5=10)," ",IF(AND($K$5=11)," ",IF(AND($K$5=12)," ",IF(AND($K$5=13)," ",IF(AND($K$5=14)," ",IF(AND($K$5=15),1,IF(AND($K$5=16),2,IF(AND($K$5=17),3,IF(AND($K$5=18),4,IF(AND($K$5=19),5,IF(AND($K$5=20),6,IF(AND($K$5=21),7,IF(AND($K$5=22),8,IF(AND($K$5=23),9,IF(AND($K$5=24),10,IF(AND($K$5=25),11,IF(AND($K$5=26),12,IF(AND($K$5=27),13,IF(AND($K$5=28),14,IF(AND($K$5=29),15,IF(AND($K$5=30),16,IF(AND($K$5=31),17,IF(AND($K$5=32),18,IF(AND($K$5=33),19,IF(AND($K$5=34),20,IF(AND($K$5=35),21,IF(AND($K$5=36),22,IF(AND($K$5=37),23,IF(AND($K$5=38),24,IF(AND($K$5=39),25,IF(AND($K$5=40),26,IF(AND($K$5=41),27,IF(AND($K$5=42),28,IF(AND($K$5=43),29,IF(AND($K$5=44),30,IF(AND($K$5=45),31,IF(AND($K$5=46),32,IF(AND($K$5=47),33,IF(AND($K$5=48),34,IF(AND($K$5=49),35,IF(AND($K$5=50),36,IF(AND($K$5=51),37,IF(AND($K$5=52),38,IF(AND($K$5=53),39,IF(AND($K$5=54),40," ")))))))))))))))))))))))))))))))))))))))))))))))</f>
        <v>34</v>
      </c>
    </row>
    <row r="24" spans="1:67" ht="18" customHeight="1" thickBot="1">
      <c r="A24" s="131">
        <v>15</v>
      </c>
      <c r="B24" s="393" t="s">
        <v>80</v>
      </c>
      <c r="C24" s="274">
        <f>IF($P$5&gt;=43,15,0)</f>
        <v>15</v>
      </c>
      <c r="D24" s="395" t="s">
        <v>98</v>
      </c>
      <c r="E24" s="274">
        <f>IF($P$5&gt;=44,15,0)</f>
        <v>15</v>
      </c>
      <c r="F24" s="24" t="s">
        <v>116</v>
      </c>
      <c r="G24" s="274">
        <f>IF($P$5&gt;=45,15,0)</f>
        <v>15</v>
      </c>
      <c r="I24" s="196">
        <v>15</v>
      </c>
      <c r="J24" s="204" t="str">
        <f>IF(ISNA(MATCH(I24,$C$10:$C$27,0)),"",INDEX(B$10:$B$27,MATCH(I24,$C$10:$C$27,0)))</f>
        <v>A15</v>
      </c>
      <c r="K24" s="137" t="str">
        <f>IF(ISNA(MATCH(I24,$E$10:$E$27,0)),"",INDEX($D$10:D$27,MATCH(I24,$E$10:$E$27,0)))</f>
        <v>B15</v>
      </c>
      <c r="L24" s="188" t="str">
        <f>IF(ISNA(MATCH(I24,$G$10:$G$27,0)),"",INDEX($F$10:F$27,MATCH(I24,$G$10:$G$27,0)))</f>
        <v>C15</v>
      </c>
      <c r="M24" s="155"/>
      <c r="N24" s="82">
        <v>8</v>
      </c>
      <c r="O24" s="147" t="str">
        <f>IF($P$5=43,J24,IF($P$5=44,J24,IF($P$5=45,J24,IF($P$5=46,J24,IF($P$5=47,J24,IF($P$5=48,J24,IF($P$5=49,J24,IF($P$5=50,J24,IF($P$5=51,J24,IF($P$5=52,J24,IF($P$5=53,J24,IF($P$5=54,J24,0))))))))))))</f>
        <v>A15</v>
      </c>
      <c r="P24" s="142" t="str">
        <f>IF($P$5=43,L23,IF($P$5=44,L22,IF($P$5=45,L23,IF($P$5=46,K24,IF($P$5=47,K24,IF($P$5=48,K24,IF($P$5=49,K24,IF($P$5=50,K24,IF($P$5=51,K24,IF($P$5=52,K24,IF($P$5=53,K24,IF($P$5=54,K24,0))))))))))))</f>
        <v>B15</v>
      </c>
      <c r="Q24" s="148" t="str">
        <f>IF($P$5=43,0,IF($P$5=44,0,IF($P$5=45,0,IF($P$5=46,0,IF($P$5=47,L24,IF($P$5=48,L24,IF($P$5=49,0,IF($P$5=50,0,IF($P$5=51,L24,IF($P$5=52,L24,IF($P$5=53,L24,IF($P$5=54,L24,0))))))))))))</f>
        <v>C15</v>
      </c>
      <c r="R24" s="165" t="str">
        <f>IF($P$5=43,J10,IF($P$5=44,J10,IF($P$5=45,J10,IF($P$5=46,J25,IF($P$5=47,J25,IF($P$5=48,J25,IF($P$5=49,J25,IF($P$5=50,J25,IF($P$5=51,J25,IF($P$5=52,J25,IF($P$5=53,J25,IF($P$5=54,J25,0))))))))))))</f>
        <v>A16</v>
      </c>
      <c r="S24" s="157" t="str">
        <f>IF($P$5=43,L12,IF($P$5=44,L12,IF($P$5=45,L11,IF($P$5=46,K11,IF($P$5=47,K10,IF($P$5=48,K10,IF($P$5=49,K10,IF($P$5=50,K10,IF($P$5=51,K10,IF($P$5=52,K26,IF($P$5=53,K26,IF($P$5=54,K26,0))))))))))))</f>
        <v>B1</v>
      </c>
      <c r="T24" s="179" t="str">
        <f>IF($P$5=47,L12,IF($P$5=48,L11,IF($P$5=49,0,IF($P$5=50,0,IF($P$5=51,L12,IF($P$5=52,L11,IF($P$5=53,L10,IF($P$5=54,L27,0))))))))</f>
        <v>C2</v>
      </c>
      <c r="U24" s="414" t="str">
        <f>IF($P$5=43,R10,IF($P$5=44,R10,IF($P$5=45,R10,IF($P$5=46,R25,IF($P$5=47,R25,IF($P$5=48,R25,IF($P$5=49,R25,IF($P$5=50,R25,IF($P$5=51,R25,IF($P$5=52,R25,IF($P$5=53,O26,IF($P$5=54,O26,0))))))))))))</f>
        <v>A1</v>
      </c>
      <c r="V24" s="415" t="str">
        <f>IF($P$5=43,T11,IF($P$5=44,T11,IF($P$5=45,T11,IF($P$5=46,S11,IF($P$5=47,S10,IF($P$5=48,S10,IF($P$5=49,S10,IF($P$5=50,S25,IF($P$5=51,S25,IF($P$5=52,S26,IF($P$5=53,S26,IF($P$5=54,S26,0))))))))))))</f>
        <v>B3</v>
      </c>
      <c r="W24" s="173" t="str">
        <f>IF($P$5=47,T12,IF($P$5=48,T11,IF($P$5=49,0,IF($P$5=50,0,IF($P$5=51,T10,IF($P$5=52,T10,IF($P$5=53,T10,IF($P$5=54,T27,0))))))))</f>
        <v>C5</v>
      </c>
      <c r="Y24" s="447"/>
      <c r="Z24" s="14" t="str">
        <f>+P13</f>
        <v>B4</v>
      </c>
      <c r="AA24" s="69">
        <f>IF(ISTEXT(Z24),AA23,0)</f>
        <v>6</v>
      </c>
      <c r="AB24" s="18">
        <f>IF(ISTEXT(Z24),AB23,0)</f>
        <v>1</v>
      </c>
      <c r="AC24" s="62">
        <f>IF(ISTEXT(Z24),AC23,0)</f>
        <v>-6</v>
      </c>
      <c r="AD24" s="11"/>
      <c r="AE24" s="14" t="str">
        <f>+S13</f>
        <v>B6</v>
      </c>
      <c r="AF24" s="18">
        <f>IF(ISTEXT(AE24),AF23,0)</f>
        <v>12</v>
      </c>
      <c r="AG24" s="18">
        <f>IF(ISTEXT(AE24),AG23,0)</f>
        <v>3</v>
      </c>
      <c r="AH24" s="62">
        <f>IF(ISTEXT(AE24),AH23,0)</f>
        <v>7</v>
      </c>
      <c r="AI24" s="11"/>
      <c r="AJ24" s="14" t="str">
        <f>+V13</f>
        <v>B8</v>
      </c>
      <c r="AK24" s="18">
        <f>IF(ISTEXT(AJ24),AK23,0)</f>
        <v>9</v>
      </c>
      <c r="AL24" s="18">
        <f>IF(ISTEXT(AJ24),AL23,0)</f>
        <v>1</v>
      </c>
      <c r="AM24" s="62">
        <f>IF(ISTEXT(AJ24),AM23,0)</f>
        <v>-5</v>
      </c>
      <c r="AN24" s="23"/>
      <c r="AO24" s="54">
        <v>16</v>
      </c>
      <c r="AP24" s="321" t="str">
        <f>+Inscrits!B18</f>
        <v>A16</v>
      </c>
      <c r="AQ24" s="286" t="str">
        <f t="shared" si="3"/>
        <v>0</v>
      </c>
      <c r="AR24" s="99" t="str">
        <f t="shared" si="4"/>
        <v>0</v>
      </c>
      <c r="AS24" s="219" t="str">
        <f t="shared" si="5"/>
        <v>0</v>
      </c>
      <c r="AT24" s="289" t="str">
        <f t="shared" si="6"/>
        <v>0</v>
      </c>
      <c r="AU24" s="99" t="str">
        <f t="shared" si="7"/>
        <v>0</v>
      </c>
      <c r="AV24" s="291" t="str">
        <f t="shared" si="8"/>
        <v>0</v>
      </c>
      <c r="AW24" s="286" t="str">
        <f t="shared" si="9"/>
        <v>0</v>
      </c>
      <c r="AX24" s="99" t="str">
        <f t="shared" si="10"/>
        <v>0</v>
      </c>
      <c r="AY24" s="291" t="str">
        <f t="shared" si="11"/>
        <v>0</v>
      </c>
      <c r="AZ24" s="286">
        <f t="shared" si="17"/>
        <v>0</v>
      </c>
      <c r="BA24" s="99">
        <f t="shared" si="12"/>
        <v>0</v>
      </c>
      <c r="BB24" s="291">
        <f t="shared" si="13"/>
        <v>0</v>
      </c>
      <c r="BC24" s="294">
        <f t="shared" si="14"/>
        <v>0</v>
      </c>
      <c r="BD24" s="7">
        <f t="shared" si="15"/>
        <v>0</v>
      </c>
      <c r="BE24" s="218">
        <f t="shared" si="16"/>
        <v>25.000000239999999</v>
      </c>
      <c r="BF24" s="99">
        <f>IF(AP24="","",SMALL(BE$9:BE$62,ROWS(AZ$9:AZ24)))</f>
        <v>16.079100309999998</v>
      </c>
      <c r="BG24" s="88"/>
      <c r="BH24" s="289" t="str">
        <f>IF(OR(AP24="",AZ24=""),"",INDEX($AP$9:$AP$63,MATCH(BF24,$BE$9:BE$62,0)))</f>
        <v>B5</v>
      </c>
      <c r="BI24" s="7">
        <f t="shared" si="0"/>
        <v>2</v>
      </c>
      <c r="BJ24" s="7">
        <f t="shared" si="1"/>
        <v>-8</v>
      </c>
      <c r="BK24" s="7">
        <f t="shared" si="2"/>
        <v>9</v>
      </c>
      <c r="BL24" s="280">
        <f>IF(BF24="","",IF(AND(BI23=BI24,BJ23=BJ24,BK23=BK24),BL23,$BL$9+15))</f>
        <v>16</v>
      </c>
      <c r="BN24" s="3">
        <f>IF(BH24="","",IF(AND(BK23=BK24,BL23=BL24,BM23=BM24),BN23,$BL$9+4))</f>
        <v>5</v>
      </c>
      <c r="BO24" s="405">
        <f>IF(AND($K$5=16),1,IF(AND($K$5=17),2,IF(AND($K$5=18),3,IF(AND($K$5=19),4,IF(AND($K$5=20),5,IF(AND($K$5=21),6,IF(AND($K$5=22),7,IF(AND($K$5=23),8,IF(AND($K$5=24),9,IF(AND($K$5=25),10,IF(AND($K$5=26),11,IF(AND($K$5=27),12,IF(AND($K$5=28),13,IF(AND($K$5=29),14,IF(AND($K$5=30),15,IF(AND($K$5=31),16,IF(AND($K$5=32),17,IF(AND($K$5=33),18,IF(AND($K$5=34),19,IF(AND($K$5=35),20,IF(AND($K$5=36),21,IF(AND($K$5=37),22,IF(AND($K$5=38),23,IF(AND($K$5=39),24,IF(AND($K$5=40),25,IF(AND($K$5=41),26,IF(AND($K$5=42),27,IF(AND($K$5=43),28,IF(AND($K$5=44),29,IF(AND($K$5=45),30,IF(AND($K$5=46),31,IF(AND($K$5=47),32,IF(AND($K$5=48),33,IF(AND($K$5=49),34,IF(AND($K$5=50),35,IF(AND($K$5=51),36,IF(AND($K$5=52),37,IF(AND($K$5=53),38,IF(AND($K$5=54),39," ")))))))))))))))))))))))))))))))))))))))</f>
        <v>33</v>
      </c>
    </row>
    <row r="25" spans="1:67" ht="18" customHeight="1" thickBot="1">
      <c r="A25" s="131">
        <v>16</v>
      </c>
      <c r="B25" s="393" t="s">
        <v>81</v>
      </c>
      <c r="C25" s="274">
        <f>IF($P$5&gt;=46,16,0)</f>
        <v>16</v>
      </c>
      <c r="D25" s="395" t="s">
        <v>99</v>
      </c>
      <c r="E25" s="274">
        <f>IF($P$5&gt;=47,16,0)</f>
        <v>16</v>
      </c>
      <c r="F25" s="24" t="s">
        <v>117</v>
      </c>
      <c r="G25" s="274">
        <f>IF($P$5&gt;=48,16,0)</f>
        <v>16</v>
      </c>
      <c r="I25" s="196">
        <v>16</v>
      </c>
      <c r="J25" s="204" t="str">
        <f>IF(ISNA(MATCH(I25,$C$10:$C$27,0)),"",INDEX(B$10:$B$27,MATCH(I25,$C$10:$C$27,0)))</f>
        <v>A16</v>
      </c>
      <c r="K25" s="137" t="str">
        <f>IF(ISNA(MATCH(I25,$E$10:$E$27,0)),"",INDEX($D$10:D$27,MATCH(I25,$E$10:$E$27,0)))</f>
        <v>B16</v>
      </c>
      <c r="L25" s="188" t="str">
        <f>IF(ISNA(MATCH(I25,$G$10:$G$27,0)),"",INDEX($F$10:F$27,MATCH(I25,$G$10:$G$27,0)))</f>
        <v>C16</v>
      </c>
      <c r="M25" s="155"/>
      <c r="N25" s="52" t="s">
        <v>5</v>
      </c>
      <c r="O25" s="141" t="str">
        <f>IF($P$5=43,K23,IF($P$5=44,K24,IF($P$5=45,K24,IF($P$5=46,J25,IF($P$5=47,J25,IF($P$5=48,J25,IF($P$5=49,J25,IF($P$5=50,J25,IF($P$5=51,J25,IF($P$5=52,J25,IF($P$5=53,J25,IF($P$5=54,J25,0))))))))))))</f>
        <v>A16</v>
      </c>
      <c r="P25" s="146" t="str">
        <f>IF($P$5=43,L21,IF($P$5=44,L23,IF($P$5=45,L24,IF($P$5=46,L24,IF($P$5=47,K25,IF($P$5=48,K25,IF($P$5=49,L25,IF($P$5=50,K25,IF($P$5=51,K25,IF($P$5=52,K25,IF($P$5=53,K25,IF($P$5=54,K25,0))))))))))))</f>
        <v>B16</v>
      </c>
      <c r="Q25" s="143" t="str">
        <f>IF($P$5=48,L25,IF($P$5=49,0,IF($P$5=50,0,IF($P$5=51,0,IF($P$5=52,L25,IF($P$5=53,L25,IF($P$5=54,L25,0)))))))</f>
        <v>C16</v>
      </c>
      <c r="R25" s="412" t="str">
        <f>IF($P$5=43,O25,IF($P$5=44,O25,IF($P$5=45,O25,IF($P$5=46,J10,IF($P$5=47,J10,IF($P$5=48,J10,IF($P$5=49,J26,IF($P$5=50,J26,IF($P$5=51,J26,IF($P$5=52,J26,IF($P$5=53,J26,IF($P$5=54,J26,0))))))))))))</f>
        <v>A1</v>
      </c>
      <c r="S25" s="413" t="str">
        <f>IF($P$5=43,L10,IF($P$5=44,K11,IF($P$5=45,L12,IF($P$5=46,L12,IF($P$5=47,K11,IF($P$5=48,K11,IF($P$5=49,P27,IF($P$5=50,K11,IF($P$5=51,K11,IF($P$5=52,K10,IF($P$5=53,K27,IF($P$5=54,K27,0))))))))))))</f>
        <v>B2</v>
      </c>
      <c r="T25" s="181" t="str">
        <f>IF($P$5=48,L12,IF($P$5=49,0,IF($P$5=50,0,IF($P$5=51,0,IF($P$5=52,L12,IF($P$5=53,L11,IF($P$5=54,L10,0)))))))</f>
        <v>C3</v>
      </c>
      <c r="U25" s="184" t="str">
        <f>IF($P$5=43,R25,IF($P$5=44,R25,IF($P$5=45,R25,IF($P$5=46,R10,IF($P$5=47,R10,IF($P$5=48,R10,IF($P$5=49,R26,IF($P$5=50,R26,IF($P$5=51,R26,IF($P$5=52,O27,IF($P$5=53,R26,IF($P$5=54,O27,0))))))))))))</f>
        <v>A2</v>
      </c>
      <c r="V25" s="176" t="str">
        <f>IF($P$5=43,T10,IF($P$5=44,T12,IF($P$5=45,T12,IF($P$5=46,T12,IF($P$5=47,S11,IF($P$5=48,S11,IF($P$5=49,S25,IF($P$5=50,S10,IF($P$5=51,S10,IF($P$5=52,S10,IF($P$5=53,S27,IF($P$5=54,S27,0))))))))))))</f>
        <v>B4</v>
      </c>
      <c r="W25" s="177" t="str">
        <f>IF($P$5=48,T12,IF($P$5=49,0,IF($P$5=50,0,IF($P$5=51,0,IF($P$5=52,T11,IF($P$5=53,T11,IF($P$5=54,T10,0)))))))</f>
        <v>C6</v>
      </c>
      <c r="Y25" s="448"/>
      <c r="Z25" s="16" t="str">
        <f>+Q13</f>
        <v>C4</v>
      </c>
      <c r="AA25" s="69">
        <f>IF(ISTEXT(Z25),AA23,0)</f>
        <v>6</v>
      </c>
      <c r="AB25" s="18">
        <f>IF(ISTEXT(Z25),AB23,0)</f>
        <v>1</v>
      </c>
      <c r="AC25" s="62">
        <f>IF(ISTEXT(Z25),AC23,0)</f>
        <v>-6</v>
      </c>
      <c r="AD25" s="11"/>
      <c r="AE25" s="16" t="str">
        <f>+T13</f>
        <v>C7</v>
      </c>
      <c r="AF25" s="18">
        <f>IF(ISTEXT(AE25),AF23,0)</f>
        <v>12</v>
      </c>
      <c r="AG25" s="18">
        <f>IF(ISTEXT(AE25),AG23,0)</f>
        <v>3</v>
      </c>
      <c r="AH25" s="62">
        <f>IF(ISTEXT(AE25),AH23,0)</f>
        <v>7</v>
      </c>
      <c r="AI25" s="11"/>
      <c r="AJ25" s="16" t="str">
        <f>+W13</f>
        <v>C10</v>
      </c>
      <c r="AK25" s="18">
        <f>IF(ISTEXT(AJ25),AK23,0)</f>
        <v>9</v>
      </c>
      <c r="AL25" s="18">
        <f>IF(ISTEXT(AJ25),AL23,0)</f>
        <v>1</v>
      </c>
      <c r="AM25" s="62">
        <f>IF(ISTEXT(AJ25),AM23,0)</f>
        <v>-5</v>
      </c>
      <c r="AN25" s="23"/>
      <c r="AO25" s="54">
        <v>17</v>
      </c>
      <c r="AP25" s="321" t="str">
        <f>+Inscrits!B19</f>
        <v>A17</v>
      </c>
      <c r="AQ25" s="286" t="str">
        <f t="shared" si="3"/>
        <v xml:space="preserve"> </v>
      </c>
      <c r="AR25" s="99" t="str">
        <f t="shared" si="4"/>
        <v xml:space="preserve"> </v>
      </c>
      <c r="AS25" s="219" t="str">
        <f t="shared" si="5"/>
        <v xml:space="preserve"> </v>
      </c>
      <c r="AT25" s="289" t="str">
        <f t="shared" si="6"/>
        <v xml:space="preserve"> </v>
      </c>
      <c r="AU25" s="99" t="str">
        <f t="shared" si="7"/>
        <v xml:space="preserve"> </v>
      </c>
      <c r="AV25" s="291" t="str">
        <f t="shared" si="8"/>
        <v xml:space="preserve"> </v>
      </c>
      <c r="AW25" s="286" t="str">
        <f t="shared" si="9"/>
        <v xml:space="preserve"> </v>
      </c>
      <c r="AX25" s="99" t="str">
        <f t="shared" si="10"/>
        <v xml:space="preserve"> </v>
      </c>
      <c r="AY25" s="291" t="str">
        <f t="shared" si="11"/>
        <v xml:space="preserve"> </v>
      </c>
      <c r="AZ25" s="286">
        <f t="shared" si="17"/>
        <v>0</v>
      </c>
      <c r="BA25" s="99">
        <f t="shared" si="12"/>
        <v>0</v>
      </c>
      <c r="BB25" s="291">
        <f t="shared" si="13"/>
        <v>0</v>
      </c>
      <c r="BC25" s="294">
        <f t="shared" si="14"/>
        <v>0</v>
      </c>
      <c r="BD25" s="7">
        <f t="shared" si="15"/>
        <v>0</v>
      </c>
      <c r="BE25" s="218">
        <f t="shared" si="16"/>
        <v>25.000000249999999</v>
      </c>
      <c r="BF25" s="99">
        <f>IF(AP25="","",SMALL(BE$9:BE$62,ROWS(AZ$9:AZ25)))</f>
        <v>16.108900479999999</v>
      </c>
      <c r="BG25" s="88"/>
      <c r="BH25" s="289" t="str">
        <f>IF(OR(AP25="",AZ25=""),"",INDEX($AP$9:$AP$63,MATCH(BF25,$BE$9:BE$62,0)))</f>
        <v>C4</v>
      </c>
      <c r="BI25" s="7">
        <f t="shared" si="0"/>
        <v>2</v>
      </c>
      <c r="BJ25" s="7">
        <f t="shared" si="1"/>
        <v>-11</v>
      </c>
      <c r="BK25" s="7">
        <f t="shared" si="2"/>
        <v>11</v>
      </c>
      <c r="BL25" s="280">
        <f>IF(BF25="","",IF(AND(BI24=BI25,BJ24=BJ25,BK24=BK25),BL24,$BL$9+16))</f>
        <v>17</v>
      </c>
      <c r="BN25" s="3">
        <f>IF(BH25="","",IF(AND(BK24=BK25,BL24=BL25,BM24=BM25),BN24,$BL$9+3))</f>
        <v>4</v>
      </c>
      <c r="BO25" s="405">
        <f>IF(AND($K$5=17),1,IF(AND($K$5=18),2,IF(AND($K$5=19),3,IF(AND($K$5=20),4,IF(AND($K$5=21),5,IF(AND($K$5=22),6,IF(AND($K$5=23),7,IF(AND($K$5=24),8,IF(AND($K$5=25),9,IF(AND($K$5=26),10,IF(AND($K$5=27),11,IF(AND($K$5=28),12,IF(AND($K$5=29),13,IF(AND($K$5=30),14,IF(AND($K$5=31),15,IF(AND($K$5=32),16,IF(AND($K$5=33),17,IF(AND($K$5=34),18,IF(AND($K$5=35),19,IF(AND($K$5=36),20,IF(AND($K$5=37),21,IF(AND($K$5=38),22,IF(AND($K$5=39),23,IF(AND($K$5=40),24,IF(AND($K$5=41),25,IF(AND($K$5=42),26,IF(AND($K$5=43),27,IF(AND($K$5=44),28,IF(AND($K$5=45),29,IF(AND($K$5=46),30,IF(AND($K$5=47),31,IF(AND($K$5=48),32,IF(AND($K$5=49),33,IF(AND($K$5=50),34,IF(AND($K$5=51),35,IF(AND($K$5=52),36,IF(AND($K$5=53),37,IF(AND($K$5=54),38," "))))))))))))))))))))))))))))))))))))))</f>
        <v>32</v>
      </c>
    </row>
    <row r="26" spans="1:67" ht="18" customHeight="1" thickBot="1">
      <c r="A26" s="131">
        <v>17</v>
      </c>
      <c r="B26" s="393" t="s">
        <v>82</v>
      </c>
      <c r="C26" s="272">
        <f>IF($P$5&gt;=49,17,0)</f>
        <v>0</v>
      </c>
      <c r="D26" s="395" t="s">
        <v>100</v>
      </c>
      <c r="E26" s="272">
        <f>IF($P$5&gt;=50,17,0)</f>
        <v>0</v>
      </c>
      <c r="F26" s="24" t="s">
        <v>118</v>
      </c>
      <c r="G26" s="272">
        <f>IF($P$5&gt;=51,17,0)</f>
        <v>0</v>
      </c>
      <c r="H26" s="134"/>
      <c r="I26" s="199">
        <v>17</v>
      </c>
      <c r="J26" s="205" t="str">
        <f>IF(ISNA(MATCH(I26,$C$10:$C$27,0)),"",INDEX(B$10:$B$27,MATCH(I26,$C$10:$C$27,0)))</f>
        <v/>
      </c>
      <c r="K26" s="200" t="str">
        <f>IF(ISNA(MATCH(I26,$E$10:$E$27,0)),"",INDEX($D$10:D$27,MATCH(I26,$E$10:$E$27,0)))</f>
        <v/>
      </c>
      <c r="L26" s="206" t="str">
        <f>IF(ISNA(MATCH(I26,$G$10:$G$27,0)),"",INDEX($F$10:F$27,MATCH(I26,$G$10:$G$27,0)))</f>
        <v/>
      </c>
      <c r="M26"/>
      <c r="N26" s="82">
        <v>9</v>
      </c>
      <c r="O26" s="147">
        <f>IF($P$5=49,J26,IF($P$5=50,J26,IF($P$5=51,J26,IF($P$5=52,J26,IF($P$5=53,J26,IF($P$5=54,J26,0))))))</f>
        <v>0</v>
      </c>
      <c r="P26" s="142">
        <f>IF($P$5=49,L24,IF($P$5=50,L24,IF($P$5=51,L25,IF($P$5=52,K26,IF($P$5=53,K26,IF($P$5=54,K26,0))))))</f>
        <v>0</v>
      </c>
      <c r="Q26" s="148">
        <f>IF($P$5=51,0,IF($P$5=52,0,IF($P$5=53,L26,IF($P$5=54,L26,0))))</f>
        <v>0</v>
      </c>
      <c r="R26" s="165">
        <f>IF($P$5=43,0,IF($P$5=44,0,IF($P$5=45,0,IF($P$5=46,0,IF($P$5=47,0,IF($P$5=48,0,IF($P$5=49,O10,IF($P$5=50,O10,IF($P$5=51,O10,IF($P$5=52,O27,IF($P$5=53,O27,IF($P$5=54,O27,0))))))))))))</f>
        <v>0</v>
      </c>
      <c r="S26" s="157">
        <f>IF($P$5=43,0,IF($P$5=44,0,IF($P$5=45,0,IF($P$5=46,0,IF($P$5=47,0,IF($P$5=48,0,IF($P$5=49,P26,IF($P$5=50,Q11,IF($P$5=51,P27,IF($P$5=52,P11,IF($P$5=53,P10,IF($P$5=54,P10,0))))))))))))</f>
        <v>0</v>
      </c>
      <c r="T26" s="212">
        <f>IF($P$5=53,Q12,IF($P$5=54,Q11,0))</f>
        <v>0</v>
      </c>
      <c r="U26" s="215">
        <f>IF($P$5=49,R10,IF($P$5=50,R10,IF($P$5=51,R10,IF($P$5=52,R27,IF($P$5=53,R27,IF($P$5=54,R27,0))))))</f>
        <v>0</v>
      </c>
      <c r="V26" s="163">
        <f>IF($P$5=49,S27,IF($P$5=50,T11,IF($P$5=51,T11,IF($P$5=52,S11,IF($P$5=53,S10,IF($P$5=54,S10,0))))))</f>
        <v>0</v>
      </c>
      <c r="W26" s="173">
        <f>IF($P$5=43,0,IF($P$5=44,0,IF($P$5=45,0,IF($P$5=46,0,IF($P$5=47,0,IF($P$5=48,0,IF($P$5=49,0,IF($P$5=50,0,IF($P$5=51,0,IF($P$5=52,0,IF($P$5=53,T12,IF($P$5=54,T11,0))))))))))))</f>
        <v>0</v>
      </c>
      <c r="Y26" s="128"/>
      <c r="Z26" s="70"/>
      <c r="AA26" s="231"/>
      <c r="AB26" s="70"/>
      <c r="AC26" s="70"/>
      <c r="AD26" s="231"/>
      <c r="AE26" s="70"/>
      <c r="AF26" s="231"/>
      <c r="AG26" s="70"/>
      <c r="AH26" s="70"/>
      <c r="AI26" s="231"/>
      <c r="AJ26" s="70"/>
      <c r="AK26" s="231"/>
      <c r="AL26" s="70"/>
      <c r="AM26" s="70"/>
      <c r="AN26" s="23"/>
      <c r="AO26" s="54">
        <v>18</v>
      </c>
      <c r="AP26" s="321" t="str">
        <f>+Inscrits!B20</f>
        <v>A18</v>
      </c>
      <c r="AQ26" s="286" t="str">
        <f t="shared" si="3"/>
        <v xml:space="preserve"> </v>
      </c>
      <c r="AR26" s="99" t="str">
        <f t="shared" si="4"/>
        <v xml:space="preserve"> </v>
      </c>
      <c r="AS26" s="219" t="str">
        <f t="shared" si="5"/>
        <v xml:space="preserve"> </v>
      </c>
      <c r="AT26" s="289" t="str">
        <f t="shared" si="6"/>
        <v xml:space="preserve"> </v>
      </c>
      <c r="AU26" s="99" t="str">
        <f t="shared" si="7"/>
        <v xml:space="preserve"> </v>
      </c>
      <c r="AV26" s="291" t="str">
        <f t="shared" si="8"/>
        <v xml:space="preserve"> </v>
      </c>
      <c r="AW26" s="286" t="str">
        <f t="shared" si="9"/>
        <v xml:space="preserve"> </v>
      </c>
      <c r="AX26" s="99" t="str">
        <f t="shared" si="10"/>
        <v xml:space="preserve"> </v>
      </c>
      <c r="AY26" s="291" t="str">
        <f t="shared" si="11"/>
        <v xml:space="preserve"> </v>
      </c>
      <c r="AZ26" s="286">
        <f t="shared" si="17"/>
        <v>0</v>
      </c>
      <c r="BA26" s="99">
        <f t="shared" si="12"/>
        <v>0</v>
      </c>
      <c r="BB26" s="291">
        <f t="shared" si="13"/>
        <v>0</v>
      </c>
      <c r="BC26" s="294">
        <f t="shared" si="14"/>
        <v>0</v>
      </c>
      <c r="BD26" s="7">
        <f t="shared" si="15"/>
        <v>0</v>
      </c>
      <c r="BE26" s="218">
        <f t="shared" si="16"/>
        <v>25.00000026</v>
      </c>
      <c r="BF26" s="99">
        <f>IF(AP26="","",SMALL(BE$9:BE$62,ROWS(AZ$9:AZ26)))</f>
        <v>18.009500090000003</v>
      </c>
      <c r="BG26" s="88"/>
      <c r="BH26" s="289" t="str">
        <f>IF(OR(AP26="",AZ26=""),"",INDEX($AP$9:$AP$63,MATCH(BF26,$BE$9:BE$62,0)))</f>
        <v>A1</v>
      </c>
      <c r="BI26" s="7">
        <f t="shared" si="0"/>
        <v>1</v>
      </c>
      <c r="BJ26" s="7">
        <f t="shared" si="1"/>
        <v>-1</v>
      </c>
      <c r="BK26" s="7">
        <f t="shared" si="2"/>
        <v>5</v>
      </c>
      <c r="BL26" s="280">
        <f>IF(BF26="","",IF(AND(BI25=BI26,BJ25=BJ26,BK25=BK26),BL25,$BL$9+17))</f>
        <v>18</v>
      </c>
      <c r="BN26" s="3">
        <f>IF(BH26="","",IF(AND(BK25=BK26,BL25=BL26,BM25=BM26),BN25,$BL$9+2))</f>
        <v>3</v>
      </c>
      <c r="BO26" s="405">
        <f>IF(AND($K$5=18),1,IF(AND($K$5=19),2,IF(AND($K$5=20),3,IF(AND($K$5=21),4,IF(AND($K$5=22),5,IF(AND($K$5=23),6,IF(AND($K$5=24),7,IF(AND($K$5=25),8,IF(AND($K$5=26),9,IF(AND($K$5=27),10,IF(AND($K$5=28),11,IF(AND($K$5=29),12,IF(AND($K$5=30),13,IF(AND($K$5=31),14,IF(AND($K$5=32),15,IF(AND($K$5=33),16,IF(AND($K$5=34),17,IF(AND($K$5=35),18,IF(AND($K$5=36),19,IF(AND($K$5=37),20,IF(AND($K$5=38),21,IF(AND($K$5=39),22,IF(AND($K$5=40),23,IF(AND($K$5=41),24,IF(AND($K$5=42),25,IF(AND($K$5=43),26,IF(AND($K$5=44),27,IF(AND($K$5=45),28,IF(AND($K$5=46),29,IF(AND($K$5=47),30,IF(AND($K$5=48),31,IF(AND($K$5=49),32,IF(AND($K$5=50),33,IF(AND($K$5=51),34,IF(AND($K$5=52),35,IF(AND($K$5=53),36,IF(AND($K$5=54),37," ")))))))))))))))))))))))))))))))))))))</f>
        <v>31</v>
      </c>
    </row>
    <row r="27" spans="1:67" ht="18" customHeight="1" thickBot="1">
      <c r="A27" s="197">
        <v>18</v>
      </c>
      <c r="B27" s="394" t="s">
        <v>83</v>
      </c>
      <c r="C27" s="275">
        <f>IF($P$5&gt;=52,18,0)</f>
        <v>0</v>
      </c>
      <c r="D27" s="419" t="s">
        <v>101</v>
      </c>
      <c r="E27" s="275">
        <f>IF($P$5&gt;=53,18,0)</f>
        <v>0</v>
      </c>
      <c r="F27" s="96" t="s">
        <v>119</v>
      </c>
      <c r="G27" s="275">
        <f>IF($P$5&gt;=54,18,0)</f>
        <v>0</v>
      </c>
      <c r="H27" s="134"/>
      <c r="I27" s="198">
        <v>18</v>
      </c>
      <c r="J27" s="207" t="str">
        <f>IF(ISNA(MATCH(I27,$C$10:$C$27,0)),"",INDEX(B$10:$B$27,MATCH(I27,$C$10:$C$27,0)))</f>
        <v/>
      </c>
      <c r="K27" s="189" t="str">
        <f>IF(ISNA(MATCH(I27,$E$10:$E$27,0)),"",INDEX($D$10:D$27,MATCH(I27,$E$10:$E$27,0)))</f>
        <v/>
      </c>
      <c r="L27" s="190" t="str">
        <f>IF(ISNA(MATCH(I27,$G$10:$G$27,0)),"",INDEX($F$10:F$27,MATCH(I27,$G$10:$G$27,0)))</f>
        <v/>
      </c>
      <c r="M27"/>
      <c r="N27" s="52" t="s">
        <v>5</v>
      </c>
      <c r="O27" s="141">
        <f>IF($P$5=49,K25,IF($P$5=50,K26,IF($P$5=51,K26,IF($P$5=52,J27,IF($P$5=53,J27,IF($P$5=54,J27,0))))))</f>
        <v>0</v>
      </c>
      <c r="P27" s="146">
        <f>IF($P$5=49,L23,IF($P$5=50,L25,IF($P$5=51,L26,IF($P$5=52,L26,IF($P$5=53,K27,IF($P$5=54,K27,0))))))</f>
        <v>0</v>
      </c>
      <c r="Q27" s="211">
        <f>IF($P$5=54,L27,0)</f>
        <v>0</v>
      </c>
      <c r="R27" s="213">
        <f>IF($P$5=43,0,IF($P$5=44,0,IF($P$5=45,0,IF($P$5=46,0,IF($P$5=47,0,IF($P$5=48,0,IF($P$5=49,O27,IF($P$5=50,O27,IF($P$5=51,O27,IF($P$5=52,O10,IF($P$5=53,O10,IF($P$5=54,O10,0))))))))))))</f>
        <v>0</v>
      </c>
      <c r="S27" s="146">
        <f>IF($P$5=43,0,IF($P$5=44,0,IF($P$5=45,0,IF($P$5=46,0,IF($P$5=47,0,IF($P$5=48,0,IF($P$5=49,P25,IF($P$5=50,Q12,IF($P$5=51,P26,IF($P$5=52,P27,IF($P$5=53,P11,IF($P$5=54,P11,0))))))))))))</f>
        <v>0</v>
      </c>
      <c r="T27" s="214">
        <f>IF($P$5=54,Q12,0)</f>
        <v>0</v>
      </c>
      <c r="U27" s="216">
        <f>IF($P$5=43,0,IF($P$5=44,0,IF($P$5=45,0,IF($P$5=46,0,IF($P$5=47,0,IF($P$5=48,0,IF($P$5=49,R27,IF($P$5=50,R27,IF($P$5=51,R27,IF($P$5=52,R10,IF($P$5=53,R10,IF($P$5=54,R10,0))))))))))))</f>
        <v>0</v>
      </c>
      <c r="V27" s="176">
        <f>IF($P$5=43,0,IF($P$5=44,0,IF($P$5=45,0,IF($P$5=46,0,IF($P$5=47,0,IF($P$5=48,0,IF($P$5=49,S26,IF($P$5=50,T12,IF($P$5=51,T12,IF($P$5=52,T12,IF($P$5=53,S11,IF($P$5=54,S11,0))))))))))))</f>
        <v>0</v>
      </c>
      <c r="W27" s="284">
        <f>IF($P$5=54,T12,0)</f>
        <v>0</v>
      </c>
      <c r="Y27" s="446">
        <v>3</v>
      </c>
      <c r="Z27" s="12" t="str">
        <f>+O14</f>
        <v>A5</v>
      </c>
      <c r="AA27" s="33">
        <v>0</v>
      </c>
      <c r="AB27" s="48">
        <f>IF(AA27+AA31=0,0,IF(AA27=AA31,2,IF(AA27&gt;AA31,3,1)))</f>
        <v>0</v>
      </c>
      <c r="AC27" s="13">
        <f>AA27-AA31</f>
        <v>0</v>
      </c>
      <c r="AD27" s="24"/>
      <c r="AE27" s="12" t="str">
        <f>+R14</f>
        <v>A6</v>
      </c>
      <c r="AF27" s="126">
        <v>0</v>
      </c>
      <c r="AG27" s="48">
        <f>IF(AF27+AF31=0,0,IF(AF27=AF31,2,IF(AF27&gt;AF31,3,1)))</f>
        <v>0</v>
      </c>
      <c r="AH27" s="13">
        <f>AF27-AF31</f>
        <v>0</v>
      </c>
      <c r="AI27" s="24"/>
      <c r="AJ27" s="12" t="str">
        <f>+U14</f>
        <v>A7</v>
      </c>
      <c r="AK27" s="36">
        <v>0</v>
      </c>
      <c r="AL27" s="48">
        <f>IF(AK27+AK31=0,0,IF(AK27=AK31,2,IF(AK27&gt;AK31,3,1)))</f>
        <v>0</v>
      </c>
      <c r="AM27" s="13">
        <f>AK27-AK31</f>
        <v>0</v>
      </c>
      <c r="AN27" s="23"/>
      <c r="AO27" s="54">
        <v>19</v>
      </c>
      <c r="AP27" s="322" t="str">
        <f>+Inscrits!D3</f>
        <v>B1</v>
      </c>
      <c r="AQ27" s="286">
        <f t="shared" si="3"/>
        <v>1</v>
      </c>
      <c r="AR27" s="99">
        <f t="shared" si="4"/>
        <v>-1</v>
      </c>
      <c r="AS27" s="219">
        <f t="shared" si="5"/>
        <v>5</v>
      </c>
      <c r="AT27" s="289" t="str">
        <f t="shared" si="6"/>
        <v>0</v>
      </c>
      <c r="AU27" s="99" t="str">
        <f t="shared" si="7"/>
        <v>0</v>
      </c>
      <c r="AV27" s="291" t="str">
        <f t="shared" si="8"/>
        <v>0</v>
      </c>
      <c r="AW27" s="286" t="str">
        <f t="shared" si="9"/>
        <v>0</v>
      </c>
      <c r="AX27" s="99" t="str">
        <f t="shared" si="10"/>
        <v>0</v>
      </c>
      <c r="AY27" s="291" t="str">
        <f t="shared" si="11"/>
        <v>0</v>
      </c>
      <c r="AZ27" s="286">
        <f t="shared" si="17"/>
        <v>1</v>
      </c>
      <c r="BA27" s="99">
        <f t="shared" si="12"/>
        <v>-1</v>
      </c>
      <c r="BB27" s="291">
        <f t="shared" si="13"/>
        <v>5</v>
      </c>
      <c r="BC27" s="294">
        <f t="shared" si="14"/>
        <v>-1</v>
      </c>
      <c r="BD27" s="7">
        <f t="shared" si="15"/>
        <v>0</v>
      </c>
      <c r="BE27" s="218">
        <f t="shared" si="16"/>
        <v>18.009500270000004</v>
      </c>
      <c r="BF27" s="99">
        <f>IF(AP27="","",SMALL(BE$9:BE$62,ROWS(AZ$9:AZ27)))</f>
        <v>18.009500270000004</v>
      </c>
      <c r="BG27" s="88"/>
      <c r="BH27" s="289" t="str">
        <f>IF(OR(AP27="",AZ27=""),"",INDEX($AP$9:$AP$63,MATCH(BF27,$BE$9:BE$62,0)))</f>
        <v>B1</v>
      </c>
      <c r="BI27" s="7">
        <f t="shared" si="0"/>
        <v>1</v>
      </c>
      <c r="BJ27" s="7">
        <f t="shared" si="1"/>
        <v>-1</v>
      </c>
      <c r="BK27" s="7">
        <f t="shared" si="2"/>
        <v>5</v>
      </c>
      <c r="BL27" s="280">
        <f>IF(BF27="","",IF(AND(BI26=BI27,BJ26=BJ27,BK26=BK27),BL26,$BL$9+18))</f>
        <v>18</v>
      </c>
      <c r="BN27" s="265" t="e">
        <f>IF(#REF!="","",IF(AND(BK26=#REF!,BL26=#REF!,BM26=BM27),BN26,$BL$9+1))</f>
        <v>#REF!</v>
      </c>
      <c r="BO27" s="405">
        <f>IF(AND($K$5=19),1,IF(AND($K$5=20),2,IF(AND($K$5=21),3,IF(AND($K$5=22),4,IF(AND($K$5=23),5,IF(AND($K$5=24),6,IF(AND($K$5=25),7,IF(AND($K$5=26),8,IF(AND($K$5=27),9,IF(AND($K$5=28),10,IF(AND($K$5=29),11,IF(AND($K$5=30),12,IF(AND($K$5=31),13,IF(AND($K$5=32),14,IF(AND($K$5=33),15,IF(AND($K$5=34),16,IF(AND($K$5=35),17,IF(AND($K$5=36),18,IF(AND($K$5=37),19,IF(AND($K$5=38),20,IF(AND($K$5=39),21,IF(AND($K$5=40),22,IF(AND($K$5=41),23,IF(AND($K$5=42),24,IF(AND($K$5=43),25,IF(AND($K$5=44),26,IF(AND($K$5=45),27,IF(AND($K$5=46),28,IF(AND($K$5=47),29,IF(AND($K$5=48),30,IF(AND($K$5=49),31,IF(AND($K$5=50),32,IF(AND($K$5=51),33,IF(AND($K$5=52),34,IF(AND($K$5=53),35,IF(AND($K$5=54),36," "))))))))))))))))))))))))))))))))))))</f>
        <v>30</v>
      </c>
    </row>
    <row r="28" spans="1:67" ht="18" customHeight="1" thickBot="1">
      <c r="A28" s="23"/>
      <c r="B28" s="23"/>
      <c r="C28" s="23"/>
      <c r="D28" s="23"/>
      <c r="E28" s="23"/>
      <c r="F28" s="6"/>
      <c r="G28" s="23"/>
      <c r="I28" s="23"/>
      <c r="J28" s="23"/>
      <c r="K28" s="23"/>
      <c r="Q28" s="23"/>
      <c r="R28" s="23"/>
      <c r="S28" s="23"/>
      <c r="T28" s="23"/>
      <c r="Y28" s="447"/>
      <c r="Z28" s="14" t="str">
        <f>+P14</f>
        <v>B5</v>
      </c>
      <c r="AA28" s="17">
        <f>IF(ISTEXT(Z28),AA27,0)</f>
        <v>0</v>
      </c>
      <c r="AB28" s="18">
        <f>IF(ISTEXT(Z28),AB27,0)</f>
        <v>0</v>
      </c>
      <c r="AC28" s="19">
        <f>IF(ISTEXT(Z28),AC27,0)</f>
        <v>0</v>
      </c>
      <c r="AD28" s="9"/>
      <c r="AE28" s="14" t="str">
        <f>+S14</f>
        <v>B7</v>
      </c>
      <c r="AF28" s="17">
        <f>IF(ISTEXT(AE28),AF27,0)</f>
        <v>0</v>
      </c>
      <c r="AG28" s="59">
        <f>IF(ISTEXT(AE28),AG27,0)</f>
        <v>0</v>
      </c>
      <c r="AH28" s="19">
        <f>IF(ISTEXT(AE28),AH27,0)</f>
        <v>0</v>
      </c>
      <c r="AI28" s="9"/>
      <c r="AJ28" s="14" t="str">
        <f>+V14</f>
        <v>B9</v>
      </c>
      <c r="AK28" s="17">
        <f>IF(ISTEXT(AJ28),AK27,0)</f>
        <v>0</v>
      </c>
      <c r="AL28" s="59">
        <f>IF(ISTEXT(AJ28),AL27,0)</f>
        <v>0</v>
      </c>
      <c r="AM28" s="19">
        <f>IF(ISTEXT(AJ28),AM27,0)</f>
        <v>0</v>
      </c>
      <c r="AN28" s="23"/>
      <c r="AO28" s="54">
        <v>20</v>
      </c>
      <c r="AP28" s="322" t="str">
        <f>+Inscrits!D4</f>
        <v>B2</v>
      </c>
      <c r="AQ28" s="286">
        <f t="shared" si="3"/>
        <v>3</v>
      </c>
      <c r="AR28" s="99">
        <f t="shared" si="4"/>
        <v>1</v>
      </c>
      <c r="AS28" s="219">
        <f t="shared" si="5"/>
        <v>6</v>
      </c>
      <c r="AT28" s="289" t="str">
        <f t="shared" si="6"/>
        <v>0</v>
      </c>
      <c r="AU28" s="99" t="str">
        <f t="shared" si="7"/>
        <v>0</v>
      </c>
      <c r="AV28" s="291" t="str">
        <f t="shared" si="8"/>
        <v>0</v>
      </c>
      <c r="AW28" s="286" t="str">
        <f t="shared" si="9"/>
        <v>0</v>
      </c>
      <c r="AX28" s="99" t="str">
        <f t="shared" si="10"/>
        <v>0</v>
      </c>
      <c r="AY28" s="291" t="str">
        <f t="shared" si="11"/>
        <v>0</v>
      </c>
      <c r="AZ28" s="286">
        <f t="shared" si="17"/>
        <v>3</v>
      </c>
      <c r="BA28" s="99">
        <f t="shared" si="12"/>
        <v>1</v>
      </c>
      <c r="BB28" s="291">
        <f t="shared" si="13"/>
        <v>6</v>
      </c>
      <c r="BC28" s="294">
        <f t="shared" si="14"/>
        <v>0</v>
      </c>
      <c r="BD28" s="7">
        <f t="shared" si="15"/>
        <v>1</v>
      </c>
      <c r="BE28" s="218">
        <f t="shared" si="16"/>
        <v>8.9894002799999999</v>
      </c>
      <c r="BF28" s="99">
        <f>IF(AP28="","",SMALL(BE$9:BE$62,ROWS(AZ$9:AZ28)))</f>
        <v>18.009500450000004</v>
      </c>
      <c r="BG28" s="88"/>
      <c r="BH28" s="289" t="str">
        <f>IF(OR(AP28="",AZ28=""),"",INDEX($AP$9:$AP$63,MATCH(BF28,$BE$9:BE$62,0)))</f>
        <v>C1</v>
      </c>
      <c r="BI28" s="7">
        <f t="shared" si="0"/>
        <v>1</v>
      </c>
      <c r="BJ28" s="7">
        <f t="shared" si="1"/>
        <v>-1</v>
      </c>
      <c r="BK28" s="7">
        <f t="shared" si="2"/>
        <v>5</v>
      </c>
      <c r="BL28" s="280">
        <f>IF(BF28="","",IF(AND(BI27=BI28,BJ27=BJ28,BK27=BK28),BL27,$BL$9+19))</f>
        <v>18</v>
      </c>
      <c r="BN28" s="265">
        <f>IF(BH27="","",1)</f>
        <v>1</v>
      </c>
      <c r="BO28" s="405">
        <f>IF(AND($K$5=20),1,IF(AND($K$5=21),2,IF(AND($K$5=22),3,IF(AND($K$5=23),4,IF(AND($K$5=24),5,IF(AND($K$5=25),6,IF(AND($K$5=26),7,IF(AND($K$5=27),8,IF(AND($K$5=28),9,IF(AND($K$5=29),10,IF(AND($K$5=30),11,IF(AND($K$5=31),12,IF(AND($K$5=32),13,IF(AND($K$5=33),14,IF(AND($K$5=34),15,IF(AND($K$5=35),16,IF(AND($K$5=36),17,IF(AND($K$5=37),18,IF(AND($K$5=38),19,IF(AND($K$5=39),20,IF(AND($K$5=40),21,IF(AND($K$5=41),22,IF(AND($K$5=42),23,IF(AND($K$5=43),24,IF(AND($K$5=44),25,IF(AND($K$5=45),26,IF(AND($K$5=46),27,IF(AND($K$5=47),28,IF(AND($K$5=48),29,IF(AND($K$5=49),30,IF(AND($K$5=50),31,IF(AND($K$5=51),32,IF(AND($K$5=52),33,IF(AND($K$5=53),34,IF(AND($K$5=54),35," ")))))))))))))))))))))))))))))))))))</f>
        <v>29</v>
      </c>
    </row>
    <row r="29" spans="1:67" ht="18" customHeight="1">
      <c r="A29" s="23"/>
      <c r="B29" s="23"/>
      <c r="C29" s="23"/>
      <c r="D29" s="23"/>
      <c r="E29" s="23"/>
      <c r="F29" s="23"/>
      <c r="G29" s="23"/>
      <c r="I29" s="23"/>
      <c r="J29" s="23"/>
      <c r="K29" s="23"/>
      <c r="L29" s="23"/>
      <c r="P29"/>
      <c r="Q29" s="23"/>
      <c r="R29" s="23"/>
      <c r="S29" s="23"/>
      <c r="T29" s="23"/>
      <c r="Y29" s="447"/>
      <c r="Z29" s="14" t="str">
        <f>+Q14</f>
        <v>C5</v>
      </c>
      <c r="AA29" s="71">
        <f>IF(ISTEXT(Z29),AA27,0)</f>
        <v>0</v>
      </c>
      <c r="AB29" s="67">
        <f>IF(ISTEXT(Z29),AB27,0)</f>
        <v>0</v>
      </c>
      <c r="AC29" s="72">
        <f>IF(ISTEXT(Z29),AC27,0)</f>
        <v>0</v>
      </c>
      <c r="AD29" s="9"/>
      <c r="AE29" s="14" t="str">
        <f>+T14</f>
        <v>C8</v>
      </c>
      <c r="AF29" s="71">
        <f>IF(ISTEXT(AE29),AF27,0)</f>
        <v>0</v>
      </c>
      <c r="AG29" s="64">
        <f>IF(ISTEXT(AE29),AG27,0)</f>
        <v>0</v>
      </c>
      <c r="AH29" s="72">
        <f>IF(ISTEXT(AE29),AH27,0)</f>
        <v>0</v>
      </c>
      <c r="AI29" s="9"/>
      <c r="AJ29" s="14" t="str">
        <f>+W14</f>
        <v>C11</v>
      </c>
      <c r="AK29" s="71">
        <f>IF(ISTEXT(AJ29),AK27,0)</f>
        <v>0</v>
      </c>
      <c r="AL29" s="64">
        <f>IF(ISTEXT(AJ29),AL27,0)</f>
        <v>0</v>
      </c>
      <c r="AM29" s="72">
        <f>IF(ISTEXT(AJ29),AM27,0)</f>
        <v>0</v>
      </c>
      <c r="AN29" s="23"/>
      <c r="AO29" s="54">
        <v>21</v>
      </c>
      <c r="AP29" s="322" t="str">
        <f>+Inscrits!D5</f>
        <v>B3</v>
      </c>
      <c r="AQ29" s="286">
        <f t="shared" si="3"/>
        <v>3</v>
      </c>
      <c r="AR29" s="99">
        <f t="shared" si="4"/>
        <v>6</v>
      </c>
      <c r="AS29" s="219">
        <f t="shared" si="5"/>
        <v>12</v>
      </c>
      <c r="AT29" s="289">
        <f t="shared" si="6"/>
        <v>1</v>
      </c>
      <c r="AU29" s="99">
        <f t="shared" si="7"/>
        <v>-5</v>
      </c>
      <c r="AV29" s="291">
        <f t="shared" si="8"/>
        <v>5</v>
      </c>
      <c r="AW29" s="286" t="str">
        <f t="shared" si="9"/>
        <v>0</v>
      </c>
      <c r="AX29" s="99" t="str">
        <f t="shared" si="10"/>
        <v>0</v>
      </c>
      <c r="AY29" s="291" t="str">
        <f t="shared" si="11"/>
        <v>0</v>
      </c>
      <c r="AZ29" s="286">
        <f t="shared" si="17"/>
        <v>4</v>
      </c>
      <c r="BA29" s="99">
        <f t="shared" si="12"/>
        <v>1</v>
      </c>
      <c r="BB29" s="291">
        <f t="shared" si="13"/>
        <v>17</v>
      </c>
      <c r="BC29" s="294">
        <f t="shared" si="14"/>
        <v>0</v>
      </c>
      <c r="BD29" s="7">
        <f t="shared" si="15"/>
        <v>1</v>
      </c>
      <c r="BE29" s="218">
        <f t="shared" si="16"/>
        <v>4.9883002900000006</v>
      </c>
      <c r="BF29" s="99">
        <f>IF(AP29="","",SMALL(BE$9:BE$62,ROWS(AZ$9:AZ29)))</f>
        <v>18.04910014</v>
      </c>
      <c r="BG29" s="88"/>
      <c r="BH29" s="289" t="str">
        <f>IF(OR(AP29="",AZ29=""),"",INDEX($AP$9:$AP$63,MATCH(BF29,$BE$9:BE$62,0)))</f>
        <v>A6</v>
      </c>
      <c r="BI29" s="7">
        <f t="shared" si="0"/>
        <v>1</v>
      </c>
      <c r="BJ29" s="7">
        <f t="shared" si="1"/>
        <v>-5</v>
      </c>
      <c r="BK29" s="7">
        <f t="shared" si="2"/>
        <v>9</v>
      </c>
      <c r="BL29" s="280">
        <f>IF(BF29="","",IF(AND(BI28=BI29,BJ28=BJ29,BK28=BK29),BL28,$BL$9+20))</f>
        <v>21</v>
      </c>
      <c r="BN29" s="262"/>
      <c r="BO29" s="405">
        <f>IF(AND($K$5=21),1,IF(AND($K$5=22),2,IF(AND($K$5=23),3,IF(AND($K$5=24),4,IF(AND($K$5=25),5,IF(AND($K$5=26),6,IF(AND($K$5=27),7,IF(AND($K$5=28),8,IF(AND($K$5=29),9,IF(AND($K$5=30),10,IF(AND($K$5=31),11,IF(AND($K$5=32),12,IF(AND($K$5=33),13,IF(AND($K$5=34),14,IF(AND($K$5=35),15,IF(AND($K$5=36),16,IF(AND($K$5=37),17,IF(AND($K$5=38),18,IF(AND($K$5=39),19,IF(AND($K$5=40),20,IF(AND($K$5=41),21,IF(AND($K$5=42),22,IF(AND($K$5=43),23,IF(AND($K$5=44),24,IF(AND($K$5=45),25,IF(AND($K$5=46),26,IF(AND($K$5=47),27,IF(AND($K$5=48),28,IF(AND($K$5=49),29,IF(AND($K$5=50),30,IF(AND($K$5=51),31,IF(AND($K$5=52),32,IF(AND($K$5=53),33,IF(AND($K$5=54),34," "))))))))))))))))))))))))))))))))))</f>
        <v>28</v>
      </c>
    </row>
    <row r="30" spans="1:67" ht="18" customHeight="1">
      <c r="A30" s="23"/>
      <c r="B30" s="23"/>
      <c r="C30" s="23"/>
      <c r="D30" s="23"/>
      <c r="E30" s="23"/>
      <c r="F30" s="23"/>
      <c r="G30" s="23"/>
      <c r="I30" s="23"/>
      <c r="J30" s="23"/>
      <c r="K30" s="23"/>
      <c r="L30" s="23"/>
      <c r="P30"/>
      <c r="Q30" s="23"/>
      <c r="R30" s="23"/>
      <c r="S30" s="23"/>
      <c r="T30" s="23"/>
      <c r="Y30" s="447"/>
      <c r="Z30" s="32"/>
      <c r="AA30" s="230" t="s">
        <v>5</v>
      </c>
      <c r="AB30" s="21"/>
      <c r="AC30" s="22"/>
      <c r="AD30" s="25"/>
      <c r="AE30" s="32"/>
      <c r="AF30" s="230" t="s">
        <v>5</v>
      </c>
      <c r="AG30" s="21"/>
      <c r="AH30" s="22"/>
      <c r="AI30" s="25"/>
      <c r="AJ30" s="32"/>
      <c r="AK30" s="230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1</v>
      </c>
      <c r="AR30" s="99">
        <f t="shared" si="4"/>
        <v>-6</v>
      </c>
      <c r="AS30" s="219">
        <f t="shared" si="5"/>
        <v>6</v>
      </c>
      <c r="AT30" s="289">
        <f t="shared" si="6"/>
        <v>3</v>
      </c>
      <c r="AU30" s="99">
        <f t="shared" si="7"/>
        <v>5</v>
      </c>
      <c r="AV30" s="291">
        <f t="shared" si="8"/>
        <v>10</v>
      </c>
      <c r="AW30" s="286" t="str">
        <f t="shared" si="9"/>
        <v>0</v>
      </c>
      <c r="AX30" s="99" t="str">
        <f t="shared" si="10"/>
        <v>0</v>
      </c>
      <c r="AY30" s="291" t="str">
        <f t="shared" si="11"/>
        <v>0</v>
      </c>
      <c r="AZ30" s="286">
        <f t="shared" si="17"/>
        <v>4</v>
      </c>
      <c r="BA30" s="99">
        <f t="shared" si="12"/>
        <v>-1</v>
      </c>
      <c r="BB30" s="291">
        <f t="shared" si="13"/>
        <v>16</v>
      </c>
      <c r="BC30" s="294">
        <f t="shared" si="14"/>
        <v>-1</v>
      </c>
      <c r="BD30" s="7">
        <f t="shared" si="15"/>
        <v>0</v>
      </c>
      <c r="BE30" s="218">
        <f t="shared" si="16"/>
        <v>5.0084002999999999</v>
      </c>
      <c r="BF30" s="99">
        <f>IF(AP30="","",SMALL(BE$9:BE$62,ROWS(AZ$9:AZ30)))</f>
        <v>18.049100339999999</v>
      </c>
      <c r="BG30" s="88"/>
      <c r="BH30" s="289" t="str">
        <f>IF(OR(AP30="",AZ30=""),"",INDEX($AP$9:$AP$63,MATCH(BF30,$BE$9:BE$62,0)))</f>
        <v>B8</v>
      </c>
      <c r="BI30" s="7">
        <f t="shared" si="0"/>
        <v>1</v>
      </c>
      <c r="BJ30" s="7">
        <f t="shared" si="1"/>
        <v>-5</v>
      </c>
      <c r="BK30" s="7">
        <f t="shared" si="2"/>
        <v>9</v>
      </c>
      <c r="BL30" s="280">
        <f>IF(BF30="","",IF(AND(BI29=BI30,BJ29=BJ30,BK29=BK30),BL29,$BL$9+21))</f>
        <v>21</v>
      </c>
      <c r="BN30" s="262"/>
      <c r="BO30" s="405">
        <f>IF(AND($K$5=22),1,IF(AND($K$5=23),2,IF(AND($K$5=24),3,IF(AND($K$5=25),4,IF(AND($K$5=26),5,IF(AND($K$5=27),6,IF(AND($K$5=28),7,IF(AND($K$5=29),8,IF(AND($K$5=30),9,IF(AND($K$5=31),10,IF(AND($K$5=32),11,IF(AND($K$5=33),12,IF(AND($K$5=34),13,IF(AND($K$5=35),14,IF(AND($K$5=36),15,IF(AND($K$5=37),16,IF(AND($K$5=38),17,IF(AND($K$5=39),18,IF(AND($K$5=40),19,IF(AND($K$5=41),20,IF(AND($K$5=42),21,IF(AND($K$5=43),22,IF(AND($K$5=44),23,IF(AND($K$5=45),24,IF(AND($K$5=46),25,IF(AND($K$5=47),26,IF(AND($K$5=48),27,IF(AND($K$5=49),28,IF(AND($K$5=50),29,IF(AND($K$5=51),30,IF(AND($K$5=52),31,IF(AND($K$5=53),32,IF(AND($K$5=54),33," ")))))))))))))))))))))))))))))))))</f>
        <v>27</v>
      </c>
    </row>
    <row r="31" spans="1:67" ht="18" customHeight="1">
      <c r="A31" s="23"/>
      <c r="B31" s="23"/>
      <c r="C31" s="23"/>
      <c r="D31" s="23"/>
      <c r="E31" s="23"/>
      <c r="F31" s="23"/>
      <c r="G31" s="23"/>
      <c r="I31" s="23"/>
      <c r="J31" s="23"/>
      <c r="K31" s="23"/>
      <c r="L31" s="23"/>
      <c r="P31"/>
      <c r="Q31" s="23"/>
      <c r="R31" s="23"/>
      <c r="S31" s="23"/>
      <c r="T31" s="23"/>
      <c r="U31" s="23"/>
      <c r="Y31" s="447"/>
      <c r="Z31" s="14" t="str">
        <f>+O15</f>
        <v>A6</v>
      </c>
      <c r="AA31" s="35">
        <v>0</v>
      </c>
      <c r="AB31" s="30">
        <f>IF(AA27+AA31=0,0,IF(AA27=AA31,2,IF(AA27&lt;AA31,3,1)))</f>
        <v>0</v>
      </c>
      <c r="AC31" s="15">
        <f>AA31-AA27</f>
        <v>0</v>
      </c>
      <c r="AD31" s="24"/>
      <c r="AE31" s="14" t="str">
        <f>+R15</f>
        <v>A7</v>
      </c>
      <c r="AF31" s="127">
        <v>0</v>
      </c>
      <c r="AG31" s="30">
        <f>IF(AF27+AF31=0,0,IF(AF27=AF31,2,IF(AF27&lt;AF31,3,1)))</f>
        <v>0</v>
      </c>
      <c r="AH31" s="15">
        <f>AF31-AF27</f>
        <v>0</v>
      </c>
      <c r="AI31" s="24"/>
      <c r="AJ31" s="14" t="str">
        <f>+U15</f>
        <v>A8</v>
      </c>
      <c r="AK31" s="37">
        <v>0</v>
      </c>
      <c r="AL31" s="30">
        <f>IF(AK27+AK31=0,0,IF(AK27=AK31,2,IF(AK27&lt;AK31,3,1)))</f>
        <v>0</v>
      </c>
      <c r="AM31" s="15">
        <f>AK31-AK27</f>
        <v>0</v>
      </c>
      <c r="AN31" s="23"/>
      <c r="AO31" s="54">
        <v>23</v>
      </c>
      <c r="AP31" s="322" t="str">
        <f>+Inscrits!D7</f>
        <v>B5</v>
      </c>
      <c r="AQ31" s="286" t="str">
        <f t="shared" si="3"/>
        <v>0</v>
      </c>
      <c r="AR31" s="99" t="str">
        <f t="shared" si="4"/>
        <v>0</v>
      </c>
      <c r="AS31" s="219" t="str">
        <f t="shared" si="5"/>
        <v>0</v>
      </c>
      <c r="AT31" s="289">
        <f t="shared" si="6"/>
        <v>1</v>
      </c>
      <c r="AU31" s="99">
        <f t="shared" si="7"/>
        <v>-7</v>
      </c>
      <c r="AV31" s="291">
        <f t="shared" si="8"/>
        <v>5</v>
      </c>
      <c r="AW31" s="286">
        <f t="shared" si="9"/>
        <v>1</v>
      </c>
      <c r="AX31" s="99">
        <f t="shared" si="10"/>
        <v>-1</v>
      </c>
      <c r="AY31" s="291">
        <f t="shared" si="11"/>
        <v>4</v>
      </c>
      <c r="AZ31" s="286">
        <f t="shared" si="17"/>
        <v>2</v>
      </c>
      <c r="BA31" s="99">
        <f t="shared" si="12"/>
        <v>-8</v>
      </c>
      <c r="BB31" s="291">
        <f t="shared" si="13"/>
        <v>9</v>
      </c>
      <c r="BC31" s="294">
        <f t="shared" si="14"/>
        <v>-8</v>
      </c>
      <c r="BD31" s="7">
        <f t="shared" si="15"/>
        <v>0</v>
      </c>
      <c r="BE31" s="218">
        <f t="shared" si="16"/>
        <v>16.079100309999998</v>
      </c>
      <c r="BF31" s="99">
        <f>IF(AP31="","",SMALL(BE$9:BE$62,ROWS(AZ$9:AZ31)))</f>
        <v>18.049100539999998</v>
      </c>
      <c r="BG31" s="88"/>
      <c r="BH31" s="289" t="str">
        <f>IF(OR(AP31="",AZ31=""),"",INDEX($AP$9:$AP$63,MATCH(BF31,$BE$9:BE$62,0)))</f>
        <v>C10</v>
      </c>
      <c r="BI31" s="7">
        <f t="shared" si="0"/>
        <v>1</v>
      </c>
      <c r="BJ31" s="7">
        <f t="shared" si="1"/>
        <v>-5</v>
      </c>
      <c r="BK31" s="7">
        <f t="shared" si="2"/>
        <v>9</v>
      </c>
      <c r="BL31" s="280">
        <f>IF(BF31="","",IF(AND(BI30=BI31,BJ30=BJ31,BK30=BK31),BL30,$BL$9+22))</f>
        <v>21</v>
      </c>
      <c r="BN31" s="262"/>
      <c r="BO31" s="405">
        <f>IF(AND($K$5=23),1,IF(AND($K$5=24),2,IF(AND($K$5=25),3,IF(AND($K$5=26),4,IF(AND($K$5=27),5,IF(AND($K$5=28),6,IF(AND($K$5=29),7,IF(AND($K$5=30),8,IF(AND($K$5=31),9,IF(AND($K$5=32),10,IF(AND($K$5=33),11,IF(AND($K$5=34),12,IF(AND($K$5=35),13,IF(AND($K$5=36),14,IF(AND($K$5=37),15,IF(AND($K$5=38),16,IF(AND($K$5=39),17,IF(AND($K$5=40),18,IF(AND($K$5=41),19,IF(AND($K$5=42),20,IF(AND($K$5=43),21,IF(AND($K$5=44),22,IF(AND($K$5=45),23,IF(AND($K$5=46),24,IF(AND($K$5=47),25,IF(AND($K$5=48),26,IF(AND($K$5=49),27,IF(AND($K$5=50),28,IF(AND($K$5=51),29,IF(AND($K$5=52),30,IF(AND($K$5=53),31,IF(AND($K$5=54),32," "))))))))))))))))))))))))))))))))</f>
        <v>26</v>
      </c>
    </row>
    <row r="32" spans="1:67" ht="18" customHeight="1" thickBot="1">
      <c r="A32" s="23"/>
      <c r="B32" s="23"/>
      <c r="C32" s="23"/>
      <c r="D32" s="23"/>
      <c r="E32" s="23"/>
      <c r="F32" s="23"/>
      <c r="G32" s="23"/>
      <c r="I32" s="23"/>
      <c r="J32" s="23"/>
      <c r="K32" s="23"/>
      <c r="L32" s="23"/>
      <c r="Q32" s="23"/>
      <c r="R32" s="23"/>
      <c r="S32" s="23"/>
      <c r="T32" s="23"/>
      <c r="U32" s="23"/>
      <c r="Y32" s="447"/>
      <c r="Z32" s="14" t="str">
        <f>+P15</f>
        <v>B6</v>
      </c>
      <c r="AA32" s="17">
        <f>IF(ISTEXT(Z32),AA31,0)</f>
        <v>0</v>
      </c>
      <c r="AB32" s="18">
        <f>IF(ISTEXT(Z32),AB31,0)</f>
        <v>0</v>
      </c>
      <c r="AC32" s="19">
        <f>IF(ISTEXT(Z32),AC31,0)</f>
        <v>0</v>
      </c>
      <c r="AD32" s="9"/>
      <c r="AE32" s="14" t="str">
        <f>+S15</f>
        <v>B8</v>
      </c>
      <c r="AF32" s="17">
        <f>IF(ISTEXT(AE32),AF31,0)</f>
        <v>0</v>
      </c>
      <c r="AG32" s="18">
        <f>IF(ISTEXT(AE32),AG31,0)</f>
        <v>0</v>
      </c>
      <c r="AH32" s="19">
        <f>IF(ISTEXT(AE32),AH31,0)</f>
        <v>0</v>
      </c>
      <c r="AI32" s="9"/>
      <c r="AJ32" s="14" t="str">
        <f>+V15</f>
        <v>B10</v>
      </c>
      <c r="AK32" s="17">
        <f>IF(ISTEXT(AJ32),AK31,0)</f>
        <v>0</v>
      </c>
      <c r="AL32" s="18">
        <f>IF(ISTEXT(AJ32),AL31,0)</f>
        <v>0</v>
      </c>
      <c r="AM32" s="19">
        <f>IF(ISTEXT(AJ32),AM31,0)</f>
        <v>0</v>
      </c>
      <c r="AN32" s="23"/>
      <c r="AO32" s="54">
        <v>24</v>
      </c>
      <c r="AP32" s="322" t="str">
        <f>+Inscrits!D8</f>
        <v>B6</v>
      </c>
      <c r="AQ32" s="286" t="str">
        <f t="shared" si="3"/>
        <v>0</v>
      </c>
      <c r="AR32" s="99" t="str">
        <f t="shared" si="4"/>
        <v>0</v>
      </c>
      <c r="AS32" s="219" t="str">
        <f t="shared" si="5"/>
        <v>0</v>
      </c>
      <c r="AT32" s="289">
        <f t="shared" si="6"/>
        <v>3</v>
      </c>
      <c r="AU32" s="99">
        <f t="shared" si="7"/>
        <v>7</v>
      </c>
      <c r="AV32" s="291">
        <f t="shared" si="8"/>
        <v>12</v>
      </c>
      <c r="AW32" s="286">
        <f t="shared" si="9"/>
        <v>3</v>
      </c>
      <c r="AX32" s="99">
        <f t="shared" si="10"/>
        <v>1</v>
      </c>
      <c r="AY32" s="291">
        <f t="shared" si="11"/>
        <v>5</v>
      </c>
      <c r="AZ32" s="286">
        <f t="shared" si="17"/>
        <v>6</v>
      </c>
      <c r="BA32" s="99">
        <f t="shared" si="12"/>
        <v>8</v>
      </c>
      <c r="BB32" s="291">
        <f t="shared" si="13"/>
        <v>17</v>
      </c>
      <c r="BC32" s="294">
        <f t="shared" si="14"/>
        <v>0</v>
      </c>
      <c r="BD32" s="7">
        <f t="shared" si="15"/>
        <v>8</v>
      </c>
      <c r="BE32" s="218">
        <f t="shared" si="16"/>
        <v>1.9183003199999999</v>
      </c>
      <c r="BF32" s="99">
        <f>IF(AP32="","",SMALL(BE$9:BE$62,ROWS(AZ$9:AZ32)))</f>
        <v>18.0695005</v>
      </c>
      <c r="BG32" s="88"/>
      <c r="BH32" s="289" t="str">
        <f>IF(OR(AP32="",AZ32=""),"",INDEX($AP$9:$AP$63,MATCH(BF32,$BE$9:BE$62,0)))</f>
        <v>C6</v>
      </c>
      <c r="BI32" s="7">
        <f t="shared" si="0"/>
        <v>1</v>
      </c>
      <c r="BJ32" s="7">
        <f t="shared" si="1"/>
        <v>-7</v>
      </c>
      <c r="BK32" s="7">
        <f t="shared" si="2"/>
        <v>5</v>
      </c>
      <c r="BL32" s="280">
        <f>IF(BF32="","",IF(AND(BI31=BI32,BJ31=BJ32,BK31=BK32),BL31,$BL$9+23))</f>
        <v>24</v>
      </c>
      <c r="BN32" s="262"/>
      <c r="BO32" s="405">
        <f>IF(AND($K$5=24),1,IF(AND($K$5=25),2,IF(AND($K$5=26),3,IF(AND($K$5=27),4,IF(AND($K$5=28),5,IF(AND($K$5=29),6,IF(AND($K$5=30),7,IF(AND($K$5=31),8,IF(AND($K$5=32),9,IF(AND($K$5=33),10,IF(AND($K$5=34),11,IF(AND($K$5=35),12,IF(AND($K$5=36),13,IF(AND($K$5=37),14,IF(AND($K$5=38),15,IF(AND($K$5=39),16,IF(AND($K$5=40),17,IF(AND($K$5=41),18,IF(AND($K$5=42),19,IF(AND($K$5=43),20,IF(AND($K$5=44),21,IF(AND($K$5=45),22,IF(AND($K$5=46),23,IF(AND($K$5=47),24,IF(AND($K$5=48),25,IF(AND($K$5=49),26,IF(AND($K$5=50),27,IF(AND($K$5=51),28,IF(AND($K$5=52),29,IF(AND($K$5=53),30,IF(AND($K$5=54),31," ")))))))))))))))))))))))))))))))</f>
        <v>25</v>
      </c>
    </row>
    <row r="33" spans="1:67" ht="18" customHeight="1" thickBot="1">
      <c r="A33" s="23"/>
      <c r="B33" s="23"/>
      <c r="C33" s="23"/>
      <c r="D33" s="23"/>
      <c r="E33" s="23"/>
      <c r="F33" s="23"/>
      <c r="G33" s="23"/>
      <c r="I33" s="23"/>
      <c r="J33" s="23"/>
      <c r="K33" s="23"/>
      <c r="L33" s="23"/>
      <c r="Q33" s="23"/>
      <c r="R33" s="23"/>
      <c r="S33" s="23"/>
      <c r="T33" s="23"/>
      <c r="U33" s="23"/>
      <c r="Y33" s="448"/>
      <c r="Z33" s="16" t="str">
        <f>+Q15</f>
        <v>C6</v>
      </c>
      <c r="AA33" s="17">
        <f>IF(ISTEXT(Z33),AA31,0)</f>
        <v>0</v>
      </c>
      <c r="AB33" s="18">
        <f>IF(ISTEXT(Z33),AB31,0)</f>
        <v>0</v>
      </c>
      <c r="AC33" s="19">
        <f>IF(ISTEXT(Z33),AC31,0)</f>
        <v>0</v>
      </c>
      <c r="AD33" s="9"/>
      <c r="AE33" s="16" t="str">
        <f>+T15</f>
        <v>C9</v>
      </c>
      <c r="AF33" s="17">
        <f>IF(ISTEXT(AE33),AF31,0)</f>
        <v>0</v>
      </c>
      <c r="AG33" s="18">
        <f>IF(ISTEXT(AE33),AG31,0)</f>
        <v>0</v>
      </c>
      <c r="AH33" s="19">
        <f>IF(ISTEXT(AE33),AH31,0)</f>
        <v>0</v>
      </c>
      <c r="AI33" s="9"/>
      <c r="AJ33" s="16" t="str">
        <f>+W15</f>
        <v>C12</v>
      </c>
      <c r="AK33" s="17">
        <f>IF(ISTEXT(AJ33),AK31,0)</f>
        <v>0</v>
      </c>
      <c r="AL33" s="18">
        <f>IF(ISTEXT(AJ33),AL31,0)</f>
        <v>0</v>
      </c>
      <c r="AM33" s="19">
        <f>IF(ISTEXT(AJ33),AM31,0)</f>
        <v>0</v>
      </c>
      <c r="AN33" s="23"/>
      <c r="AO33" s="54">
        <v>25</v>
      </c>
      <c r="AP33" s="322" t="str">
        <f>+Inscrits!D9</f>
        <v>B7</v>
      </c>
      <c r="AQ33" s="286" t="str">
        <f t="shared" si="3"/>
        <v>0</v>
      </c>
      <c r="AR33" s="99" t="str">
        <f t="shared" si="4"/>
        <v>0</v>
      </c>
      <c r="AS33" s="219" t="str">
        <f t="shared" si="5"/>
        <v>0</v>
      </c>
      <c r="AT33" s="289" t="str">
        <f t="shared" si="6"/>
        <v>0</v>
      </c>
      <c r="AU33" s="99" t="str">
        <f t="shared" si="7"/>
        <v>0</v>
      </c>
      <c r="AV33" s="291" t="str">
        <f t="shared" si="8"/>
        <v>0</v>
      </c>
      <c r="AW33" s="286">
        <f t="shared" si="9"/>
        <v>3</v>
      </c>
      <c r="AX33" s="99">
        <f t="shared" si="10"/>
        <v>5</v>
      </c>
      <c r="AY33" s="291">
        <f t="shared" si="11"/>
        <v>14</v>
      </c>
      <c r="AZ33" s="286">
        <f t="shared" si="17"/>
        <v>3</v>
      </c>
      <c r="BA33" s="99">
        <f t="shared" si="12"/>
        <v>5</v>
      </c>
      <c r="BB33" s="291">
        <f t="shared" si="13"/>
        <v>14</v>
      </c>
      <c r="BC33" s="294">
        <f t="shared" si="14"/>
        <v>0</v>
      </c>
      <c r="BD33" s="7">
        <f t="shared" si="15"/>
        <v>5</v>
      </c>
      <c r="BE33" s="218">
        <f t="shared" si="16"/>
        <v>8.9486003299999997</v>
      </c>
      <c r="BF33" s="99">
        <f>IF(AP33="","",SMALL(BE$9:BE$62,ROWS(AZ$9:AZ33)))</f>
        <v>24.99950037</v>
      </c>
      <c r="BG33" s="88"/>
      <c r="BH33" s="289" t="str">
        <f>IF(OR(AP33="",AZ33=""),"",INDEX($AP$9:$AP$63,MATCH(BF33,$BE$9:BE$62,0)))</f>
        <v>B11</v>
      </c>
      <c r="BI33" s="7">
        <f t="shared" si="0"/>
        <v>0</v>
      </c>
      <c r="BJ33" s="7">
        <f t="shared" si="1"/>
        <v>0</v>
      </c>
      <c r="BK33" s="7">
        <f t="shared" si="2"/>
        <v>5</v>
      </c>
      <c r="BL33" s="280">
        <f>IF(BF33="","",IF(AND(BI32=BI33,BJ32=BJ33,BK32=BK33),BL32,$BL$9+24))</f>
        <v>25</v>
      </c>
      <c r="BN33" s="262"/>
      <c r="BO33" s="405">
        <f>IF(AND($K$5=25),1,IF(AND($K$5=26),2,IF(AND($K$5=27),3,IF(AND($K$5=28),4,IF(AND($K$5=29),5,IF(AND($K$5=30),6,IF(AND($K$5=31),7,IF(AND($K$5=32),8,IF(AND($K$5=33),9,IF(AND($K$5=34),10,IF(AND($K$5=35),11,IF(AND($K$5=36),12,IF(AND($K$5=37),13,IF(AND($K$5=38),14,IF(AND($K$5=39),15,IF(AND($K$5=40),16,IF(AND($K$5=41),17,IF(AND($K$5=42),18,IF(AND($K$5=43),19,IF(AND($K$5=44),20,IF(AND($K$5=45),21,IF(AND($K$5=46),22,IF(AND($K$5=47),23,IF(AND($K$5=48),24,IF(AND($K$5=49),25,IF(AND($K$5=50),26,IF(AND($K$5=51),27,IF(AND($K$5=52),28,IF(AND($K$5=53),29,IF(AND($K$5=54),30," "))))))))))))))))))))))))))))))</f>
        <v>24</v>
      </c>
    </row>
    <row r="34" spans="1:67" ht="18" customHeight="1" thickBot="1">
      <c r="A34" s="23"/>
      <c r="B34" s="23"/>
      <c r="C34" s="23"/>
      <c r="D34" s="23"/>
      <c r="E34" s="23"/>
      <c r="F34" s="23"/>
      <c r="G34" s="23"/>
      <c r="I34" s="23"/>
      <c r="J34" s="23"/>
      <c r="K34" s="23"/>
      <c r="L34" s="23"/>
      <c r="Q34" s="23"/>
      <c r="R34" s="23"/>
      <c r="S34" s="23"/>
      <c r="T34" s="23"/>
      <c r="U34" s="192"/>
      <c r="Y34" s="128"/>
      <c r="Z34" s="73"/>
      <c r="AA34" s="234"/>
      <c r="AB34" s="73"/>
      <c r="AC34" s="73"/>
      <c r="AD34" s="234"/>
      <c r="AE34" s="73"/>
      <c r="AF34" s="234"/>
      <c r="AG34" s="73"/>
      <c r="AH34" s="73"/>
      <c r="AI34" s="234"/>
      <c r="AJ34" s="73"/>
      <c r="AK34" s="234"/>
      <c r="AL34" s="73"/>
      <c r="AM34" s="73"/>
      <c r="AN34" s="23"/>
      <c r="AO34" s="54">
        <v>26</v>
      </c>
      <c r="AP34" s="322" t="str">
        <f>+Inscrits!D10</f>
        <v>B8</v>
      </c>
      <c r="AQ34" s="286" t="str">
        <f t="shared" si="3"/>
        <v>0</v>
      </c>
      <c r="AR34" s="99" t="str">
        <f t="shared" si="4"/>
        <v>0</v>
      </c>
      <c r="AS34" s="219" t="str">
        <f t="shared" si="5"/>
        <v>0</v>
      </c>
      <c r="AT34" s="289" t="str">
        <f t="shared" si="6"/>
        <v>0</v>
      </c>
      <c r="AU34" s="99" t="str">
        <f t="shared" si="7"/>
        <v>0</v>
      </c>
      <c r="AV34" s="291" t="str">
        <f t="shared" si="8"/>
        <v>0</v>
      </c>
      <c r="AW34" s="286">
        <f t="shared" si="9"/>
        <v>1</v>
      </c>
      <c r="AX34" s="99">
        <f t="shared" si="10"/>
        <v>-5</v>
      </c>
      <c r="AY34" s="291">
        <f t="shared" si="11"/>
        <v>9</v>
      </c>
      <c r="AZ34" s="286">
        <f t="shared" si="17"/>
        <v>1</v>
      </c>
      <c r="BA34" s="99">
        <f t="shared" si="12"/>
        <v>-5</v>
      </c>
      <c r="BB34" s="291">
        <f t="shared" si="13"/>
        <v>9</v>
      </c>
      <c r="BC34" s="294">
        <f t="shared" si="14"/>
        <v>-5</v>
      </c>
      <c r="BD34" s="7">
        <f t="shared" si="15"/>
        <v>0</v>
      </c>
      <c r="BE34" s="218">
        <f t="shared" si="16"/>
        <v>18.049100339999999</v>
      </c>
      <c r="BF34" s="99">
        <f>IF(AP34="","",SMALL(BE$9:BE$62,ROWS(AZ$9:AZ34)))</f>
        <v>25.000000150000002</v>
      </c>
      <c r="BG34" s="88"/>
      <c r="BH34" s="289" t="str">
        <f>IF(OR(AP34="",AZ34=""),"",INDEX($AP$9:$AP$63,MATCH(BF34,$BE$9:BE$62,0)))</f>
        <v>A7</v>
      </c>
      <c r="BI34" s="7">
        <f t="shared" si="0"/>
        <v>0</v>
      </c>
      <c r="BJ34" s="7">
        <f t="shared" si="1"/>
        <v>0</v>
      </c>
      <c r="BK34" s="7">
        <f t="shared" si="2"/>
        <v>0</v>
      </c>
      <c r="BL34" s="280">
        <f>IF(BF34="","",IF(AND(BI33=BI34,BJ33=BJ34,BK33=BK34),BL33,$BL$9+25))</f>
        <v>26</v>
      </c>
      <c r="BN34" s="262"/>
      <c r="BO34" s="405">
        <f>IF(AND($K$5=26),1,IF(AND($K$5=27),2,IF(AND($K$5=28),3,IF(AND($K$5=29),4,IF(AND($K$5=30),5,IF(AND($K$5=31),6,IF(AND($K$5=32),7,IF(AND($K$5=33),8,IF(AND($K$5=34),9,IF(AND($K$5=35),10,IF(AND($K$5=36),11,IF(AND($K$5=37),12,IF(AND($K$5=38),13,IF(AND($K$5=39),14,IF(AND($K$5=40),15,IF(AND($K$5=41),16,IF(AND($K$5=42),17,IF(AND($K$5=43),18,IF(AND($K$5=44),19,IF(AND($K$5=45),20,IF(AND($K$5=46),21,IF(AND($K$5=47),22,IF(AND($K$5=48),23,IF(AND($K$5=49),24,IF(AND($K$5=50),25,IF(AND($K$5=51),26,IF(AND($K$5=52),27,IF(AND($K$5=53),28,IF(AND($K$5=54),29," ")))))))))))))))))))))))))))))</f>
        <v>23</v>
      </c>
    </row>
    <row r="35" spans="1:67" ht="18" customHeight="1">
      <c r="A35" s="23"/>
      <c r="B35" s="23"/>
      <c r="C35" s="23"/>
      <c r="D35" s="23"/>
      <c r="E35" s="23"/>
      <c r="F35" s="23"/>
      <c r="G35" s="23"/>
      <c r="I35" s="23"/>
      <c r="J35" s="23"/>
      <c r="K35" s="23"/>
      <c r="L35" s="23"/>
      <c r="Q35" s="23"/>
      <c r="R35" s="23"/>
      <c r="S35" s="23"/>
      <c r="T35" s="23"/>
      <c r="U35" s="23"/>
      <c r="Y35" s="446">
        <v>4</v>
      </c>
      <c r="Z35" s="12" t="str">
        <f>+O16</f>
        <v>A7</v>
      </c>
      <c r="AA35" s="33">
        <v>0</v>
      </c>
      <c r="AB35" s="48">
        <f>IF(AA35+AA39=0,0,IF(AA35=AA39,2,IF(AA35&gt;AA39,3,1)))</f>
        <v>0</v>
      </c>
      <c r="AC35" s="13">
        <f>AA35-AA39</f>
        <v>0</v>
      </c>
      <c r="AD35" s="24"/>
      <c r="AE35" s="12" t="str">
        <f>+R16</f>
        <v>A8</v>
      </c>
      <c r="AF35" s="126">
        <v>0</v>
      </c>
      <c r="AG35" s="48">
        <f>IF(AF35+AF39=0,0,IF(AF35=AF39,2,IF(AF35&gt;AF39,3,1)))</f>
        <v>0</v>
      </c>
      <c r="AH35" s="13">
        <f>AF35-AF39</f>
        <v>0</v>
      </c>
      <c r="AI35" s="24"/>
      <c r="AJ35" s="12" t="str">
        <f>+U16</f>
        <v>A9</v>
      </c>
      <c r="AK35" s="36">
        <v>0</v>
      </c>
      <c r="AL35" s="48">
        <f>IF(AK35+AK39=0,0,IF(AK35=AK39,2,IF(AK35&gt;AK39,3,1)))</f>
        <v>0</v>
      </c>
      <c r="AM35" s="13">
        <f>AK35-AK39</f>
        <v>0</v>
      </c>
      <c r="AN35" s="23"/>
      <c r="AO35" s="54">
        <v>27</v>
      </c>
      <c r="AP35" s="322" t="str">
        <f>+Inscrits!D11</f>
        <v>B9</v>
      </c>
      <c r="AQ35" s="286" t="str">
        <f t="shared" si="3"/>
        <v>0</v>
      </c>
      <c r="AR35" s="99" t="str">
        <f t="shared" si="4"/>
        <v>0</v>
      </c>
      <c r="AS35" s="219" t="str">
        <f t="shared" si="5"/>
        <v>0</v>
      </c>
      <c r="AT35" s="289" t="str">
        <f t="shared" si="6"/>
        <v>0</v>
      </c>
      <c r="AU35" s="99" t="str">
        <f t="shared" si="7"/>
        <v>0</v>
      </c>
      <c r="AV35" s="291" t="str">
        <f t="shared" si="8"/>
        <v>0</v>
      </c>
      <c r="AW35" s="286" t="str">
        <f t="shared" si="9"/>
        <v>0</v>
      </c>
      <c r="AX35" s="99" t="str">
        <f t="shared" si="10"/>
        <v>0</v>
      </c>
      <c r="AY35" s="291" t="str">
        <f t="shared" si="11"/>
        <v>0</v>
      </c>
      <c r="AZ35" s="286">
        <f t="shared" si="17"/>
        <v>0</v>
      </c>
      <c r="BA35" s="99">
        <f t="shared" si="12"/>
        <v>0</v>
      </c>
      <c r="BB35" s="291">
        <f t="shared" si="13"/>
        <v>0</v>
      </c>
      <c r="BC35" s="294">
        <f t="shared" si="14"/>
        <v>0</v>
      </c>
      <c r="BD35" s="7">
        <f t="shared" si="15"/>
        <v>0</v>
      </c>
      <c r="BE35" s="218">
        <f t="shared" si="16"/>
        <v>25.000000350000001</v>
      </c>
      <c r="BF35" s="99">
        <f>IF(AP35="","",SMALL(BE$9:BE$62,ROWS(AZ$9:AZ35)))</f>
        <v>25.000000159999999</v>
      </c>
      <c r="BG35" s="88"/>
      <c r="BH35" s="289" t="str">
        <f>IF(OR(AP35="",AZ35=""),"",INDEX($AP$9:$AP$63,MATCH(BF35,$BE$9:BE$62,0)))</f>
        <v>A8</v>
      </c>
      <c r="BI35" s="7">
        <f t="shared" si="0"/>
        <v>0</v>
      </c>
      <c r="BJ35" s="7">
        <f t="shared" si="1"/>
        <v>0</v>
      </c>
      <c r="BK35" s="7">
        <f t="shared" si="2"/>
        <v>0</v>
      </c>
      <c r="BL35" s="280">
        <f>IF(BF35="","",IF(AND(BI34=BI35,BJ34=BJ35,BK34=BK35),BL34,$BL$9+26))</f>
        <v>26</v>
      </c>
      <c r="BN35" s="262"/>
      <c r="BO35" s="405">
        <f>IF(AND($K$5=27),1,IF(AND($K$5=28),2,IF(AND($K$5=29),3,IF(AND($K$5=30),4,IF(AND($K$5=31),5,IF(AND($K$5=32),6,IF(AND($K$5=33),7,IF(AND($K$5=34),8,IF(AND($K$5=35),9,IF(AND($K$5=36),10,IF(AND($K$5=37),11,IF(AND($K$5=38),12,IF(AND($K$5=39),13,IF(AND($K$5=40),14,IF(AND($K$5=41),15,IF(AND($K$5=42),16,IF(AND($K$5=43),17,IF(AND($K$5=44),18,IF(AND($K$5=45),19,IF(AND($K$5=46),20,IF(AND($K$5=47),21,IF(AND($K$5=48),22,IF(AND($K$5=49),23,IF(AND($K$5=50),24,IF(AND($K$5=51),25,IF(AND($K$5=52),26,IF(AND($K$5=53),27,IF(AND($K$5=54),28," "))))))))))))))))))))))))))))</f>
        <v>22</v>
      </c>
    </row>
    <row r="36" spans="1:67" ht="18" customHeight="1" thickBot="1">
      <c r="A36" s="23"/>
      <c r="B36" s="23"/>
      <c r="C36" s="23"/>
      <c r="D36" s="23"/>
      <c r="E36" s="23"/>
      <c r="F36" s="23"/>
      <c r="G36" s="23"/>
      <c r="I36" s="23"/>
      <c r="J36" s="23"/>
      <c r="K36" s="23"/>
      <c r="L36" s="23"/>
      <c r="Q36" s="23"/>
      <c r="R36" s="23"/>
      <c r="S36" s="23"/>
      <c r="T36" s="23"/>
      <c r="U36" s="23"/>
      <c r="Y36" s="447"/>
      <c r="Z36" s="14" t="str">
        <f>+P16</f>
        <v>B7</v>
      </c>
      <c r="AA36" s="17">
        <f>IF(ISTEXT(Z36),AA35,0)</f>
        <v>0</v>
      </c>
      <c r="AB36" s="18">
        <f>IF(ISTEXT(Z36),AB35,0)</f>
        <v>0</v>
      </c>
      <c r="AC36" s="19">
        <f>IF(ISTEXT(Z36),AC35,0)</f>
        <v>0</v>
      </c>
      <c r="AD36" s="9"/>
      <c r="AE36" s="14" t="str">
        <f>+S16</f>
        <v>B9</v>
      </c>
      <c r="AF36" s="17">
        <f>IF(ISTEXT(AE36),AF35,0)</f>
        <v>0</v>
      </c>
      <c r="AG36" s="59">
        <f>IF(ISTEXT(AE36),AG35,0)</f>
        <v>0</v>
      </c>
      <c r="AH36" s="19">
        <f>IF(ISTEXT(AE36),AH35,0)</f>
        <v>0</v>
      </c>
      <c r="AI36" s="9"/>
      <c r="AJ36" s="14" t="str">
        <f>+V16</f>
        <v>B11</v>
      </c>
      <c r="AK36" s="17">
        <f>IF(ISTEXT(AJ36),AK35,0)</f>
        <v>0</v>
      </c>
      <c r="AL36" s="59">
        <f>IF(ISTEXT(AJ36),AL35,0)</f>
        <v>0</v>
      </c>
      <c r="AM36" s="19">
        <f>IF(ISTEXT(AJ36),AM35,0)</f>
        <v>0</v>
      </c>
      <c r="AN36" s="23"/>
      <c r="AO36" s="54">
        <v>28</v>
      </c>
      <c r="AP36" s="322" t="str">
        <f>+Inscrits!D12</f>
        <v>B10</v>
      </c>
      <c r="AQ36" s="286" t="str">
        <f t="shared" si="3"/>
        <v>0</v>
      </c>
      <c r="AR36" s="99" t="str">
        <f t="shared" si="4"/>
        <v>0</v>
      </c>
      <c r="AS36" s="219" t="str">
        <f t="shared" si="5"/>
        <v>0</v>
      </c>
      <c r="AT36" s="289" t="str">
        <f t="shared" si="6"/>
        <v>0</v>
      </c>
      <c r="AU36" s="99" t="str">
        <f t="shared" si="7"/>
        <v>0</v>
      </c>
      <c r="AV36" s="291" t="str">
        <f t="shared" si="8"/>
        <v>0</v>
      </c>
      <c r="AW36" s="286" t="str">
        <f t="shared" si="9"/>
        <v>0</v>
      </c>
      <c r="AX36" s="99" t="str">
        <f t="shared" si="10"/>
        <v>0</v>
      </c>
      <c r="AY36" s="291" t="str">
        <f t="shared" si="11"/>
        <v>0</v>
      </c>
      <c r="AZ36" s="286">
        <f t="shared" si="17"/>
        <v>0</v>
      </c>
      <c r="BA36" s="99">
        <f t="shared" si="12"/>
        <v>0</v>
      </c>
      <c r="BB36" s="291">
        <f t="shared" si="13"/>
        <v>0</v>
      </c>
      <c r="BC36" s="294">
        <f t="shared" si="14"/>
        <v>0</v>
      </c>
      <c r="BD36" s="7">
        <f t="shared" si="15"/>
        <v>0</v>
      </c>
      <c r="BE36" s="218">
        <f t="shared" si="16"/>
        <v>25.000000360000001</v>
      </c>
      <c r="BF36" s="99">
        <f>IF(AP36="","",SMALL(BE$9:BE$62,ROWS(AZ$9:AZ36)))</f>
        <v>25.00000017</v>
      </c>
      <c r="BG36" s="88"/>
      <c r="BH36" s="289" t="str">
        <f>IF(OR(AP36="",AZ36=""),"",INDEX($AP$9:$AP$63,MATCH(BF36,$BE$9:BE$62,0)))</f>
        <v>A9</v>
      </c>
      <c r="BI36" s="7">
        <f t="shared" si="0"/>
        <v>0</v>
      </c>
      <c r="BJ36" s="7">
        <f t="shared" si="1"/>
        <v>0</v>
      </c>
      <c r="BK36" s="7">
        <f t="shared" si="2"/>
        <v>0</v>
      </c>
      <c r="BL36" s="280">
        <f>IF(BF36="","",IF(AND(BI35=BI36,BJ35=BJ36,BK35=BK36),BL35,$BL$9+27))</f>
        <v>26</v>
      </c>
      <c r="BN36" s="262"/>
      <c r="BO36" s="405">
        <f>IF(AND($K$5=28),1,IF(AND($K$5=29),2,IF(AND($K$5=30),3,IF(AND($K$5=31),4,IF(AND($K$5=32),5,IF(AND($K$5=33),6,IF(AND($K$5=34),7,IF(AND($K$5=35),8,IF(AND($K$5=36),9,IF(AND($K$5=37),10,IF(AND($K$5=38),11,IF(AND($K$5=39),12,IF(AND($K$5=40),13,IF(AND($K$5=41),14,IF(AND($K$5=42),15,IF(AND($K$5=43),16,IF(AND($K$5=44),17,IF(AND($K$5=45),18,IF(AND($K$5=46),19,IF(AND($K$5=47),20,IF(AND($K$5=48),21,IF(AND($K$5=49),22,IF(AND($K$5=50),23,IF(AND($K$5=51),24,IF(AND($K$5=52),25,IF(AND($K$5=53),26,IF(AND($K$5=54),27," ")))))))))))))))))))))))))))</f>
        <v>21</v>
      </c>
    </row>
    <row r="37" spans="1:67" ht="18" customHeight="1">
      <c r="A37" s="23"/>
      <c r="B37" s="23"/>
      <c r="C37" s="23"/>
      <c r="D37" s="23"/>
      <c r="E37" s="23"/>
      <c r="F37" s="23"/>
      <c r="G37" s="23"/>
      <c r="I37" s="23"/>
      <c r="J37" s="23"/>
      <c r="K37" s="23"/>
      <c r="L37" s="23"/>
      <c r="Q37" s="23"/>
      <c r="R37" s="23"/>
      <c r="S37" s="23"/>
      <c r="T37" s="23"/>
      <c r="U37" s="23"/>
      <c r="Y37" s="447"/>
      <c r="Z37" s="14" t="str">
        <f>+Q16</f>
        <v>C7</v>
      </c>
      <c r="AA37" s="71">
        <f>IF(ISTEXT(Z37),AA35,0)</f>
        <v>0</v>
      </c>
      <c r="AB37" s="67">
        <f>IF(ISTEXT(Z37),AB35,0)</f>
        <v>0</v>
      </c>
      <c r="AC37" s="72">
        <f>IF(ISTEXT(Z37),AC35,0)</f>
        <v>0</v>
      </c>
      <c r="AD37" s="9"/>
      <c r="AE37" s="14" t="str">
        <f>+T16</f>
        <v>C10</v>
      </c>
      <c r="AF37" s="71">
        <f>IF(ISTEXT(AE37),AF35,0)</f>
        <v>0</v>
      </c>
      <c r="AG37" s="64">
        <f>IF(ISTEXT(AE37),AG35,0)</f>
        <v>0</v>
      </c>
      <c r="AH37" s="72">
        <f>IF(ISTEXT(AE37),AH35,0)</f>
        <v>0</v>
      </c>
      <c r="AI37" s="9"/>
      <c r="AJ37" s="14" t="str">
        <f>+W16</f>
        <v>C13</v>
      </c>
      <c r="AK37" s="71">
        <f>IF(ISTEXT(AJ37),AK35,0)</f>
        <v>0</v>
      </c>
      <c r="AL37" s="64">
        <f>IF(ISTEXT(AJ37),AL35,0)</f>
        <v>0</v>
      </c>
      <c r="AM37" s="72">
        <f>IF(ISTEXT(AJ37),AM35,0)</f>
        <v>0</v>
      </c>
      <c r="AN37" s="23"/>
      <c r="AO37" s="54">
        <v>29</v>
      </c>
      <c r="AP37" s="322" t="str">
        <f>+Inscrits!D13</f>
        <v>B11</v>
      </c>
      <c r="AQ37" s="286" t="str">
        <f t="shared" si="3"/>
        <v>0</v>
      </c>
      <c r="AR37" s="99" t="str">
        <f t="shared" si="4"/>
        <v>0</v>
      </c>
      <c r="AS37" s="219" t="str">
        <f t="shared" si="5"/>
        <v>0</v>
      </c>
      <c r="AT37" s="289" t="str">
        <f t="shared" si="6"/>
        <v>0</v>
      </c>
      <c r="AU37" s="99" t="str">
        <f t="shared" si="7"/>
        <v>0</v>
      </c>
      <c r="AV37" s="291">
        <f t="shared" si="8"/>
        <v>5</v>
      </c>
      <c r="AW37" s="286" t="str">
        <f t="shared" si="9"/>
        <v>0</v>
      </c>
      <c r="AX37" s="99" t="str">
        <f t="shared" si="10"/>
        <v>0</v>
      </c>
      <c r="AY37" s="291" t="str">
        <f t="shared" si="11"/>
        <v>0</v>
      </c>
      <c r="AZ37" s="286">
        <f t="shared" si="17"/>
        <v>0</v>
      </c>
      <c r="BA37" s="99">
        <f t="shared" si="12"/>
        <v>0</v>
      </c>
      <c r="BB37" s="291">
        <f t="shared" si="13"/>
        <v>5</v>
      </c>
      <c r="BC37" s="294">
        <f t="shared" si="14"/>
        <v>0</v>
      </c>
      <c r="BD37" s="7">
        <f t="shared" si="15"/>
        <v>0</v>
      </c>
      <c r="BE37" s="218">
        <f t="shared" si="16"/>
        <v>24.99950037</v>
      </c>
      <c r="BF37" s="99">
        <f>IF(AP37="","",SMALL(BE$9:BE$62,ROWS(AZ$9:AZ37)))</f>
        <v>25.000000180000001</v>
      </c>
      <c r="BG37" s="88"/>
      <c r="BH37" s="289" t="str">
        <f>IF(OR(AP37="",AZ37=""),"",INDEX($AP$9:$AP$63,MATCH(BF37,$BE$9:BE$62,0)))</f>
        <v>A10</v>
      </c>
      <c r="BI37" s="7">
        <f t="shared" si="0"/>
        <v>0</v>
      </c>
      <c r="BJ37" s="7">
        <f t="shared" si="1"/>
        <v>0</v>
      </c>
      <c r="BK37" s="7">
        <f t="shared" si="2"/>
        <v>0</v>
      </c>
      <c r="BL37" s="280">
        <f>IF(BF37="","",IF(AND(BI36=BI37,BJ36=BJ37,BK36=BK37),BL36,$BL$9+28))</f>
        <v>26</v>
      </c>
      <c r="BN37" s="262"/>
      <c r="BO37" s="405">
        <f>IF(AND($K$5=29),1,IF(AND($K$5=30),2,IF(AND($K$5=31),3,IF(AND($K$5=32),4,IF(AND($K$5=33),5,IF(AND($K$5=34),6,IF(AND($K$5=35),7,IF(AND($K$5=36),8,IF(AND($K$5=37),9,IF(AND($K$5=38),10,IF(AND($K$5=39),11,IF(AND($K$5=40),12,IF(AND($K$5=41),13,IF(AND($K$5=42),14,IF(AND($K$5=43),15,IF(AND($K$5=44),16,IF(AND($K$5=45),17,IF(AND($K$5=46),18,IF(AND($K$5=47),19,IF(AND($K$5=48),20,IF(AND($K$5=49),21,IF(AND($K$5=50),22,IF(AND($K$5=51),23,IF(AND($K$5=52),24,IF(AND($K$5=53),25,IF(AND($K$5=54),26," "))))))))))))))))))))))))))</f>
        <v>20</v>
      </c>
    </row>
    <row r="38" spans="1:67" ht="18" customHeight="1">
      <c r="A38" s="23"/>
      <c r="B38" s="23"/>
      <c r="C38" s="23"/>
      <c r="D38" s="23"/>
      <c r="E38" s="23"/>
      <c r="F38" s="23"/>
      <c r="G38" s="23"/>
      <c r="I38" s="23"/>
      <c r="J38" s="23"/>
      <c r="K38" s="23"/>
      <c r="L38" s="23"/>
      <c r="Q38" s="23"/>
      <c r="R38" s="23"/>
      <c r="S38" s="23"/>
      <c r="T38" s="23"/>
      <c r="U38" s="23"/>
      <c r="Y38" s="447"/>
      <c r="Z38" s="32"/>
      <c r="AA38" s="230" t="s">
        <v>5</v>
      </c>
      <c r="AB38" s="21"/>
      <c r="AC38" s="22"/>
      <c r="AD38" s="25"/>
      <c r="AE38" s="32"/>
      <c r="AF38" s="230" t="s">
        <v>5</v>
      </c>
      <c r="AG38" s="21"/>
      <c r="AH38" s="22"/>
      <c r="AI38" s="25"/>
      <c r="AJ38" s="32"/>
      <c r="AK38" s="230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 t="str">
        <f t="shared" si="3"/>
        <v>0</v>
      </c>
      <c r="AR38" s="99" t="str">
        <f t="shared" si="4"/>
        <v>0</v>
      </c>
      <c r="AS38" s="219" t="str">
        <f t="shared" si="5"/>
        <v>0</v>
      </c>
      <c r="AT38" s="289" t="str">
        <f t="shared" si="6"/>
        <v>0</v>
      </c>
      <c r="AU38" s="99" t="str">
        <f t="shared" si="7"/>
        <v>0</v>
      </c>
      <c r="AV38" s="291" t="str">
        <f t="shared" si="8"/>
        <v>0</v>
      </c>
      <c r="AW38" s="286" t="str">
        <f t="shared" si="9"/>
        <v>0</v>
      </c>
      <c r="AX38" s="99" t="str">
        <f t="shared" si="10"/>
        <v>0</v>
      </c>
      <c r="AY38" s="291" t="str">
        <f t="shared" si="11"/>
        <v>0</v>
      </c>
      <c r="AZ38" s="286">
        <f t="shared" si="17"/>
        <v>0</v>
      </c>
      <c r="BA38" s="99">
        <f t="shared" si="12"/>
        <v>0</v>
      </c>
      <c r="BB38" s="291">
        <f t="shared" si="13"/>
        <v>0</v>
      </c>
      <c r="BC38" s="294">
        <f t="shared" si="14"/>
        <v>0</v>
      </c>
      <c r="BD38" s="7">
        <f t="shared" si="15"/>
        <v>0</v>
      </c>
      <c r="BE38" s="218">
        <f t="shared" si="16"/>
        <v>25.000000379999999</v>
      </c>
      <c r="BF38" s="99">
        <f>IF(AP38="","",SMALL(BE$9:BE$62,ROWS(AZ$9:AZ38)))</f>
        <v>25.000000190000002</v>
      </c>
      <c r="BG38" s="88"/>
      <c r="BH38" s="289" t="str">
        <f>IF(OR(AP38="",AZ38=""),"",INDEX($AP$9:$AP$63,MATCH(BF38,$BE$9:BE$62,0)))</f>
        <v>A11</v>
      </c>
      <c r="BI38" s="7">
        <f t="shared" si="0"/>
        <v>0</v>
      </c>
      <c r="BJ38" s="7">
        <f t="shared" si="1"/>
        <v>0</v>
      </c>
      <c r="BK38" s="7">
        <f t="shared" si="2"/>
        <v>0</v>
      </c>
      <c r="BL38" s="280">
        <f>IF(BF38="","",IF(AND(BI37=BI38,BJ37=BJ38,BK37=BK38),BL37,$BL$9+29))</f>
        <v>26</v>
      </c>
      <c r="BN38" s="262"/>
      <c r="BO38" s="405">
        <f>IF(AND($K$5=30),1,IF(AND($K$5=31),2,IF(AND($K$5=32),3,IF(AND($K$5=33),4,IF(AND($K$5=34),5,IF(AND($K$5=35),6,IF(AND($K$5=36),7,IF(AND($K$5=37),8,IF(AND($K$5=38),9,IF(AND($K$5=39),10,IF(AND($K$5=40),11,IF(AND($K$5=41),12,IF(AND($K$5=42),13,IF(AND($K$5=43),14,IF(AND($K$5=44),15,IF(AND($K$5=45),16,IF(AND($K$5=46),17,IF(AND($K$5=47),18,IF(AND($K$5=48),19,IF(AND($K$5=49),20,IF(AND($K$5=50),21,IF(AND($K$5=51),22,IF(AND($K$5=52),23,IF(AND($K$5=53),24,IF(AND($K$5=54),25," ")))))))))))))))))))))))))</f>
        <v>19</v>
      </c>
    </row>
    <row r="39" spans="1:67" ht="18" customHeight="1">
      <c r="A39" s="23"/>
      <c r="B39" s="23"/>
      <c r="C39" s="23"/>
      <c r="D39" s="23"/>
      <c r="E39" s="23"/>
      <c r="F39" s="23"/>
      <c r="G39" s="23"/>
      <c r="I39" s="23"/>
      <c r="J39" s="23"/>
      <c r="K39" s="23"/>
      <c r="L39" s="23"/>
      <c r="Q39" s="23"/>
      <c r="R39" s="23"/>
      <c r="S39" s="23"/>
      <c r="T39" s="23"/>
      <c r="U39" s="23"/>
      <c r="Y39" s="447"/>
      <c r="Z39" s="14" t="str">
        <f>+O17</f>
        <v>A8</v>
      </c>
      <c r="AA39" s="35">
        <v>0</v>
      </c>
      <c r="AB39" s="30">
        <f>IF(AA35+AA39=0,0,IF(AA35=AA39,2,IF(AA35&lt;AA39,3,1)))</f>
        <v>0</v>
      </c>
      <c r="AC39" s="15">
        <f>AA39-AA35</f>
        <v>0</v>
      </c>
      <c r="AD39" s="24"/>
      <c r="AE39" s="14" t="str">
        <f>+R17</f>
        <v>A9</v>
      </c>
      <c r="AF39" s="127">
        <v>0</v>
      </c>
      <c r="AG39" s="30">
        <f>IF(AF35+AF39=0,0,IF(AF35=AF39,2,IF(AF35&lt;AF39,3,1)))</f>
        <v>0</v>
      </c>
      <c r="AH39" s="15">
        <f>AF39-AF35</f>
        <v>0</v>
      </c>
      <c r="AI39" s="24"/>
      <c r="AJ39" s="14" t="str">
        <f>+U17</f>
        <v>A10</v>
      </c>
      <c r="AK39" s="37">
        <v>0</v>
      </c>
      <c r="AL39" s="30">
        <f>IF(AK35+AK39=0,0,IF(AK35=AK39,2,IF(AK35&lt;AK39,3,1)))</f>
        <v>0</v>
      </c>
      <c r="AM39" s="15">
        <f>AK39-AK35</f>
        <v>0</v>
      </c>
      <c r="AN39" s="23"/>
      <c r="AO39" s="54">
        <v>31</v>
      </c>
      <c r="AP39" s="322" t="str">
        <f>+Inscrits!D15</f>
        <v>B13</v>
      </c>
      <c r="AQ39" s="286" t="str">
        <f t="shared" si="3"/>
        <v>0</v>
      </c>
      <c r="AR39" s="99" t="str">
        <f t="shared" si="4"/>
        <v>0</v>
      </c>
      <c r="AS39" s="219" t="str">
        <f t="shared" si="5"/>
        <v>0</v>
      </c>
      <c r="AT39" s="289" t="str">
        <f t="shared" si="6"/>
        <v>0</v>
      </c>
      <c r="AU39" s="99" t="str">
        <f t="shared" si="7"/>
        <v>0</v>
      </c>
      <c r="AV39" s="291" t="str">
        <f t="shared" si="8"/>
        <v>0</v>
      </c>
      <c r="AW39" s="286" t="str">
        <f t="shared" si="9"/>
        <v>0</v>
      </c>
      <c r="AX39" s="99" t="str">
        <f t="shared" si="10"/>
        <v>0</v>
      </c>
      <c r="AY39" s="291" t="str">
        <f t="shared" si="11"/>
        <v>0</v>
      </c>
      <c r="AZ39" s="286">
        <f t="shared" si="17"/>
        <v>0</v>
      </c>
      <c r="BA39" s="99">
        <f t="shared" si="12"/>
        <v>0</v>
      </c>
      <c r="BB39" s="291">
        <f t="shared" si="13"/>
        <v>0</v>
      </c>
      <c r="BC39" s="294">
        <f t="shared" si="14"/>
        <v>0</v>
      </c>
      <c r="BD39" s="7">
        <f t="shared" si="15"/>
        <v>0</v>
      </c>
      <c r="BE39" s="218">
        <f t="shared" si="16"/>
        <v>25.00000039</v>
      </c>
      <c r="BF39" s="99">
        <f>IF(AP39="","",SMALL(BE$9:BE$62,ROWS(AZ$9:AZ39)))</f>
        <v>25.000000199999999</v>
      </c>
      <c r="BG39" s="88"/>
      <c r="BH39" s="289" t="str">
        <f>IF(OR(AP39="",AZ39=""),"",INDEX($AP$9:$AP$63,MATCH(BF39,$BE$9:BE$62,0)))</f>
        <v>A12</v>
      </c>
      <c r="BI39" s="7">
        <f t="shared" si="0"/>
        <v>0</v>
      </c>
      <c r="BJ39" s="7">
        <f t="shared" si="1"/>
        <v>0</v>
      </c>
      <c r="BK39" s="7">
        <f t="shared" si="2"/>
        <v>0</v>
      </c>
      <c r="BL39" s="280">
        <f>IF(BF39="","",IF(AND(BI38=BI39,BJ38=BJ39,BK38=BK39),BL38,$BL$9+30))</f>
        <v>26</v>
      </c>
      <c r="BN39" s="262"/>
      <c r="BO39" s="405">
        <f>IF(AND($K$5=31),1,IF(AND($K$5=32),2,IF(AND($K$5=33),3,IF(AND($K$5=34),4,IF(AND($K$5=35),5,IF(AND($K$5=36),6,IF(AND($K$5=37),7,IF(AND($K$5=38),8,IF(AND($K$5=39),9,IF(AND($K$5=40),10,IF(AND($K$5=41),11,IF(AND($K$5=42),12,IF(AND($K$5=43),13,IF(AND($K$5=44),14,IF(AND($K$5=45),15,IF(AND($K$5=46),16,IF(AND($K$5=47),17,IF(AND($K$5=48),18,IF(AND($K$5=49),19,IF(AND($K$5=50),20,IF(AND($K$5=51),21,IF(AND($K$5=52),22,IF(AND($K$5=53),23,IF(AND($K$5=54),24," "))))))))))))))))))))))))</f>
        <v>18</v>
      </c>
    </row>
    <row r="40" spans="1:67" ht="18" customHeight="1" thickBot="1">
      <c r="A40" s="23"/>
      <c r="B40" s="23"/>
      <c r="C40" s="23"/>
      <c r="D40" s="23"/>
      <c r="E40" s="23"/>
      <c r="F40" s="23"/>
      <c r="G40" s="23"/>
      <c r="I40" s="23"/>
      <c r="J40" s="23"/>
      <c r="K40" s="23"/>
      <c r="L40" s="23"/>
      <c r="Q40" s="23"/>
      <c r="R40" s="23"/>
      <c r="S40" s="23"/>
      <c r="T40" s="23"/>
      <c r="U40" s="23"/>
      <c r="Y40" s="447"/>
      <c r="Z40" s="14" t="str">
        <f>+P17</f>
        <v>B8</v>
      </c>
      <c r="AA40" s="17">
        <f>IF(ISTEXT(Z40),AA39,0)</f>
        <v>0</v>
      </c>
      <c r="AB40" s="18">
        <f>IF(ISTEXT(Z40),AB39,0)</f>
        <v>0</v>
      </c>
      <c r="AC40" s="19">
        <f>IF(ISTEXT(Z40),AC39,0)</f>
        <v>0</v>
      </c>
      <c r="AD40" s="9"/>
      <c r="AE40" s="14" t="str">
        <f>+S17</f>
        <v>B10</v>
      </c>
      <c r="AF40" s="17">
        <f>IF(ISTEXT(AE40),AF39,0)</f>
        <v>0</v>
      </c>
      <c r="AG40" s="18">
        <f>IF(ISTEXT(AE40),AG39,0)</f>
        <v>0</v>
      </c>
      <c r="AH40" s="19">
        <f>IF(ISTEXT(AE40),AH39,0)</f>
        <v>0</v>
      </c>
      <c r="AI40" s="9"/>
      <c r="AJ40" s="14" t="str">
        <f>+V17</f>
        <v>B12</v>
      </c>
      <c r="AK40" s="17">
        <f>IF(ISTEXT(AJ40),AK39,0)</f>
        <v>0</v>
      </c>
      <c r="AL40" s="18">
        <f>IF(ISTEXT(AJ40),AL39,0)</f>
        <v>0</v>
      </c>
      <c r="AM40" s="19">
        <f>IF(ISTEXT(AJ40),AM39,0)</f>
        <v>0</v>
      </c>
      <c r="AN40" s="23"/>
      <c r="AO40" s="54">
        <v>32</v>
      </c>
      <c r="AP40" s="322" t="str">
        <f>+Inscrits!D16</f>
        <v>B14</v>
      </c>
      <c r="AQ40" s="286" t="str">
        <f t="shared" si="3"/>
        <v>0</v>
      </c>
      <c r="AR40" s="99" t="str">
        <f t="shared" si="4"/>
        <v>0</v>
      </c>
      <c r="AS40" s="219" t="str">
        <f t="shared" si="5"/>
        <v>0</v>
      </c>
      <c r="AT40" s="289" t="str">
        <f t="shared" si="6"/>
        <v>0</v>
      </c>
      <c r="AU40" s="99" t="str">
        <f t="shared" si="7"/>
        <v>0</v>
      </c>
      <c r="AV40" s="291" t="str">
        <f t="shared" si="8"/>
        <v>0</v>
      </c>
      <c r="AW40" s="286" t="str">
        <f t="shared" si="9"/>
        <v>0</v>
      </c>
      <c r="AX40" s="99" t="str">
        <f t="shared" si="10"/>
        <v>0</v>
      </c>
      <c r="AY40" s="291" t="str">
        <f t="shared" si="11"/>
        <v>0</v>
      </c>
      <c r="AZ40" s="286">
        <f t="shared" si="17"/>
        <v>0</v>
      </c>
      <c r="BA40" s="99">
        <f t="shared" si="12"/>
        <v>0</v>
      </c>
      <c r="BB40" s="291">
        <f t="shared" si="13"/>
        <v>0</v>
      </c>
      <c r="BC40" s="294">
        <f t="shared" si="14"/>
        <v>0</v>
      </c>
      <c r="BD40" s="7">
        <f t="shared" si="15"/>
        <v>0</v>
      </c>
      <c r="BE40" s="218">
        <f t="shared" si="16"/>
        <v>25.000000400000001</v>
      </c>
      <c r="BF40" s="99">
        <f>IF(AP40="","",SMALL(BE$9:BE$62,ROWS(AZ$9:AZ40)))</f>
        <v>25.00000021</v>
      </c>
      <c r="BG40" s="88"/>
      <c r="BH40" s="289" t="str">
        <f>IF(OR(AP40="",AZ40=""),"",INDEX($AP$9:$AP$63,MATCH(BF40,$BE$9:BE$62,0)))</f>
        <v>A13</v>
      </c>
      <c r="BI40" s="7">
        <f t="shared" si="0"/>
        <v>0</v>
      </c>
      <c r="BJ40" s="7">
        <f t="shared" si="1"/>
        <v>0</v>
      </c>
      <c r="BK40" s="7">
        <f t="shared" si="2"/>
        <v>0</v>
      </c>
      <c r="BL40" s="280">
        <f>IF(BF40="","",IF(AND(BI39=BI40,BJ39=BJ40,BK39=BK40),BL39,$BL$9+31))</f>
        <v>26</v>
      </c>
      <c r="BN40" s="262"/>
      <c r="BO40" s="405">
        <f>IF(AND($K$5=32),1,IF(AND($K$5=33),2,IF(AND($K$5=34),3,IF(AND($K$5=35),4,IF(AND($K$5=36),5,IF(AND($K$5=37),6,IF(AND($K$5=38),7,IF(AND($K$5=39),8,IF(AND($K$5=40),9,IF(AND($K$5=41),10,IF(AND($K$5=42),11,IF(AND($K$5=43),12,IF(AND($K$5=44),13,IF(AND($K$5=45),14,IF(AND($K$5=46),15,IF(AND($K$5=47),16,IF(AND($K$5=48),17,IF(AND($K$5=49),18,IF(AND($K$5=50),19,IF(AND($K$5=51),20,IF(AND($K$5=52),21,IF(AND($K$5=53),22,IF(AND($K$5=54),23," ")))))))))))))))))))))))</f>
        <v>17</v>
      </c>
    </row>
    <row r="41" spans="1:67" ht="18" customHeight="1" thickBot="1">
      <c r="A41" s="23"/>
      <c r="B41" s="23"/>
      <c r="C41" s="23"/>
      <c r="D41" s="23"/>
      <c r="E41" s="23"/>
      <c r="F41" s="23"/>
      <c r="G41" s="23"/>
      <c r="I41" s="23"/>
      <c r="J41" s="23"/>
      <c r="K41" s="23"/>
      <c r="L41" s="23"/>
      <c r="Q41" s="23"/>
      <c r="R41" s="23"/>
      <c r="S41" s="23"/>
      <c r="T41" s="23"/>
      <c r="U41" s="23"/>
      <c r="Y41" s="448"/>
      <c r="Z41" s="16" t="str">
        <f>+Q17</f>
        <v>C8</v>
      </c>
      <c r="AA41" s="17">
        <f>IF(ISTEXT(Z41),AA39,0)</f>
        <v>0</v>
      </c>
      <c r="AB41" s="18">
        <f>IF(ISTEXT(Z41),AB39,0)</f>
        <v>0</v>
      </c>
      <c r="AC41" s="19">
        <f>IF(ISTEXT(Z41),AC39,0)</f>
        <v>0</v>
      </c>
      <c r="AD41" s="9"/>
      <c r="AE41" s="16" t="str">
        <f>+T17</f>
        <v>C11</v>
      </c>
      <c r="AF41" s="17">
        <f>IF(ISTEXT(AE41),AF39,0)</f>
        <v>0</v>
      </c>
      <c r="AG41" s="18">
        <f>IF(ISTEXT(AE41),AG39,0)</f>
        <v>0</v>
      </c>
      <c r="AH41" s="19">
        <f>IF(ISTEXT(AE41),AH39,0)</f>
        <v>0</v>
      </c>
      <c r="AI41" s="9"/>
      <c r="AJ41" s="16" t="str">
        <f>+W17</f>
        <v>C14</v>
      </c>
      <c r="AK41" s="17">
        <f>IF(ISTEXT(AJ41),AK39,0)</f>
        <v>0</v>
      </c>
      <c r="AL41" s="18">
        <f>IF(ISTEXT(AJ41),AL39,0)</f>
        <v>0</v>
      </c>
      <c r="AM41" s="19">
        <f>IF(ISTEXT(AJ41),AM39,0)</f>
        <v>0</v>
      </c>
      <c r="AN41" s="23"/>
      <c r="AO41" s="54">
        <v>33</v>
      </c>
      <c r="AP41" s="322" t="str">
        <f>+Inscrits!D17</f>
        <v>B15</v>
      </c>
      <c r="AQ41" s="286" t="str">
        <f t="shared" si="3"/>
        <v>0</v>
      </c>
      <c r="AR41" s="99" t="str">
        <f t="shared" si="4"/>
        <v>0</v>
      </c>
      <c r="AS41" s="219" t="str">
        <f t="shared" si="5"/>
        <v>0</v>
      </c>
      <c r="AT41" s="289" t="str">
        <f t="shared" si="6"/>
        <v>0</v>
      </c>
      <c r="AU41" s="99" t="str">
        <f t="shared" si="7"/>
        <v>0</v>
      </c>
      <c r="AV41" s="291" t="str">
        <f t="shared" si="8"/>
        <v>0</v>
      </c>
      <c r="AW41" s="286" t="str">
        <f t="shared" si="9"/>
        <v>0</v>
      </c>
      <c r="AX41" s="99" t="str">
        <f t="shared" si="10"/>
        <v>0</v>
      </c>
      <c r="AY41" s="291" t="str">
        <f t="shared" si="11"/>
        <v>0</v>
      </c>
      <c r="AZ41" s="286">
        <f t="shared" si="17"/>
        <v>0</v>
      </c>
      <c r="BA41" s="99">
        <f t="shared" si="12"/>
        <v>0</v>
      </c>
      <c r="BB41" s="291">
        <f t="shared" si="13"/>
        <v>0</v>
      </c>
      <c r="BC41" s="294">
        <f t="shared" si="14"/>
        <v>0</v>
      </c>
      <c r="BD41" s="7">
        <f t="shared" si="15"/>
        <v>0</v>
      </c>
      <c r="BE41" s="218">
        <f t="shared" si="16"/>
        <v>25.000000409999998</v>
      </c>
      <c r="BF41" s="99">
        <f>IF(AP41="","",SMALL(BE$9:BE$62,ROWS(AZ$9:AZ41)))</f>
        <v>25.00000022</v>
      </c>
      <c r="BG41" s="88"/>
      <c r="BH41" s="289" t="str">
        <f>IF(OR(AP41="",AZ41=""),"",INDEX($AP$9:$AP$63,MATCH(BF41,$BE$9:BE$62,0)))</f>
        <v>A14</v>
      </c>
      <c r="BI41" s="7">
        <f t="shared" ref="BI41:BI62" si="18">IF(AP41="","",INDEX($AZ$9:$AZ$63,MATCH(BF41,$BE$9:$BE$62,0)))</f>
        <v>0</v>
      </c>
      <c r="BJ41" s="7">
        <f t="shared" ref="BJ41:BJ62" si="19">IF(AP41="","",INDEX($BA$9:$BA$63,MATCH(BF41,$BE$9:$BE$62,0)))</f>
        <v>0</v>
      </c>
      <c r="BK41" s="7">
        <f t="shared" ref="BK41:BK62" si="20">IF(AP41="","",INDEX($BB$9:$BB$63,MATCH(BF41,$BE$9:$BE$62,0)))</f>
        <v>0</v>
      </c>
      <c r="BL41" s="280">
        <f>IF(BF41="","",IF(AND(BI40=BI41,BJ40=BJ41,BK40=BK41),BL40,$BL$9+32))</f>
        <v>26</v>
      </c>
      <c r="BN41" s="262"/>
      <c r="BO41" s="405">
        <f>IF(AND($K$5=33),1,IF(AND($K$5=34),2,IF(AND($K$5=35),3,IF(AND($K$5=36),4,IF(AND($K$5=37),5,IF(AND($K$5=38),6,IF(AND($K$5=39),7,IF(AND($K$5=40),8,IF(AND($K$5=41),9,IF(AND($K$5=42),10,IF(AND($K$5=43),11,IF(AND($K$5=44),12,IF(AND($K$5=45),13,IF(AND($K$5=46),14,IF(AND($K$5=47),15,IF(AND($K$5=48),16,IF(AND($K$5=49),17,IF(AND($K$5=50),18,IF(AND($K$5=51),19,IF(AND($K$5=52),20,IF(AND($K$5=53),21,IF(AND($K$5=54),22," "))))))))))))))))))))))</f>
        <v>16</v>
      </c>
    </row>
    <row r="42" spans="1:67" ht="18" customHeight="1" thickBot="1">
      <c r="A42" s="23"/>
      <c r="B42" s="23"/>
      <c r="C42" s="23"/>
      <c r="D42" s="23"/>
      <c r="E42" s="23"/>
      <c r="F42" s="23"/>
      <c r="G42" s="23"/>
      <c r="I42" s="23"/>
      <c r="J42" s="23"/>
      <c r="K42" s="23"/>
      <c r="L42" s="23"/>
      <c r="Q42" s="23"/>
      <c r="R42" s="23"/>
      <c r="S42" s="23"/>
      <c r="T42" s="23"/>
      <c r="U42" s="23"/>
      <c r="Y42" s="128"/>
      <c r="Z42" s="73"/>
      <c r="AA42" s="234"/>
      <c r="AB42" s="73"/>
      <c r="AC42" s="73"/>
      <c r="AD42" s="234"/>
      <c r="AE42" s="73"/>
      <c r="AF42" s="234"/>
      <c r="AG42" s="73"/>
      <c r="AH42" s="73"/>
      <c r="AI42" s="234"/>
      <c r="AJ42" s="73"/>
      <c r="AK42" s="234"/>
      <c r="AL42" s="73"/>
      <c r="AM42" s="73"/>
      <c r="AN42" s="23"/>
      <c r="AO42" s="54">
        <v>34</v>
      </c>
      <c r="AP42" s="322" t="str">
        <f>+Inscrits!D18</f>
        <v>B16</v>
      </c>
      <c r="AQ42" s="286" t="str">
        <f t="shared" si="3"/>
        <v>0</v>
      </c>
      <c r="AR42" s="99" t="str">
        <f t="shared" si="4"/>
        <v>0</v>
      </c>
      <c r="AS42" s="219" t="str">
        <f t="shared" si="5"/>
        <v>0</v>
      </c>
      <c r="AT42" s="289" t="str">
        <f t="shared" si="6"/>
        <v>0</v>
      </c>
      <c r="AU42" s="99" t="str">
        <f t="shared" si="7"/>
        <v>0</v>
      </c>
      <c r="AV42" s="291" t="str">
        <f t="shared" si="8"/>
        <v>0</v>
      </c>
      <c r="AW42" s="286" t="str">
        <f t="shared" si="9"/>
        <v>0</v>
      </c>
      <c r="AX42" s="99" t="str">
        <f t="shared" si="10"/>
        <v>0</v>
      </c>
      <c r="AY42" s="291" t="str">
        <f t="shared" si="11"/>
        <v>0</v>
      </c>
      <c r="AZ42" s="286">
        <f t="shared" si="17"/>
        <v>0</v>
      </c>
      <c r="BA42" s="99">
        <f t="shared" si="12"/>
        <v>0</v>
      </c>
      <c r="BB42" s="291">
        <f t="shared" si="13"/>
        <v>0</v>
      </c>
      <c r="BC42" s="294">
        <f t="shared" si="14"/>
        <v>0</v>
      </c>
      <c r="BD42" s="7">
        <f t="shared" si="15"/>
        <v>0</v>
      </c>
      <c r="BE42" s="218">
        <f t="shared" si="16"/>
        <v>25.000000419999999</v>
      </c>
      <c r="BF42" s="99">
        <f>IF(AP42="","",SMALL(BE$9:BE$62,ROWS(AZ$9:AZ42)))</f>
        <v>25.000000230000001</v>
      </c>
      <c r="BG42" s="88"/>
      <c r="BH42" s="289" t="str">
        <f>IF(OR(AP42="",AZ42=""),"",INDEX($AP$9:$AP$63,MATCH(BF42,$BE$9:BE$62,0)))</f>
        <v>A15</v>
      </c>
      <c r="BI42" s="7">
        <f t="shared" si="18"/>
        <v>0</v>
      </c>
      <c r="BJ42" s="7">
        <f t="shared" si="19"/>
        <v>0</v>
      </c>
      <c r="BK42" s="7">
        <f t="shared" si="20"/>
        <v>0</v>
      </c>
      <c r="BL42" s="280">
        <f>IF(BF42="","",IF(AND(BI41=BI42,BJ41=BJ42,BK41=BK42),BL41,$BL$9+33))</f>
        <v>26</v>
      </c>
      <c r="BN42" s="262"/>
      <c r="BO42" s="405">
        <f>IF(AND($K$5=34),1,IF(AND($K$5=35),2,IF(AND($K$5=36),3,IF(AND($K$5=37),4,IF(AND($K$5=38),5,IF(AND($K$5=39),6,IF(AND($K$5=40),7,IF(AND($K$5=41),8,IF(AND($K$5=42),9,IF(AND($K$5=43),10,IF(AND($K$5=44),11,IF(AND($K$5=45),12,IF(AND($K$5=46),13,IF(AND($K$5=47),14,IF(AND($K$5=48),15,IF(AND($K$5=49),16,IF(AND($K$5=50),17,IF(AND($K$5=51),18,IF(AND($K$5=52),19,IF(AND($K$5=53),20,IF(AND($K$5=54),21," ")))))))))))))))))))))</f>
        <v>15</v>
      </c>
    </row>
    <row r="43" spans="1:67" ht="18" customHeight="1">
      <c r="A43" s="23"/>
      <c r="B43" s="23"/>
      <c r="C43" s="23"/>
      <c r="D43" s="23"/>
      <c r="E43" s="23"/>
      <c r="F43" s="23"/>
      <c r="G43" s="23"/>
      <c r="I43" s="23"/>
      <c r="J43" s="23"/>
      <c r="K43" s="23"/>
      <c r="L43" s="23"/>
      <c r="Q43" s="23"/>
      <c r="R43" s="23"/>
      <c r="S43" s="23"/>
      <c r="T43" s="23"/>
      <c r="U43" s="23"/>
      <c r="Y43" s="446">
        <v>5</v>
      </c>
      <c r="Z43" s="12" t="str">
        <f>+O18</f>
        <v>A9</v>
      </c>
      <c r="AA43" s="33">
        <v>0</v>
      </c>
      <c r="AB43" s="48">
        <f>IF(AA43+AA47=0,0,IF(AA43=AA47,2,IF(AA43&gt;AA47,3,1)))</f>
        <v>0</v>
      </c>
      <c r="AC43" s="13">
        <f>AA43-AA47</f>
        <v>0</v>
      </c>
      <c r="AD43" s="24"/>
      <c r="AE43" s="12" t="str">
        <f>+R18</f>
        <v>A10</v>
      </c>
      <c r="AF43" s="126">
        <v>0</v>
      </c>
      <c r="AG43" s="48">
        <f>IF(AF43+AF47=0,0,IF(AF43=AF47,2,IF(AF43&gt;AF47,3,1)))</f>
        <v>0</v>
      </c>
      <c r="AH43" s="13">
        <f>AF43-AF47</f>
        <v>0</v>
      </c>
      <c r="AI43" s="24"/>
      <c r="AJ43" s="12" t="str">
        <f>+U18</f>
        <v>A11</v>
      </c>
      <c r="AK43" s="36">
        <v>0</v>
      </c>
      <c r="AL43" s="48">
        <f>IF(AK43+AK47=0,0,IF(AK43=AK47,2,IF(AK43&gt;AK47,3,1)))</f>
        <v>0</v>
      </c>
      <c r="AM43" s="13">
        <f>AK43-AK47</f>
        <v>0</v>
      </c>
      <c r="AN43" s="23"/>
      <c r="AO43" s="54">
        <v>35</v>
      </c>
      <c r="AP43" s="322" t="str">
        <f>+Inscrits!D19</f>
        <v>B17</v>
      </c>
      <c r="AQ43" s="286" t="str">
        <f t="shared" si="3"/>
        <v xml:space="preserve"> </v>
      </c>
      <c r="AR43" s="99" t="str">
        <f t="shared" si="4"/>
        <v xml:space="preserve"> </v>
      </c>
      <c r="AS43" s="219" t="str">
        <f t="shared" si="5"/>
        <v xml:space="preserve"> </v>
      </c>
      <c r="AT43" s="289" t="str">
        <f t="shared" si="6"/>
        <v xml:space="preserve"> </v>
      </c>
      <c r="AU43" s="99" t="str">
        <f t="shared" si="7"/>
        <v xml:space="preserve"> </v>
      </c>
      <c r="AV43" s="291" t="str">
        <f t="shared" si="8"/>
        <v xml:space="preserve"> </v>
      </c>
      <c r="AW43" s="286" t="str">
        <f t="shared" si="9"/>
        <v xml:space="preserve"> </v>
      </c>
      <c r="AX43" s="99" t="str">
        <f t="shared" si="10"/>
        <v xml:space="preserve"> </v>
      </c>
      <c r="AY43" s="291" t="str">
        <f t="shared" si="11"/>
        <v xml:space="preserve"> </v>
      </c>
      <c r="AZ43" s="286">
        <f t="shared" si="17"/>
        <v>0</v>
      </c>
      <c r="BA43" s="99">
        <f t="shared" si="12"/>
        <v>0</v>
      </c>
      <c r="BB43" s="291">
        <f t="shared" si="13"/>
        <v>0</v>
      </c>
      <c r="BC43" s="294">
        <f t="shared" si="14"/>
        <v>0</v>
      </c>
      <c r="BD43" s="7">
        <f t="shared" si="15"/>
        <v>0</v>
      </c>
      <c r="BE43" s="218">
        <f t="shared" si="16"/>
        <v>25.00000043</v>
      </c>
      <c r="BF43" s="99">
        <f>IF(AP43="","",SMALL(BE$9:BE$62,ROWS(AZ$9:AZ43)))</f>
        <v>25.000000239999999</v>
      </c>
      <c r="BG43" s="88"/>
      <c r="BH43" s="289" t="str">
        <f>IF(OR(AP43="",AZ43=""),"",INDEX($AP$9:$AP$63,MATCH(BF43,$BE$9:BE$62,0)))</f>
        <v>A16</v>
      </c>
      <c r="BI43" s="7">
        <f t="shared" si="18"/>
        <v>0</v>
      </c>
      <c r="BJ43" s="7">
        <f t="shared" si="19"/>
        <v>0</v>
      </c>
      <c r="BK43" s="7">
        <f t="shared" si="20"/>
        <v>0</v>
      </c>
      <c r="BL43" s="280">
        <f>IF(BF43="","",IF(AND(BI42=BI43,BJ42=BJ43,BK42=BK43),BL42,$BL$9+34))</f>
        <v>26</v>
      </c>
      <c r="BN43" s="262"/>
      <c r="BO43" s="405">
        <f>IF(AND($K$5=35),1,IF(AND($K$5=36),2,IF(AND($K$5=37),3,IF(AND($K$5=38),4,IF(AND($K$5=39),5,IF(AND($K$5=40),6,IF(AND($K$5=41),7,IF(AND($K$5=42),8,IF(AND($K$5=43),9,IF(AND($K$5=44),10,IF(AND($K$5=45),11,IF(AND($K$5=46),12,IF(AND($K$5=47),13,IF(AND($K$5=48),14,IF(AND($K$5=49),15,IF(AND($K$5=50),16,IF(AND($K$5=51),17,IF(AND($K$5=52),18,IF(AND($K$5=53),19,IF(AND($K$5=54),20," "))))))))))))))))))))</f>
        <v>14</v>
      </c>
    </row>
    <row r="44" spans="1:67" ht="18" customHeight="1" thickBot="1">
      <c r="A44" s="23"/>
      <c r="B44" s="23"/>
      <c r="C44" s="23"/>
      <c r="D44" s="23"/>
      <c r="E44" s="23"/>
      <c r="F44" s="23"/>
      <c r="G44" s="23"/>
      <c r="I44" s="23"/>
      <c r="J44" s="23"/>
      <c r="K44" s="23"/>
      <c r="L44" s="23"/>
      <c r="Q44" s="23"/>
      <c r="R44" s="23"/>
      <c r="S44" s="23"/>
      <c r="T44" s="23"/>
      <c r="U44" s="23"/>
      <c r="Y44" s="447"/>
      <c r="Z44" s="14" t="str">
        <f>+P18</f>
        <v>B9</v>
      </c>
      <c r="AA44" s="17">
        <f>IF(ISTEXT(Z44),AA43,0)</f>
        <v>0</v>
      </c>
      <c r="AB44" s="18">
        <f>IF(ISTEXT(Z44),AB43,0)</f>
        <v>0</v>
      </c>
      <c r="AC44" s="19">
        <f>IF(ISTEXT(Z44),AC43,0)</f>
        <v>0</v>
      </c>
      <c r="AD44" s="9"/>
      <c r="AE44" s="14" t="str">
        <f>+S18</f>
        <v>B11</v>
      </c>
      <c r="AF44" s="17">
        <v>5</v>
      </c>
      <c r="AG44" s="59">
        <f>IF(ISTEXT(AE44),AG43,0)</f>
        <v>0</v>
      </c>
      <c r="AH44" s="19">
        <f>IF(ISTEXT(AE44),AH43,0)</f>
        <v>0</v>
      </c>
      <c r="AI44" s="9"/>
      <c r="AJ44" s="14" t="str">
        <f>+V18</f>
        <v>B13</v>
      </c>
      <c r="AK44" s="17">
        <f>IF(ISTEXT(AJ44),AK43,0)</f>
        <v>0</v>
      </c>
      <c r="AL44" s="59">
        <f>IF(ISTEXT(AJ44),AL43,0)</f>
        <v>0</v>
      </c>
      <c r="AM44" s="19">
        <f>IF(ISTEXT(AJ44),AM43,0)</f>
        <v>0</v>
      </c>
      <c r="AN44" s="23"/>
      <c r="AO44" s="54">
        <v>36</v>
      </c>
      <c r="AP44" s="322" t="str">
        <f>+Inscrits!D20</f>
        <v>B18</v>
      </c>
      <c r="AQ44" s="286" t="str">
        <f t="shared" si="3"/>
        <v xml:space="preserve"> </v>
      </c>
      <c r="AR44" s="99" t="str">
        <f t="shared" si="4"/>
        <v xml:space="preserve"> </v>
      </c>
      <c r="AS44" s="219" t="str">
        <f t="shared" si="5"/>
        <v xml:space="preserve"> </v>
      </c>
      <c r="AT44" s="289" t="str">
        <f t="shared" si="6"/>
        <v xml:space="preserve"> </v>
      </c>
      <c r="AU44" s="99" t="str">
        <f t="shared" si="7"/>
        <v xml:space="preserve"> </v>
      </c>
      <c r="AV44" s="291" t="str">
        <f t="shared" si="8"/>
        <v xml:space="preserve"> </v>
      </c>
      <c r="AW44" s="286" t="str">
        <f t="shared" si="9"/>
        <v xml:space="preserve"> </v>
      </c>
      <c r="AX44" s="99" t="str">
        <f t="shared" si="10"/>
        <v xml:space="preserve"> </v>
      </c>
      <c r="AY44" s="291" t="str">
        <f t="shared" si="11"/>
        <v xml:space="preserve"> </v>
      </c>
      <c r="AZ44" s="286">
        <f t="shared" si="17"/>
        <v>0</v>
      </c>
      <c r="BA44" s="99">
        <f t="shared" si="12"/>
        <v>0</v>
      </c>
      <c r="BB44" s="291">
        <f t="shared" si="13"/>
        <v>0</v>
      </c>
      <c r="BC44" s="294">
        <f t="shared" si="14"/>
        <v>0</v>
      </c>
      <c r="BD44" s="7">
        <f t="shared" si="15"/>
        <v>0</v>
      </c>
      <c r="BE44" s="218">
        <f t="shared" si="16"/>
        <v>25.000000440000001</v>
      </c>
      <c r="BF44" s="99">
        <f>IF(AP44="","",SMALL(BE$9:BE$62,ROWS(AZ$9:AZ44)))</f>
        <v>25.000000249999999</v>
      </c>
      <c r="BG44" s="88"/>
      <c r="BH44" s="289" t="str">
        <f>IF(OR(AP44="",AZ44=""),"",INDEX($AP$9:$AP$63,MATCH(BF44,$BE$9:BE$62,0)))</f>
        <v>A17</v>
      </c>
      <c r="BI44" s="7">
        <f t="shared" si="18"/>
        <v>0</v>
      </c>
      <c r="BJ44" s="7">
        <f t="shared" si="19"/>
        <v>0</v>
      </c>
      <c r="BK44" s="7">
        <f t="shared" si="20"/>
        <v>0</v>
      </c>
      <c r="BL44" s="280">
        <f>IF(BF44="","",IF(AND(BI43=BI44,BJ43=BJ44,BK43=BK44),BL43,$BL$9+35))</f>
        <v>26</v>
      </c>
      <c r="BN44" s="262"/>
      <c r="BO44" s="405">
        <f>IF(AND($K$5=36),1,IF(AND($K$5=37),2,IF(AND($K$5=38),3,IF(AND($K$5=39),4,IF(AND($K$5=40),5,IF(AND($K$5=41),6,IF(AND($K$5=42),7,IF(AND($K$5=43),8,IF(AND($K$5=44),9,IF(AND($K$5=45),10,IF(AND($K$5=46),11,IF(AND($K$5=47),12,IF(AND($K$5=48),13,IF(AND($K$5=49),14,IF(AND($K$5=50),15,IF(AND($K$5=51),16,IF(AND($K$5=52),17,IF(AND($K$5=53),18,IF(AND($K$5=54),19," ")))))))))))))))))))</f>
        <v>13</v>
      </c>
    </row>
    <row r="45" spans="1:67" ht="18" customHeight="1">
      <c r="A45" s="23"/>
      <c r="B45" s="23"/>
      <c r="C45" s="23"/>
      <c r="D45" s="23"/>
      <c r="E45" s="23"/>
      <c r="F45" s="23"/>
      <c r="G45" s="23"/>
      <c r="I45" s="23"/>
      <c r="J45" s="23"/>
      <c r="K45" s="23"/>
      <c r="L45" s="23"/>
      <c r="Q45" s="23"/>
      <c r="R45" s="23"/>
      <c r="S45" s="23"/>
      <c r="T45" s="23"/>
      <c r="U45" s="23"/>
      <c r="Y45" s="447"/>
      <c r="Z45" s="14" t="str">
        <f>+Q18</f>
        <v>C9</v>
      </c>
      <c r="AA45" s="71">
        <f>IF(ISTEXT(Z45),AA43,0)</f>
        <v>0</v>
      </c>
      <c r="AB45" s="67">
        <f>IF(ISTEXT(Z45),AB43,0)</f>
        <v>0</v>
      </c>
      <c r="AC45" s="72">
        <f>IF(ISTEXT(Z45),AC43,0)</f>
        <v>0</v>
      </c>
      <c r="AD45" s="9"/>
      <c r="AE45" s="14" t="str">
        <f>+T18</f>
        <v>C12</v>
      </c>
      <c r="AF45" s="71">
        <f>IF(ISTEXT(AE45),AF43,0)</f>
        <v>0</v>
      </c>
      <c r="AG45" s="64">
        <f>IF(ISTEXT(AE45),AG43,0)</f>
        <v>0</v>
      </c>
      <c r="AH45" s="72">
        <f>IF(ISTEXT(AE45),AH43,0)</f>
        <v>0</v>
      </c>
      <c r="AI45" s="9"/>
      <c r="AJ45" s="14" t="str">
        <f>+W18</f>
        <v>C15</v>
      </c>
      <c r="AK45" s="71">
        <f>IF(ISTEXT(AJ45),AK43,0)</f>
        <v>0</v>
      </c>
      <c r="AL45" s="64">
        <f>IF(ISTEXT(AJ45),AL43,0)</f>
        <v>0</v>
      </c>
      <c r="AM45" s="72">
        <f>IF(ISTEXT(AJ45),AM43,0)</f>
        <v>0</v>
      </c>
      <c r="AN45" s="23"/>
      <c r="AO45" s="54">
        <v>37</v>
      </c>
      <c r="AP45" s="323" t="str">
        <f>+Inscrits!F3</f>
        <v>C1</v>
      </c>
      <c r="AQ45" s="286">
        <f t="shared" si="3"/>
        <v>1</v>
      </c>
      <c r="AR45" s="99">
        <f t="shared" si="4"/>
        <v>-1</v>
      </c>
      <c r="AS45" s="219">
        <f t="shared" si="5"/>
        <v>5</v>
      </c>
      <c r="AT45" s="289" t="str">
        <f t="shared" si="6"/>
        <v>0</v>
      </c>
      <c r="AU45" s="99" t="str">
        <f t="shared" si="7"/>
        <v>0</v>
      </c>
      <c r="AV45" s="291" t="str">
        <f t="shared" si="8"/>
        <v>0</v>
      </c>
      <c r="AW45" s="286" t="str">
        <f t="shared" si="9"/>
        <v>0</v>
      </c>
      <c r="AX45" s="99" t="str">
        <f t="shared" si="10"/>
        <v>0</v>
      </c>
      <c r="AY45" s="291" t="str">
        <f t="shared" si="11"/>
        <v>0</v>
      </c>
      <c r="AZ45" s="286">
        <f t="shared" si="17"/>
        <v>1</v>
      </c>
      <c r="BA45" s="99">
        <f t="shared" si="12"/>
        <v>-1</v>
      </c>
      <c r="BB45" s="291">
        <f t="shared" si="13"/>
        <v>5</v>
      </c>
      <c r="BC45" s="294">
        <f t="shared" si="14"/>
        <v>-1</v>
      </c>
      <c r="BD45" s="7">
        <f t="shared" si="15"/>
        <v>0</v>
      </c>
      <c r="BE45" s="218">
        <f t="shared" si="16"/>
        <v>18.009500450000004</v>
      </c>
      <c r="BF45" s="99">
        <f>IF(AP45="","",SMALL(BE$9:BE$62,ROWS(AZ$9:AZ45)))</f>
        <v>25.00000026</v>
      </c>
      <c r="BG45" s="88"/>
      <c r="BH45" s="289" t="str">
        <f>IF(OR(AP45="",AZ45=""),"",INDEX($AP$9:$AP$63,MATCH(BF45,$BE$9:BE$62,0)))</f>
        <v>A18</v>
      </c>
      <c r="BI45" s="7">
        <f t="shared" si="18"/>
        <v>0</v>
      </c>
      <c r="BJ45" s="7">
        <f t="shared" si="19"/>
        <v>0</v>
      </c>
      <c r="BK45" s="7">
        <f t="shared" si="20"/>
        <v>0</v>
      </c>
      <c r="BL45" s="280">
        <f>IF(BF45="","",IF(AND(BI44=BI45,BJ44=BJ45,BK44=BK45),BL44,$BL$9+36))</f>
        <v>26</v>
      </c>
      <c r="BN45" s="262"/>
      <c r="BO45" s="405">
        <f>IF(AND($K$5=37),1,IF(AND($K$5=38),2,IF(AND($K$5=39),3,IF(AND($K$5=40),4,IF(AND($K$5=41),5,IF(AND($K$5=42),6,IF(AND($K$5=43),7,IF(AND($K$5=44),8,IF(AND($K$5=45),9,IF(AND($K$5=46),10,IF(AND($K$5=47),11,IF(AND($K$5=48),12,IF(AND($K$5=49),13,IF(AND($K$5=50),14,IF(AND($K$5=51),15,IF(AND($K$5=52),16,IF(AND($K$5=53),17,IF(AND($K$5=54),18," "))))))))))))))))))</f>
        <v>12</v>
      </c>
    </row>
    <row r="46" spans="1:67" ht="18" customHeight="1">
      <c r="A46" s="23"/>
      <c r="B46" s="23"/>
      <c r="C46" s="23"/>
      <c r="D46" s="23"/>
      <c r="E46" s="23"/>
      <c r="F46" s="23"/>
      <c r="G46" s="23"/>
      <c r="I46" s="23"/>
      <c r="J46" s="23"/>
      <c r="K46" s="23"/>
      <c r="L46" s="23"/>
      <c r="Q46" s="23"/>
      <c r="R46" s="23"/>
      <c r="S46" s="23"/>
      <c r="T46" s="23"/>
      <c r="U46" s="23"/>
      <c r="Y46" s="447"/>
      <c r="Z46" s="32"/>
      <c r="AA46" s="230" t="s">
        <v>5</v>
      </c>
      <c r="AB46" s="21"/>
      <c r="AC46" s="22"/>
      <c r="AD46" s="25"/>
      <c r="AE46" s="32"/>
      <c r="AF46" s="230" t="s">
        <v>5</v>
      </c>
      <c r="AG46" s="21"/>
      <c r="AH46" s="22"/>
      <c r="AI46" s="25"/>
      <c r="AJ46" s="32"/>
      <c r="AK46" s="230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3</v>
      </c>
      <c r="AR46" s="99">
        <f t="shared" si="4"/>
        <v>1</v>
      </c>
      <c r="AS46" s="219">
        <f t="shared" si="5"/>
        <v>6</v>
      </c>
      <c r="AT46" s="289" t="str">
        <f t="shared" si="6"/>
        <v>0</v>
      </c>
      <c r="AU46" s="99" t="str">
        <f t="shared" si="7"/>
        <v>0</v>
      </c>
      <c r="AV46" s="291" t="str">
        <f t="shared" si="8"/>
        <v>0</v>
      </c>
      <c r="AW46" s="286" t="str">
        <f t="shared" si="9"/>
        <v>0</v>
      </c>
      <c r="AX46" s="99" t="str">
        <f t="shared" si="10"/>
        <v>0</v>
      </c>
      <c r="AY46" s="291" t="str">
        <f t="shared" si="11"/>
        <v>0</v>
      </c>
      <c r="AZ46" s="286">
        <f t="shared" si="17"/>
        <v>3</v>
      </c>
      <c r="BA46" s="99">
        <f t="shared" si="12"/>
        <v>1</v>
      </c>
      <c r="BB46" s="291">
        <f t="shared" si="13"/>
        <v>6</v>
      </c>
      <c r="BC46" s="294">
        <f t="shared" si="14"/>
        <v>0</v>
      </c>
      <c r="BD46" s="7">
        <f t="shared" si="15"/>
        <v>1</v>
      </c>
      <c r="BE46" s="218">
        <f t="shared" si="16"/>
        <v>8.9894004600000006</v>
      </c>
      <c r="BF46" s="99">
        <f>IF(AP46="","",SMALL(BE$9:BE$62,ROWS(AZ$9:AZ46)))</f>
        <v>25.000000350000001</v>
      </c>
      <c r="BG46" s="88"/>
      <c r="BH46" s="289" t="str">
        <f>IF(OR(AP46="",AZ46=""),"",INDEX($AP$9:$AP$63,MATCH(BF46,$BE$9:BE$62,0)))</f>
        <v>B9</v>
      </c>
      <c r="BI46" s="7">
        <f t="shared" si="18"/>
        <v>0</v>
      </c>
      <c r="BJ46" s="7">
        <f t="shared" si="19"/>
        <v>0</v>
      </c>
      <c r="BK46" s="7">
        <f t="shared" si="20"/>
        <v>0</v>
      </c>
      <c r="BL46" s="280">
        <f>IF(BF46="","",IF(AND(BI45=BI46,BJ45=BJ46,BK45=BK46),BL45,$BL$9+37))</f>
        <v>26</v>
      </c>
      <c r="BN46" s="262"/>
      <c r="BO46" s="405">
        <f>IF(AND($K$5=38),1,IF(AND($K$5=39),2,IF(AND($K$5=40),3,IF(AND($K$5=41),4,IF(AND($K$5=42),5,IF(AND($K$5=43),6,IF(AND($K$5=44),7,IF(AND($K$5=45),8,IF(AND($K$5=46),9,IF(AND($K$5=47),10,IF(AND($K$5=48),11,IF(AND($K$5=49),12,IF(AND($K$5=50),13,IF(AND($K$5=51),14,IF(AND($K$5=52),15,IF(AND($K$5=53),16,IF(AND($K$5=54),17," ")))))))))))))))))</f>
        <v>11</v>
      </c>
    </row>
    <row r="47" spans="1:67" ht="18" customHeight="1">
      <c r="A47" s="23"/>
      <c r="B47" s="23"/>
      <c r="C47" s="23"/>
      <c r="D47" s="23"/>
      <c r="E47" s="23"/>
      <c r="F47" s="23"/>
      <c r="G47" s="23"/>
      <c r="I47" s="23"/>
      <c r="J47" s="23"/>
      <c r="K47" s="23"/>
      <c r="L47" s="23"/>
      <c r="Q47" s="23"/>
      <c r="R47" s="23"/>
      <c r="S47" s="23"/>
      <c r="T47" s="23"/>
      <c r="U47" s="23"/>
      <c r="Y47" s="447"/>
      <c r="Z47" s="14" t="str">
        <f>+O19</f>
        <v>A10</v>
      </c>
      <c r="AA47" s="35">
        <v>0</v>
      </c>
      <c r="AB47" s="30">
        <f>IF(AA43+AA47=0,0,IF(AA43=AA47,2,IF(AA43&lt;AA47,3,1)))</f>
        <v>0</v>
      </c>
      <c r="AC47" s="15">
        <f>AA47-AA43</f>
        <v>0</v>
      </c>
      <c r="AD47" s="24"/>
      <c r="AE47" s="14" t="str">
        <f>+R19</f>
        <v>A11</v>
      </c>
      <c r="AF47" s="127">
        <v>0</v>
      </c>
      <c r="AG47" s="30">
        <f>IF(AF43+AF47=0,0,IF(AF43=AF47,2,IF(AF43&lt;AF47,3,1)))</f>
        <v>0</v>
      </c>
      <c r="AH47" s="15">
        <f>AF47-AF43</f>
        <v>0</v>
      </c>
      <c r="AI47" s="24"/>
      <c r="AJ47" s="14" t="str">
        <f>+U19</f>
        <v>A12</v>
      </c>
      <c r="AK47" s="37">
        <v>0</v>
      </c>
      <c r="AL47" s="30">
        <f>IF(AK43+AK47=0,0,IF(AK43=AK47,2,IF(AK43&lt;AK47,3,1)))</f>
        <v>0</v>
      </c>
      <c r="AM47" s="15">
        <f>AK47-AK43</f>
        <v>0</v>
      </c>
      <c r="AN47" s="23"/>
      <c r="AO47" s="54">
        <v>39</v>
      </c>
      <c r="AP47" s="323" t="str">
        <f>+Inscrits!F5</f>
        <v>C3</v>
      </c>
      <c r="AQ47" s="286">
        <f t="shared" si="3"/>
        <v>3</v>
      </c>
      <c r="AR47" s="99">
        <f t="shared" si="4"/>
        <v>6</v>
      </c>
      <c r="AS47" s="219">
        <f t="shared" si="5"/>
        <v>12</v>
      </c>
      <c r="AT47" s="289" t="str">
        <f t="shared" si="6"/>
        <v>0</v>
      </c>
      <c r="AU47" s="99" t="str">
        <f t="shared" si="7"/>
        <v>0</v>
      </c>
      <c r="AV47" s="291" t="str">
        <f t="shared" si="8"/>
        <v>0</v>
      </c>
      <c r="AW47" s="286" t="str">
        <f t="shared" si="9"/>
        <v>0</v>
      </c>
      <c r="AX47" s="99" t="str">
        <f t="shared" si="10"/>
        <v>0</v>
      </c>
      <c r="AY47" s="291" t="str">
        <f t="shared" si="11"/>
        <v>0</v>
      </c>
      <c r="AZ47" s="286">
        <f t="shared" si="17"/>
        <v>3</v>
      </c>
      <c r="BA47" s="99">
        <f t="shared" si="12"/>
        <v>6</v>
      </c>
      <c r="BB47" s="291">
        <f t="shared" si="13"/>
        <v>12</v>
      </c>
      <c r="BC47" s="294">
        <f t="shared" si="14"/>
        <v>0</v>
      </c>
      <c r="BD47" s="7">
        <f t="shared" si="15"/>
        <v>6</v>
      </c>
      <c r="BE47" s="218">
        <f t="shared" si="16"/>
        <v>8.9388004699999986</v>
      </c>
      <c r="BF47" s="99">
        <f>IF(AP47="","",SMALL(BE$9:BE$62,ROWS(AZ$9:AZ47)))</f>
        <v>25.000000360000001</v>
      </c>
      <c r="BG47" s="88"/>
      <c r="BH47" s="289" t="str">
        <f>IF(OR(AP47="",AZ47=""),"",INDEX($AP$9:$AP$63,MATCH(BF47,$BE$9:BE$62,0)))</f>
        <v>B10</v>
      </c>
      <c r="BI47" s="7">
        <f t="shared" si="18"/>
        <v>0</v>
      </c>
      <c r="BJ47" s="7">
        <f t="shared" si="19"/>
        <v>0</v>
      </c>
      <c r="BK47" s="7">
        <f t="shared" si="20"/>
        <v>0</v>
      </c>
      <c r="BL47" s="280">
        <f>IF(BF47="","",IF(AND(BI46=BI47,BJ46=BJ47,BK46=BK47),BL46,$BL$9+38))</f>
        <v>26</v>
      </c>
      <c r="BN47" s="262"/>
      <c r="BO47" s="405">
        <f>IF(AND($K$5=39),1,IF(AND($K$5=40),2,IF(AND($K$5=41),3,IF(AND($K$5=42),4,IF(AND($K$5=43),5,IF(AND($K$5=44),6,IF(AND($K$5=45),7,IF(AND($K$5=46),8,IF(AND($K$5=47),9,IF(AND($K$5=48),10,IF(AND($K$5=49),11,IF(AND($K$5=50),12,IF(AND($K$5=51),13,IF(AND($K$5=52),14,IF(AND($K$5=53),15,IF(AND($K$5=54),16," "))))))))))))))))</f>
        <v>10</v>
      </c>
    </row>
    <row r="48" spans="1:67" ht="18" customHeight="1" thickBot="1">
      <c r="A48" s="23"/>
      <c r="B48" s="23"/>
      <c r="C48" s="23"/>
      <c r="D48" s="23"/>
      <c r="E48" s="23"/>
      <c r="F48" s="23"/>
      <c r="G48" s="23"/>
      <c r="I48" s="23"/>
      <c r="J48" s="23"/>
      <c r="K48" s="23"/>
      <c r="L48" s="23"/>
      <c r="Q48" s="23"/>
      <c r="R48" s="23"/>
      <c r="S48" s="23"/>
      <c r="T48" s="23"/>
      <c r="U48" s="23"/>
      <c r="Y48" s="447"/>
      <c r="Z48" s="14" t="str">
        <f>+P19</f>
        <v>B10</v>
      </c>
      <c r="AA48" s="17">
        <f>IF(ISTEXT(Z48),AA47,0)</f>
        <v>0</v>
      </c>
      <c r="AB48" s="18">
        <f>IF(ISTEXT(Z48),AB47,0)</f>
        <v>0</v>
      </c>
      <c r="AC48" s="19">
        <f>IF(ISTEXT(Z48),AC47,0)</f>
        <v>0</v>
      </c>
      <c r="AD48" s="9"/>
      <c r="AE48" s="14" t="str">
        <f>+S19</f>
        <v>B12</v>
      </c>
      <c r="AF48" s="17">
        <f>IF(ISTEXT(AE48),AF47,0)</f>
        <v>0</v>
      </c>
      <c r="AG48" s="18">
        <f>IF(ISTEXT(AE48),AG47,0)</f>
        <v>0</v>
      </c>
      <c r="AH48" s="19">
        <f>IF(ISTEXT(AE48),AH47,0)</f>
        <v>0</v>
      </c>
      <c r="AI48" s="9"/>
      <c r="AJ48" s="14" t="str">
        <f>+V19</f>
        <v>B14</v>
      </c>
      <c r="AK48" s="17">
        <f>IF(ISTEXT(AJ48),AK47,0)</f>
        <v>0</v>
      </c>
      <c r="AL48" s="18">
        <f>IF(ISTEXT(AJ48),AL47,0)</f>
        <v>0</v>
      </c>
      <c r="AM48" s="19">
        <f>IF(ISTEXT(AJ48),AM47,0)</f>
        <v>0</v>
      </c>
      <c r="AN48" s="23"/>
      <c r="AO48" s="54">
        <v>40</v>
      </c>
      <c r="AP48" s="323" t="str">
        <f>+Inscrits!F6</f>
        <v>C4</v>
      </c>
      <c r="AQ48" s="286">
        <f t="shared" si="3"/>
        <v>1</v>
      </c>
      <c r="AR48" s="99">
        <f t="shared" si="4"/>
        <v>-6</v>
      </c>
      <c r="AS48" s="219">
        <f t="shared" si="5"/>
        <v>6</v>
      </c>
      <c r="AT48" s="289">
        <f t="shared" si="6"/>
        <v>1</v>
      </c>
      <c r="AU48" s="99">
        <f t="shared" si="7"/>
        <v>-5</v>
      </c>
      <c r="AV48" s="291">
        <f t="shared" si="8"/>
        <v>5</v>
      </c>
      <c r="AW48" s="286" t="str">
        <f t="shared" si="9"/>
        <v>0</v>
      </c>
      <c r="AX48" s="99" t="str">
        <f t="shared" si="10"/>
        <v>0</v>
      </c>
      <c r="AY48" s="291" t="str">
        <f t="shared" si="11"/>
        <v>0</v>
      </c>
      <c r="AZ48" s="286">
        <f t="shared" si="17"/>
        <v>2</v>
      </c>
      <c r="BA48" s="99">
        <f t="shared" si="12"/>
        <v>-11</v>
      </c>
      <c r="BB48" s="291">
        <f t="shared" si="13"/>
        <v>11</v>
      </c>
      <c r="BC48" s="294">
        <f t="shared" si="14"/>
        <v>-11</v>
      </c>
      <c r="BD48" s="7">
        <f t="shared" si="15"/>
        <v>0</v>
      </c>
      <c r="BE48" s="218">
        <f t="shared" si="16"/>
        <v>16.108900479999999</v>
      </c>
      <c r="BF48" s="99">
        <f>IF(AP48="","",SMALL(BE$9:BE$62,ROWS(AZ$9:AZ48)))</f>
        <v>25.000000379999999</v>
      </c>
      <c r="BG48" s="88"/>
      <c r="BH48" s="289" t="str">
        <f>IF(OR(AP48="",AZ48=""),"",INDEX($AP$9:$AP$63,MATCH(BF48,$BE$9:BE$62,0)))</f>
        <v>B12</v>
      </c>
      <c r="BI48" s="7">
        <f t="shared" si="18"/>
        <v>0</v>
      </c>
      <c r="BJ48" s="7">
        <f t="shared" si="19"/>
        <v>0</v>
      </c>
      <c r="BK48" s="7">
        <f t="shared" si="20"/>
        <v>0</v>
      </c>
      <c r="BL48" s="280">
        <f>IF(BF48="","",IF(AND(BI47=BI48,BJ47=BJ48,BK47=BK48),BL47,$BL$9+39))</f>
        <v>26</v>
      </c>
      <c r="BN48" s="262"/>
      <c r="BO48" s="405">
        <f>IF(AND($K$5=40),1,IF(AND($K$5=41),2,IF(AND($K$5=42),3,IF(AND($K$5=43),4,IF(AND($K$5=44),5,IF(AND($K$5=45),6,IF(AND($K$5=46),7,IF(AND($K$5=47),8,IF(AND($K$5=48),9,IF(AND($K$5=49),10,IF(AND($K$5=50),11,IF(AND($K$5=51),12,IF(AND($K$5=52),13,IF(AND($K$5=53),14,IF(AND($K$5=54),15," ")))))))))))))))</f>
        <v>9</v>
      </c>
    </row>
    <row r="49" spans="1:67" ht="18" customHeight="1" thickBot="1">
      <c r="A49" s="23"/>
      <c r="B49" s="23"/>
      <c r="C49" s="23"/>
      <c r="D49" s="23"/>
      <c r="E49" s="23"/>
      <c r="F49" s="23"/>
      <c r="G49" s="23"/>
      <c r="I49" s="23"/>
      <c r="J49" s="23"/>
      <c r="K49" s="23"/>
      <c r="L49" s="23"/>
      <c r="Q49" s="23"/>
      <c r="R49" s="23"/>
      <c r="S49" s="23"/>
      <c r="T49" s="23"/>
      <c r="U49" s="23"/>
      <c r="Y49" s="448"/>
      <c r="Z49" s="16" t="str">
        <f>+Q19</f>
        <v>C10</v>
      </c>
      <c r="AA49" s="17">
        <f>IF(ISTEXT(Z49),AA47,0)</f>
        <v>0</v>
      </c>
      <c r="AB49" s="18">
        <f>IF(ISTEXT(Z49),AB47,0)</f>
        <v>0</v>
      </c>
      <c r="AC49" s="19">
        <f>IF(ISTEXT(Z49),AC47,0)</f>
        <v>0</v>
      </c>
      <c r="AD49" s="9"/>
      <c r="AE49" s="16" t="str">
        <f>+T19</f>
        <v>C13</v>
      </c>
      <c r="AF49" s="17">
        <f>IF(ISTEXT(AE49),AF47,0)</f>
        <v>0</v>
      </c>
      <c r="AG49" s="18">
        <f>IF(ISTEXT(AE49),AG47,0)</f>
        <v>0</v>
      </c>
      <c r="AH49" s="19">
        <f>IF(ISTEXT(AE49),AH47,0)</f>
        <v>0</v>
      </c>
      <c r="AI49" s="9"/>
      <c r="AJ49" s="16" t="str">
        <f>+W19</f>
        <v>C16</v>
      </c>
      <c r="AK49" s="17">
        <f>IF(ISTEXT(AJ49),AK47,0)</f>
        <v>0</v>
      </c>
      <c r="AL49" s="18">
        <f>IF(ISTEXT(AJ49),AL47,0)</f>
        <v>0</v>
      </c>
      <c r="AM49" s="19">
        <f>IF(ISTEXT(AJ49),AM47,0)</f>
        <v>0</v>
      </c>
      <c r="AN49" s="23"/>
      <c r="AO49" s="54">
        <v>41</v>
      </c>
      <c r="AP49" s="323" t="str">
        <f>+Inscrits!F7</f>
        <v>C5</v>
      </c>
      <c r="AQ49" s="286" t="str">
        <f t="shared" si="3"/>
        <v>0</v>
      </c>
      <c r="AR49" s="99" t="str">
        <f t="shared" si="4"/>
        <v>0</v>
      </c>
      <c r="AS49" s="219" t="str">
        <f t="shared" si="5"/>
        <v>0</v>
      </c>
      <c r="AT49" s="289">
        <f t="shared" si="6"/>
        <v>3</v>
      </c>
      <c r="AU49" s="99">
        <f t="shared" si="7"/>
        <v>5</v>
      </c>
      <c r="AV49" s="291">
        <f t="shared" si="8"/>
        <v>10</v>
      </c>
      <c r="AW49" s="286" t="str">
        <f t="shared" si="9"/>
        <v>0</v>
      </c>
      <c r="AX49" s="99" t="str">
        <f t="shared" si="10"/>
        <v>0</v>
      </c>
      <c r="AY49" s="291" t="str">
        <f t="shared" si="11"/>
        <v>0</v>
      </c>
      <c r="AZ49" s="286">
        <f t="shared" si="17"/>
        <v>3</v>
      </c>
      <c r="BA49" s="99">
        <f t="shared" si="12"/>
        <v>5</v>
      </c>
      <c r="BB49" s="291">
        <f t="shared" si="13"/>
        <v>10</v>
      </c>
      <c r="BC49" s="294">
        <f t="shared" si="14"/>
        <v>0</v>
      </c>
      <c r="BD49" s="7">
        <f t="shared" si="15"/>
        <v>5</v>
      </c>
      <c r="BE49" s="218">
        <f t="shared" si="16"/>
        <v>8.9490004899999995</v>
      </c>
      <c r="BF49" s="99">
        <f>IF(AP49="","",SMALL(BE$9:BE$62,ROWS(AZ$9:AZ49)))</f>
        <v>25.00000039</v>
      </c>
      <c r="BG49" s="88"/>
      <c r="BH49" s="289" t="str">
        <f>IF(OR(AP49="",AZ49=""),"",INDEX($AP$9:$AP$63,MATCH(BF49,$BE$9:BE$62,0)))</f>
        <v>B13</v>
      </c>
      <c r="BI49" s="7">
        <f t="shared" si="18"/>
        <v>0</v>
      </c>
      <c r="BJ49" s="7">
        <f t="shared" si="19"/>
        <v>0</v>
      </c>
      <c r="BK49" s="7">
        <f t="shared" si="20"/>
        <v>0</v>
      </c>
      <c r="BL49" s="280">
        <f>IF(BF49="","",IF(AND(BI48=BI49,BJ48=BJ49,BK48=BK49),BL48,$BL$9+40))</f>
        <v>26</v>
      </c>
      <c r="BN49" s="262"/>
      <c r="BO49" s="405">
        <f>IF(AND($K$5=41),1,IF(AND($K$5=42),2,IF(AND($K$5=43),3,IF(AND($K$5=44),4,IF(AND($K$5=45),5,IF(AND($K$5=46),6,IF(AND($K$5=47),7,IF(AND($K$5=48),8,IF(AND($K$5=49),9,IF(AND($K$5=50),10,IF(AND($K$5=51),11,IF(AND($K$5=52),12,IF(AND($K$5=53),13,IF(AND($K$5=54),14," "))))))))))))))</f>
        <v>8</v>
      </c>
    </row>
    <row r="50" spans="1:67" ht="18" customHeight="1" thickBot="1">
      <c r="A50" s="23"/>
      <c r="B50" s="23"/>
      <c r="C50" s="23"/>
      <c r="D50" s="23"/>
      <c r="E50" s="23"/>
      <c r="F50" s="23"/>
      <c r="G50" s="23"/>
      <c r="I50" s="23"/>
      <c r="J50" s="23"/>
      <c r="K50" s="23"/>
      <c r="L50" s="23"/>
      <c r="Q50" s="23"/>
      <c r="R50" s="23"/>
      <c r="S50" s="23"/>
      <c r="T50" s="23"/>
      <c r="U50" s="23"/>
      <c r="Y50" s="128"/>
      <c r="Z50" s="73"/>
      <c r="AA50" s="234"/>
      <c r="AB50" s="73"/>
      <c r="AC50" s="73"/>
      <c r="AD50" s="234"/>
      <c r="AE50" s="73"/>
      <c r="AF50" s="234"/>
      <c r="AG50" s="73"/>
      <c r="AH50" s="73"/>
      <c r="AI50" s="234"/>
      <c r="AJ50" s="73"/>
      <c r="AK50" s="234"/>
      <c r="AL50" s="73"/>
      <c r="AM50" s="73"/>
      <c r="AN50" s="23"/>
      <c r="AO50" s="54">
        <v>42</v>
      </c>
      <c r="AP50" s="323" t="str">
        <f>+Inscrits!F8</f>
        <v>C6</v>
      </c>
      <c r="AQ50" s="286" t="str">
        <f t="shared" si="3"/>
        <v>0</v>
      </c>
      <c r="AR50" s="99" t="str">
        <f t="shared" si="4"/>
        <v>0</v>
      </c>
      <c r="AS50" s="219" t="str">
        <f t="shared" si="5"/>
        <v>0</v>
      </c>
      <c r="AT50" s="289">
        <f t="shared" si="6"/>
        <v>1</v>
      </c>
      <c r="AU50" s="99">
        <f t="shared" si="7"/>
        <v>-7</v>
      </c>
      <c r="AV50" s="291">
        <f t="shared" si="8"/>
        <v>5</v>
      </c>
      <c r="AW50" s="286" t="str">
        <f t="shared" si="9"/>
        <v>0</v>
      </c>
      <c r="AX50" s="99" t="str">
        <f t="shared" si="10"/>
        <v>0</v>
      </c>
      <c r="AY50" s="291" t="str">
        <f t="shared" si="11"/>
        <v>0</v>
      </c>
      <c r="AZ50" s="286">
        <f t="shared" si="17"/>
        <v>1</v>
      </c>
      <c r="BA50" s="99">
        <f t="shared" si="12"/>
        <v>-7</v>
      </c>
      <c r="BB50" s="291">
        <f t="shared" si="13"/>
        <v>5</v>
      </c>
      <c r="BC50" s="294">
        <f t="shared" si="14"/>
        <v>-7</v>
      </c>
      <c r="BD50" s="7">
        <f t="shared" si="15"/>
        <v>0</v>
      </c>
      <c r="BE50" s="218">
        <f t="shared" si="16"/>
        <v>18.0695005</v>
      </c>
      <c r="BF50" s="99">
        <f>IF(AP50="","",SMALL(BE$9:BE$62,ROWS(AZ$9:AZ50)))</f>
        <v>25.000000400000001</v>
      </c>
      <c r="BG50" s="88"/>
      <c r="BH50" s="289" t="str">
        <f>IF(OR(AP50="",AZ50=""),"",INDEX($AP$9:$AP$63,MATCH(BF50,$BE$9:BE$62,0)))</f>
        <v>B14</v>
      </c>
      <c r="BI50" s="7">
        <f t="shared" si="18"/>
        <v>0</v>
      </c>
      <c r="BJ50" s="7">
        <f t="shared" si="19"/>
        <v>0</v>
      </c>
      <c r="BK50" s="7">
        <f t="shared" si="20"/>
        <v>0</v>
      </c>
      <c r="BL50" s="280">
        <f>IF(BF50="","",IF(AND(BI49=BI50,BJ49=BJ50,BK49=BK50),BL49,$BL$9+41))</f>
        <v>26</v>
      </c>
      <c r="BN50" s="262"/>
      <c r="BO50" s="405">
        <f>IF(AND($K$5=42),1,IF(AND($K$5=43),2,IF(AND($K$5=44),3,IF(AND($K$5=45),4,IF(AND($K$5=46),5,IF(AND($K$5=47),6,IF(AND($K$5=48),7,IF(AND($K$5=49),8,IF(AND($K$5=50),9,IF(AND($K$5=51),10,IF(AND($K$5=52),11,IF(AND($K$5=53),12,IF(AND($K$5=54),13," ")))))))))))))</f>
        <v>7</v>
      </c>
    </row>
    <row r="51" spans="1:67" ht="18" customHeight="1">
      <c r="A51" s="23"/>
      <c r="B51" s="23"/>
      <c r="C51" s="23"/>
      <c r="D51" s="23"/>
      <c r="E51" s="23"/>
      <c r="F51" s="23"/>
      <c r="G51" s="23"/>
      <c r="I51" s="23"/>
      <c r="J51" s="23"/>
      <c r="K51" s="23"/>
      <c r="L51" s="23"/>
      <c r="Q51" s="23"/>
      <c r="R51" s="23"/>
      <c r="S51" s="23"/>
      <c r="T51" s="23"/>
      <c r="U51" s="23"/>
      <c r="Y51" s="446">
        <v>6</v>
      </c>
      <c r="Z51" s="12" t="str">
        <f>+O20</f>
        <v>A11</v>
      </c>
      <c r="AA51" s="33">
        <v>0</v>
      </c>
      <c r="AB51" s="48">
        <f>IF(AA51+AA55=0,0,IF(AA51=AA55,2,IF(AA51&gt;AA55,3,1)))</f>
        <v>0</v>
      </c>
      <c r="AC51" s="13">
        <f>AA51-AA55</f>
        <v>0</v>
      </c>
      <c r="AD51" s="24"/>
      <c r="AE51" s="12" t="str">
        <f>+R20</f>
        <v>A12</v>
      </c>
      <c r="AF51" s="126">
        <v>0</v>
      </c>
      <c r="AG51" s="48">
        <f>IF(AF51+AF55=0,0,IF(AF51=AF55,2,IF(AF51&gt;AF55,3,1)))</f>
        <v>0</v>
      </c>
      <c r="AH51" s="13">
        <f>AF51-AF55</f>
        <v>0</v>
      </c>
      <c r="AI51" s="24"/>
      <c r="AJ51" s="12" t="str">
        <f>+U20</f>
        <v>A13</v>
      </c>
      <c r="AK51" s="36">
        <v>0</v>
      </c>
      <c r="AL51" s="48">
        <f>IF(AK51+AK55=0,0,IF(AK51=AK55,2,IF(AK51&gt;AK55,3,1)))</f>
        <v>0</v>
      </c>
      <c r="AM51" s="13">
        <f>AK51-AK55</f>
        <v>0</v>
      </c>
      <c r="AN51" s="23"/>
      <c r="AO51" s="54">
        <v>43</v>
      </c>
      <c r="AP51" s="323" t="str">
        <f>+Inscrits!F9</f>
        <v>C7</v>
      </c>
      <c r="AQ51" s="286" t="str">
        <f t="shared" si="3"/>
        <v>0</v>
      </c>
      <c r="AR51" s="99" t="str">
        <f t="shared" si="4"/>
        <v>0</v>
      </c>
      <c r="AS51" s="219" t="str">
        <f t="shared" si="5"/>
        <v>0</v>
      </c>
      <c r="AT51" s="289">
        <f t="shared" si="6"/>
        <v>3</v>
      </c>
      <c r="AU51" s="99">
        <f t="shared" si="7"/>
        <v>7</v>
      </c>
      <c r="AV51" s="291">
        <f t="shared" si="8"/>
        <v>12</v>
      </c>
      <c r="AW51" s="286">
        <f t="shared" si="9"/>
        <v>1</v>
      </c>
      <c r="AX51" s="99">
        <f t="shared" si="10"/>
        <v>-1</v>
      </c>
      <c r="AY51" s="291">
        <f t="shared" si="11"/>
        <v>4</v>
      </c>
      <c r="AZ51" s="286">
        <f t="shared" si="17"/>
        <v>4</v>
      </c>
      <c r="BA51" s="99">
        <f t="shared" si="12"/>
        <v>6</v>
      </c>
      <c r="BB51" s="291">
        <f t="shared" si="13"/>
        <v>16</v>
      </c>
      <c r="BC51" s="294">
        <f t="shared" si="14"/>
        <v>0</v>
      </c>
      <c r="BD51" s="7">
        <f t="shared" si="15"/>
        <v>6</v>
      </c>
      <c r="BE51" s="218">
        <f t="shared" si="16"/>
        <v>4.9384005100000001</v>
      </c>
      <c r="BF51" s="99">
        <f>IF(AP51="","",SMALL(BE$9:BE$62,ROWS(AZ$9:AZ51)))</f>
        <v>25.000000409999998</v>
      </c>
      <c r="BG51" s="88"/>
      <c r="BH51" s="289" t="str">
        <f>IF(OR(AP51="",AZ51=""),"",INDEX($AP$9:$AP$63,MATCH(BF51,$BE$9:BE$62,0)))</f>
        <v>B15</v>
      </c>
      <c r="BI51" s="7">
        <f t="shared" si="18"/>
        <v>0</v>
      </c>
      <c r="BJ51" s="7">
        <f t="shared" si="19"/>
        <v>0</v>
      </c>
      <c r="BK51" s="7">
        <f t="shared" si="20"/>
        <v>0</v>
      </c>
      <c r="BL51" s="280">
        <f>IF(BF51="","",IF(AND(BI50=BI51,BJ50=BJ51,BK50=BK51),BL50,$BL$9+42))</f>
        <v>26</v>
      </c>
      <c r="BN51" s="262"/>
      <c r="BO51" s="405">
        <f>IF(AND($K$5=43),1,IF(AND($K$5=44),2,IF(AND($K$5=45),3,IF(AND($K$5=46),4,IF(AND($K$5=47),5,IF(AND($K$5=48),6,IF(AND($K$5=49),7,IF(AND($K$5=50),8,IF(AND($K$5=51),9,IF(AND($K$5=52),10,IF(AND($K$5=53),11,IF(AND($K$5=54),12," "))))))))))))</f>
        <v>6</v>
      </c>
    </row>
    <row r="52" spans="1:67" ht="18" customHeight="1" thickBot="1">
      <c r="A52" s="23"/>
      <c r="B52" s="23"/>
      <c r="C52" s="23"/>
      <c r="D52" s="23"/>
      <c r="E52" s="23"/>
      <c r="F52" s="23"/>
      <c r="G52" s="23"/>
      <c r="I52" s="23"/>
      <c r="J52" s="23"/>
      <c r="K52" s="23"/>
      <c r="L52" s="23"/>
      <c r="Q52" s="23"/>
      <c r="R52" s="23"/>
      <c r="S52" s="23"/>
      <c r="T52" s="23"/>
      <c r="U52" s="23"/>
      <c r="Y52" s="447"/>
      <c r="Z52" s="14" t="str">
        <f>+P20</f>
        <v>B11</v>
      </c>
      <c r="AA52" s="17">
        <f>IF(ISTEXT(Z52),AA51,0)</f>
        <v>0</v>
      </c>
      <c r="AB52" s="18">
        <f>IF(ISTEXT(Z52),AB51,0)</f>
        <v>0</v>
      </c>
      <c r="AC52" s="19">
        <f>IF(ISTEXT(Z52),AC51,0)</f>
        <v>0</v>
      </c>
      <c r="AD52" s="9"/>
      <c r="AE52" s="14" t="str">
        <f>+S20</f>
        <v>B13</v>
      </c>
      <c r="AF52" s="17">
        <f>IF(ISTEXT(AE52),AF51,0)</f>
        <v>0</v>
      </c>
      <c r="AG52" s="59">
        <f>IF(ISTEXT(AE52),AG51,0)</f>
        <v>0</v>
      </c>
      <c r="AH52" s="19">
        <f>IF(ISTEXT(AE52),AH51,0)</f>
        <v>0</v>
      </c>
      <c r="AI52" s="9"/>
      <c r="AJ52" s="14" t="str">
        <f>+V20</f>
        <v>B15</v>
      </c>
      <c r="AK52" s="17">
        <f>IF(ISTEXT(AJ52),AK51,0)</f>
        <v>0</v>
      </c>
      <c r="AL52" s="59">
        <f>IF(ISTEXT(AJ52),AL51,0)</f>
        <v>0</v>
      </c>
      <c r="AM52" s="19">
        <f>IF(ISTEXT(AJ52),AM51,0)</f>
        <v>0</v>
      </c>
      <c r="AN52" s="23"/>
      <c r="AO52" s="54">
        <v>44</v>
      </c>
      <c r="AP52" s="323" t="str">
        <f>+Inscrits!F10</f>
        <v>C8</v>
      </c>
      <c r="AQ52" s="286" t="str">
        <f t="shared" si="3"/>
        <v>0</v>
      </c>
      <c r="AR52" s="99" t="str">
        <f t="shared" si="4"/>
        <v>0</v>
      </c>
      <c r="AS52" s="219" t="str">
        <f t="shared" si="5"/>
        <v>0</v>
      </c>
      <c r="AT52" s="289" t="str">
        <f t="shared" si="6"/>
        <v>0</v>
      </c>
      <c r="AU52" s="99" t="str">
        <f t="shared" si="7"/>
        <v>0</v>
      </c>
      <c r="AV52" s="291" t="str">
        <f t="shared" si="8"/>
        <v>0</v>
      </c>
      <c r="AW52" s="286">
        <f t="shared" si="9"/>
        <v>3</v>
      </c>
      <c r="AX52" s="99">
        <f t="shared" si="10"/>
        <v>1</v>
      </c>
      <c r="AY52" s="291">
        <f t="shared" si="11"/>
        <v>5</v>
      </c>
      <c r="AZ52" s="286">
        <f t="shared" si="17"/>
        <v>3</v>
      </c>
      <c r="BA52" s="99">
        <f t="shared" si="12"/>
        <v>1</v>
      </c>
      <c r="BB52" s="291">
        <f t="shared" si="13"/>
        <v>5</v>
      </c>
      <c r="BC52" s="294">
        <f t="shared" si="14"/>
        <v>0</v>
      </c>
      <c r="BD52" s="7">
        <f t="shared" si="15"/>
        <v>1</v>
      </c>
      <c r="BE52" s="218">
        <f t="shared" si="16"/>
        <v>8.98950052</v>
      </c>
      <c r="BF52" s="99">
        <f>IF(AP52="","",SMALL(BE$9:BE$62,ROWS(AZ$9:AZ52)))</f>
        <v>25.000000419999999</v>
      </c>
      <c r="BG52" s="88"/>
      <c r="BH52" s="289" t="str">
        <f>IF(OR(AP52="",AZ52=""),"",INDEX($AP$9:$AP$63,MATCH(BF52,$BE$9:BE$62,0)))</f>
        <v>B16</v>
      </c>
      <c r="BI52" s="7">
        <f t="shared" si="18"/>
        <v>0</v>
      </c>
      <c r="BJ52" s="7">
        <f t="shared" si="19"/>
        <v>0</v>
      </c>
      <c r="BK52" s="7">
        <f t="shared" si="20"/>
        <v>0</v>
      </c>
      <c r="BL52" s="280">
        <f>IF(BF52="","",IF(AND(BI51=BI52,BJ51=BJ52,BK51=BK52),BL51,$BL$9+43))</f>
        <v>26</v>
      </c>
      <c r="BN52" s="262"/>
      <c r="BO52" s="405">
        <f>IF(AND($K$5=44),1,IF(AND($K$5=45),2,IF(AND($K$5=46),3,IF(AND($K$5=47),4,IF(AND($K$5=48),5,IF(AND($K$5=49),6,IF(AND($K$5=50),7,IF(AND($K$5=51),8,IF(AND($K$5=52),9,IF(AND($K$5=53),10,IF(AND($K$5=54),11," ")))))))))))</f>
        <v>5</v>
      </c>
    </row>
    <row r="53" spans="1:67" ht="18" customHeight="1">
      <c r="A53" s="23"/>
      <c r="B53" s="23"/>
      <c r="C53" s="23"/>
      <c r="D53" s="23"/>
      <c r="E53" s="23"/>
      <c r="F53" s="23"/>
      <c r="G53" s="23"/>
      <c r="I53" s="23"/>
      <c r="J53" s="23"/>
      <c r="K53" s="23"/>
      <c r="L53" s="23"/>
      <c r="Q53" s="23"/>
      <c r="R53" s="23"/>
      <c r="S53" s="23"/>
      <c r="T53" s="23"/>
      <c r="U53" s="23"/>
      <c r="Y53" s="447"/>
      <c r="Z53" s="14" t="str">
        <f>+Q20</f>
        <v>C11</v>
      </c>
      <c r="AA53" s="71">
        <f>IF(ISTEXT(Z53),AA51,0)</f>
        <v>0</v>
      </c>
      <c r="AB53" s="67">
        <f>IF(ISTEXT(Z53),AB51,0)</f>
        <v>0</v>
      </c>
      <c r="AC53" s="72">
        <f>IF(ISTEXT(Z53),AC51,0)</f>
        <v>0</v>
      </c>
      <c r="AD53" s="9"/>
      <c r="AE53" s="14" t="str">
        <f>+T20</f>
        <v>C14</v>
      </c>
      <c r="AF53" s="71">
        <f>IF(ISTEXT(AE53),AF51,0)</f>
        <v>0</v>
      </c>
      <c r="AG53" s="64">
        <f>IF(ISTEXT(AE53),AG51,0)</f>
        <v>0</v>
      </c>
      <c r="AH53" s="72">
        <f>IF(ISTEXT(AE53),AH51,0)</f>
        <v>0</v>
      </c>
      <c r="AI53" s="9"/>
      <c r="AJ53" s="14" t="str">
        <f>+W20</f>
        <v>C1</v>
      </c>
      <c r="AK53" s="71">
        <f>IF(ISTEXT(AJ53),AK51,0)</f>
        <v>0</v>
      </c>
      <c r="AL53" s="64">
        <f>IF(ISTEXT(AJ53),AL51,0)</f>
        <v>0</v>
      </c>
      <c r="AM53" s="72">
        <f>IF(ISTEXT(AJ53),AM51,0)</f>
        <v>0</v>
      </c>
      <c r="AN53" s="23"/>
      <c r="AO53" s="54">
        <v>45</v>
      </c>
      <c r="AP53" s="323" t="str">
        <f>+Inscrits!F11</f>
        <v>C9</v>
      </c>
      <c r="AQ53" s="286" t="str">
        <f t="shared" si="3"/>
        <v>0</v>
      </c>
      <c r="AR53" s="99" t="str">
        <f t="shared" si="4"/>
        <v>0</v>
      </c>
      <c r="AS53" s="219" t="str">
        <f t="shared" si="5"/>
        <v>0</v>
      </c>
      <c r="AT53" s="289" t="str">
        <f t="shared" si="6"/>
        <v>0</v>
      </c>
      <c r="AU53" s="99" t="str">
        <f t="shared" si="7"/>
        <v>0</v>
      </c>
      <c r="AV53" s="291" t="str">
        <f t="shared" si="8"/>
        <v>0</v>
      </c>
      <c r="AW53" s="286">
        <f t="shared" si="9"/>
        <v>3</v>
      </c>
      <c r="AX53" s="99">
        <f t="shared" si="10"/>
        <v>5</v>
      </c>
      <c r="AY53" s="291">
        <f t="shared" si="11"/>
        <v>14</v>
      </c>
      <c r="AZ53" s="286">
        <f t="shared" si="17"/>
        <v>3</v>
      </c>
      <c r="BA53" s="99">
        <f t="shared" si="12"/>
        <v>5</v>
      </c>
      <c r="BB53" s="291">
        <f t="shared" si="13"/>
        <v>14</v>
      </c>
      <c r="BC53" s="294">
        <f t="shared" si="14"/>
        <v>0</v>
      </c>
      <c r="BD53" s="7">
        <f t="shared" si="15"/>
        <v>5</v>
      </c>
      <c r="BE53" s="218">
        <f t="shared" si="16"/>
        <v>8.9486005299999984</v>
      </c>
      <c r="BF53" s="99">
        <f>IF(AP53="","",SMALL(BE$9:BE$62,ROWS(AZ$9:AZ53)))</f>
        <v>25.00000043</v>
      </c>
      <c r="BG53" s="88"/>
      <c r="BH53" s="289" t="str">
        <f>IF(OR(AP53="",AZ53=""),"",INDEX($AP$9:$AP$63,MATCH(BF53,$BE$9:BE$62,0)))</f>
        <v>B17</v>
      </c>
      <c r="BI53" s="7">
        <f t="shared" si="18"/>
        <v>0</v>
      </c>
      <c r="BJ53" s="7">
        <f t="shared" si="19"/>
        <v>0</v>
      </c>
      <c r="BK53" s="7">
        <f t="shared" si="20"/>
        <v>0</v>
      </c>
      <c r="BL53" s="280">
        <f>IF(BF53="","",IF(AND(BI52=BI53,BJ52=BJ53,BK52=BK53),BL52,$BL$9+44))</f>
        <v>26</v>
      </c>
      <c r="BN53" s="262"/>
      <c r="BO53" s="405">
        <f>IF(AND($K$5=45),1,IF(AND($K$5=46),2,IF(AND($K$5=47),3,IF(AND($K$5=48),4,IF(AND($K$5=49),5,IF(AND($K$5=50),6,IF(AND($K$5=51),7,IF(AND($K$5=52),8,IF(AND($K$5=53),9,IF(AND($K$5=54),10," "))))))))))</f>
        <v>4</v>
      </c>
    </row>
    <row r="54" spans="1:67" ht="18" customHeight="1">
      <c r="A54" s="23"/>
      <c r="B54" s="23"/>
      <c r="C54" s="23"/>
      <c r="D54" s="23"/>
      <c r="E54" s="23"/>
      <c r="F54" s="23"/>
      <c r="G54" s="23"/>
      <c r="I54" s="23"/>
      <c r="J54" s="23"/>
      <c r="K54" s="23"/>
      <c r="L54" s="23"/>
      <c r="Q54" s="23"/>
      <c r="R54" s="23"/>
      <c r="S54" s="23"/>
      <c r="T54" s="23"/>
      <c r="U54" s="23"/>
      <c r="Y54" s="447"/>
      <c r="Z54" s="32"/>
      <c r="AA54" s="230" t="s">
        <v>5</v>
      </c>
      <c r="AB54" s="21"/>
      <c r="AC54" s="22"/>
      <c r="AD54" s="25"/>
      <c r="AE54" s="32"/>
      <c r="AF54" s="230" t="s">
        <v>5</v>
      </c>
      <c r="AG54" s="21"/>
      <c r="AH54" s="22"/>
      <c r="AI54" s="25"/>
      <c r="AJ54" s="32"/>
      <c r="AK54" s="230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 t="str">
        <f t="shared" si="3"/>
        <v>0</v>
      </c>
      <c r="AR54" s="99" t="str">
        <f t="shared" si="4"/>
        <v>0</v>
      </c>
      <c r="AS54" s="219" t="str">
        <f t="shared" si="5"/>
        <v>0</v>
      </c>
      <c r="AT54" s="289" t="str">
        <f t="shared" si="6"/>
        <v>0</v>
      </c>
      <c r="AU54" s="99" t="str">
        <f t="shared" si="7"/>
        <v>0</v>
      </c>
      <c r="AV54" s="291" t="str">
        <f t="shared" si="8"/>
        <v>0</v>
      </c>
      <c r="AW54" s="286">
        <f t="shared" si="9"/>
        <v>1</v>
      </c>
      <c r="AX54" s="99">
        <f t="shared" si="10"/>
        <v>-5</v>
      </c>
      <c r="AY54" s="291">
        <f t="shared" si="11"/>
        <v>9</v>
      </c>
      <c r="AZ54" s="286">
        <f t="shared" si="17"/>
        <v>1</v>
      </c>
      <c r="BA54" s="99">
        <f t="shared" si="12"/>
        <v>-5</v>
      </c>
      <c r="BB54" s="291">
        <f t="shared" si="13"/>
        <v>9</v>
      </c>
      <c r="BC54" s="294">
        <f t="shared" si="14"/>
        <v>-5</v>
      </c>
      <c r="BD54" s="7">
        <f t="shared" si="15"/>
        <v>0</v>
      </c>
      <c r="BE54" s="218">
        <f t="shared" si="16"/>
        <v>18.049100539999998</v>
      </c>
      <c r="BF54" s="99">
        <f>IF(AP54="","",SMALL(BE$9:BE$62,ROWS(AZ$9:AZ54)))</f>
        <v>25.000000440000001</v>
      </c>
      <c r="BG54" s="88"/>
      <c r="BH54" s="289" t="str">
        <f>IF(OR(AP54="",AZ54=""),"",INDEX($AP$9:$AP$63,MATCH(BF54,$BE$9:BE$62,0)))</f>
        <v>B18</v>
      </c>
      <c r="BI54" s="7">
        <f t="shared" si="18"/>
        <v>0</v>
      </c>
      <c r="BJ54" s="7">
        <f t="shared" si="19"/>
        <v>0</v>
      </c>
      <c r="BK54" s="7">
        <f t="shared" si="20"/>
        <v>0</v>
      </c>
      <c r="BL54" s="280">
        <f>IF(BF54="","",IF(AND(BI53=BI54,BJ53=BJ54,BK53=BK54),BL53,$BL$9+45))</f>
        <v>26</v>
      </c>
      <c r="BN54" s="262"/>
      <c r="BO54" s="405">
        <f>IF(AND($K$5=46),1,IF(AND($K$5=47),2,IF(AND($K$5=48),3,IF(AND($K$5=49),4,IF(AND($K$5=50),5,IF(AND($K$5=51),6,IF(AND($K$5=52),7,IF(AND($K$5=53),8,IF(AND($K$5=54),9," ")))))))))</f>
        <v>3</v>
      </c>
    </row>
    <row r="55" spans="1:67" ht="18" customHeight="1">
      <c r="A55" s="23"/>
      <c r="B55" s="23"/>
      <c r="C55" s="23"/>
      <c r="D55" s="23"/>
      <c r="E55" s="23"/>
      <c r="F55" s="23"/>
      <c r="G55" s="23"/>
      <c r="I55" s="23"/>
      <c r="J55" s="23"/>
      <c r="K55" s="23"/>
      <c r="L55" s="23"/>
      <c r="Q55" s="23"/>
      <c r="R55" s="23"/>
      <c r="S55" s="23"/>
      <c r="T55" s="23"/>
      <c r="U55" s="23"/>
      <c r="Y55" s="447"/>
      <c r="Z55" s="14" t="str">
        <f>+O21</f>
        <v>A12</v>
      </c>
      <c r="AA55" s="35">
        <v>0</v>
      </c>
      <c r="AB55" s="30">
        <f>IF(AA51+AA55=0,0,IF(AA51=AA55,2,IF(AA51&lt;AA55,3,1)))</f>
        <v>0</v>
      </c>
      <c r="AC55" s="15">
        <f>AA55-AA51</f>
        <v>0</v>
      </c>
      <c r="AD55" s="24"/>
      <c r="AE55" s="14" t="str">
        <f>+R21</f>
        <v>A13</v>
      </c>
      <c r="AF55" s="127">
        <v>0</v>
      </c>
      <c r="AG55" s="30">
        <f>IF(AF51+AF55=0,0,IF(AF51=AF55,2,IF(AF51&lt;AF55,3,1)))</f>
        <v>0</v>
      </c>
      <c r="AH55" s="15">
        <f>AF55-AF51</f>
        <v>0</v>
      </c>
      <c r="AI55" s="24"/>
      <c r="AJ55" s="14" t="str">
        <f>+U21</f>
        <v>A14</v>
      </c>
      <c r="AK55" s="37">
        <v>0</v>
      </c>
      <c r="AL55" s="30">
        <f>IF(AK51+AK55=0,0,IF(AK51=AK55,2,IF(AK51&lt;AK55,3,1)))</f>
        <v>0</v>
      </c>
      <c r="AM55" s="15">
        <f>AK55-AK51</f>
        <v>0</v>
      </c>
      <c r="AN55" s="23"/>
      <c r="AO55" s="54">
        <v>47</v>
      </c>
      <c r="AP55" s="323" t="str">
        <f>+Inscrits!F13</f>
        <v>C11</v>
      </c>
      <c r="AQ55" s="286" t="str">
        <f t="shared" si="3"/>
        <v>0</v>
      </c>
      <c r="AR55" s="99" t="str">
        <f t="shared" si="4"/>
        <v>0</v>
      </c>
      <c r="AS55" s="219" t="str">
        <f t="shared" si="5"/>
        <v>0</v>
      </c>
      <c r="AT55" s="289" t="str">
        <f t="shared" si="6"/>
        <v>0</v>
      </c>
      <c r="AU55" s="99" t="str">
        <f t="shared" si="7"/>
        <v>0</v>
      </c>
      <c r="AV55" s="291" t="str">
        <f t="shared" si="8"/>
        <v>0</v>
      </c>
      <c r="AW55" s="286" t="str">
        <f t="shared" si="9"/>
        <v>0</v>
      </c>
      <c r="AX55" s="99" t="str">
        <f t="shared" si="10"/>
        <v>0</v>
      </c>
      <c r="AY55" s="291" t="str">
        <f t="shared" si="11"/>
        <v>0</v>
      </c>
      <c r="AZ55" s="286">
        <f t="shared" si="17"/>
        <v>0</v>
      </c>
      <c r="BA55" s="99">
        <f t="shared" si="12"/>
        <v>0</v>
      </c>
      <c r="BB55" s="291">
        <f t="shared" si="13"/>
        <v>0</v>
      </c>
      <c r="BC55" s="294">
        <f t="shared" si="14"/>
        <v>0</v>
      </c>
      <c r="BD55" s="7">
        <f t="shared" si="15"/>
        <v>0</v>
      </c>
      <c r="BE55" s="218">
        <f t="shared" si="16"/>
        <v>25.000000549999999</v>
      </c>
      <c r="BF55" s="99">
        <f>IF(AP55="","",SMALL(BE$9:BE$62,ROWS(AZ$9:AZ55)))</f>
        <v>25.000000549999999</v>
      </c>
      <c r="BG55" s="88"/>
      <c r="BH55" s="289" t="str">
        <f>IF(OR(AP55="",AZ55=""),"",INDEX($AP$9:$AP$63,MATCH(BF55,$BE$9:BE$62,0)))</f>
        <v>C11</v>
      </c>
      <c r="BI55" s="7">
        <f t="shared" si="18"/>
        <v>0</v>
      </c>
      <c r="BJ55" s="7">
        <f t="shared" si="19"/>
        <v>0</v>
      </c>
      <c r="BK55" s="7">
        <f t="shared" si="20"/>
        <v>0</v>
      </c>
      <c r="BL55" s="280">
        <f>IF(BF55="","",IF(AND(BI54=BI55,BJ54=BJ55,BK54=BK55),BL54,$BL$9+46))</f>
        <v>26</v>
      </c>
      <c r="BN55" s="262"/>
      <c r="BO55" s="405">
        <f>IF(AND($K$5=47),1,IF(AND($K$5=48),2,IF(AND($K$5=49),3,IF(AND($K$5=50),4,IF(AND($K$5=51),5,IF(AND($K$5=52),6,IF(AND($K$5=53),7,IF(AND($K$5=54),8," "))))))))</f>
        <v>2</v>
      </c>
    </row>
    <row r="56" spans="1:67" ht="21" thickBot="1">
      <c r="B56" s="23"/>
      <c r="C56" s="23"/>
      <c r="D56" s="23"/>
      <c r="E56" s="23"/>
      <c r="F56" s="23"/>
      <c r="G56" s="23"/>
      <c r="S56" s="23"/>
      <c r="T56" s="23"/>
      <c r="U56" s="23"/>
      <c r="Y56" s="447"/>
      <c r="Z56" s="14" t="str">
        <f>+P21</f>
        <v>B12</v>
      </c>
      <c r="AA56" s="17">
        <f>IF(ISTEXT(Z56),AA55,0)</f>
        <v>0</v>
      </c>
      <c r="AB56" s="18">
        <f>IF(ISTEXT(Z56),AB55,0)</f>
        <v>0</v>
      </c>
      <c r="AC56" s="19">
        <f>IF(ISTEXT(Z56),AC55,0)</f>
        <v>0</v>
      </c>
      <c r="AD56" s="9"/>
      <c r="AE56" s="14" t="str">
        <f>+S21</f>
        <v>B14</v>
      </c>
      <c r="AF56" s="17">
        <f>IF(ISTEXT(AE56),AF55,0)</f>
        <v>0</v>
      </c>
      <c r="AG56" s="18">
        <f>IF(ISTEXT(AE56),AG55,0)</f>
        <v>0</v>
      </c>
      <c r="AH56" s="19">
        <f>IF(ISTEXT(AE56),AH55,0)</f>
        <v>0</v>
      </c>
      <c r="AI56" s="9"/>
      <c r="AJ56" s="14" t="str">
        <f>+V21</f>
        <v>B16</v>
      </c>
      <c r="AK56" s="17">
        <f>IF(ISTEXT(AJ56),AK55,0)</f>
        <v>0</v>
      </c>
      <c r="AL56" s="18">
        <f>IF(ISTEXT(AJ56),AL55,0)</f>
        <v>0</v>
      </c>
      <c r="AM56" s="19">
        <f>IF(ISTEXT(AJ56),AM55,0)</f>
        <v>0</v>
      </c>
      <c r="AN56" s="23"/>
      <c r="AO56" s="54">
        <v>48</v>
      </c>
      <c r="AP56" s="323" t="str">
        <f>+Inscrits!F14</f>
        <v>C12</v>
      </c>
      <c r="AQ56" s="286" t="str">
        <f t="shared" si="3"/>
        <v>0</v>
      </c>
      <c r="AR56" s="99" t="str">
        <f t="shared" si="4"/>
        <v>0</v>
      </c>
      <c r="AS56" s="219" t="str">
        <f t="shared" si="5"/>
        <v>0</v>
      </c>
      <c r="AT56" s="289" t="str">
        <f t="shared" si="6"/>
        <v>0</v>
      </c>
      <c r="AU56" s="99" t="str">
        <f t="shared" si="7"/>
        <v>0</v>
      </c>
      <c r="AV56" s="291" t="str">
        <f t="shared" si="8"/>
        <v>0</v>
      </c>
      <c r="AW56" s="286" t="str">
        <f t="shared" si="9"/>
        <v>0</v>
      </c>
      <c r="AX56" s="99" t="str">
        <f t="shared" si="10"/>
        <v>0</v>
      </c>
      <c r="AY56" s="291" t="str">
        <f t="shared" si="11"/>
        <v>0</v>
      </c>
      <c r="AZ56" s="286">
        <f t="shared" si="17"/>
        <v>0</v>
      </c>
      <c r="BA56" s="99">
        <f t="shared" si="12"/>
        <v>0</v>
      </c>
      <c r="BB56" s="291">
        <f t="shared" si="13"/>
        <v>0</v>
      </c>
      <c r="BC56" s="294">
        <f t="shared" si="14"/>
        <v>0</v>
      </c>
      <c r="BD56" s="7">
        <f t="shared" si="15"/>
        <v>0</v>
      </c>
      <c r="BE56" s="218">
        <f t="shared" si="16"/>
        <v>25.00000056</v>
      </c>
      <c r="BF56" s="99">
        <f>IF(AP56="","",SMALL(BE$9:BE$62,ROWS(AZ$9:AZ56)))</f>
        <v>25.00000056</v>
      </c>
      <c r="BG56" s="88"/>
      <c r="BH56" s="289" t="str">
        <f>IF(OR(AP56="",AZ56=""),"",INDEX($AP$9:$AP$63,MATCH(BF56,$BE$9:BE$62,0)))</f>
        <v>C12</v>
      </c>
      <c r="BI56" s="7">
        <f t="shared" si="18"/>
        <v>0</v>
      </c>
      <c r="BJ56" s="7">
        <f t="shared" si="19"/>
        <v>0</v>
      </c>
      <c r="BK56" s="7">
        <f t="shared" si="20"/>
        <v>0</v>
      </c>
      <c r="BL56" s="280">
        <f>IF(BF56="","",IF(AND(BI55=BI56,BJ55=BJ56,BK55=BK56),BL55,$BL$9+47))</f>
        <v>26</v>
      </c>
      <c r="BN56" s="262"/>
      <c r="BO56" s="405">
        <f>IF(AND($K$5=48),1,IF(AND($K$5=49),2,IF(AND($K$5=50),3,IF(AND($K$5=51),4,IF(AND($K$5=52),5,IF(AND($K$5=53),6,IF(AND($K$5=54),7," ")))))))</f>
        <v>1</v>
      </c>
    </row>
    <row r="57" spans="1:67" ht="21" thickBot="1">
      <c r="B57" s="23"/>
      <c r="C57" s="23"/>
      <c r="D57" s="23"/>
      <c r="E57" s="23"/>
      <c r="F57" s="23"/>
      <c r="G57" s="23"/>
      <c r="S57" s="23"/>
      <c r="T57" s="23"/>
      <c r="U57" s="23"/>
      <c r="Y57" s="448"/>
      <c r="Z57" s="16" t="str">
        <f>+Q21</f>
        <v>C12</v>
      </c>
      <c r="AA57" s="17">
        <f>IF(ISTEXT(Z57),AA55,0)</f>
        <v>0</v>
      </c>
      <c r="AB57" s="18">
        <f>IF(ISTEXT(Z57),AB55,0)</f>
        <v>0</v>
      </c>
      <c r="AC57" s="19">
        <f>IF(ISTEXT(Z57),AC55,0)</f>
        <v>0</v>
      </c>
      <c r="AD57" s="9"/>
      <c r="AE57" s="16" t="str">
        <f>+T21</f>
        <v>C15</v>
      </c>
      <c r="AF57" s="17">
        <f>IF(ISTEXT(AE57),AF55,0)</f>
        <v>0</v>
      </c>
      <c r="AG57" s="18">
        <f>IF(ISTEXT(AE57),AG55,0)</f>
        <v>0</v>
      </c>
      <c r="AH57" s="19">
        <f>IF(ISTEXT(AE57),AH55,0)</f>
        <v>0</v>
      </c>
      <c r="AI57" s="9"/>
      <c r="AJ57" s="16" t="str">
        <f>+W21</f>
        <v>C2</v>
      </c>
      <c r="AK57" s="17">
        <f>IF(ISTEXT(AJ57),AK55,0)</f>
        <v>0</v>
      </c>
      <c r="AL57" s="18">
        <f>IF(ISTEXT(AJ57),AL55,0)</f>
        <v>0</v>
      </c>
      <c r="AM57" s="19">
        <f>IF(ISTEXT(AJ57),AM55,0)</f>
        <v>0</v>
      </c>
      <c r="AN57" s="23"/>
      <c r="AO57" s="54">
        <v>49</v>
      </c>
      <c r="AP57" s="323" t="str">
        <f>+Inscrits!F15</f>
        <v>C13</v>
      </c>
      <c r="AQ57" s="286" t="str">
        <f t="shared" si="3"/>
        <v>0</v>
      </c>
      <c r="AR57" s="99" t="str">
        <f t="shared" si="4"/>
        <v>0</v>
      </c>
      <c r="AS57" s="219" t="str">
        <f t="shared" si="5"/>
        <v>0</v>
      </c>
      <c r="AT57" s="289" t="str">
        <f t="shared" si="6"/>
        <v>0</v>
      </c>
      <c r="AU57" s="99" t="str">
        <f t="shared" si="7"/>
        <v>0</v>
      </c>
      <c r="AV57" s="291" t="str">
        <f t="shared" si="8"/>
        <v>0</v>
      </c>
      <c r="AW57" s="286" t="str">
        <f t="shared" si="9"/>
        <v>0</v>
      </c>
      <c r="AX57" s="99" t="str">
        <f t="shared" si="10"/>
        <v>0</v>
      </c>
      <c r="AY57" s="291" t="str">
        <f t="shared" si="11"/>
        <v>0</v>
      </c>
      <c r="AZ57" s="286">
        <f t="shared" si="17"/>
        <v>0</v>
      </c>
      <c r="BA57" s="99">
        <f t="shared" si="12"/>
        <v>0</v>
      </c>
      <c r="BB57" s="291">
        <f t="shared" si="13"/>
        <v>0</v>
      </c>
      <c r="BC57" s="294">
        <f t="shared" si="14"/>
        <v>0</v>
      </c>
      <c r="BD57" s="7">
        <f t="shared" si="15"/>
        <v>0</v>
      </c>
      <c r="BE57" s="218">
        <f t="shared" si="16"/>
        <v>25.000000570000001</v>
      </c>
      <c r="BF57" s="99">
        <f>IF(AP57="","",SMALL(BE$9:BE$62,ROWS(AZ$9:AZ57)))</f>
        <v>25.000000570000001</v>
      </c>
      <c r="BG57" s="88"/>
      <c r="BH57" s="289" t="str">
        <f>IF(OR(AP57="",AZ57=""),"",INDEX($AP$9:$AP$63,MATCH(BF57,$BE$9:BE$62,0)))</f>
        <v>C13</v>
      </c>
      <c r="BI57" s="7">
        <f t="shared" si="18"/>
        <v>0</v>
      </c>
      <c r="BJ57" s="7">
        <f t="shared" si="19"/>
        <v>0</v>
      </c>
      <c r="BK57" s="7">
        <f t="shared" si="20"/>
        <v>0</v>
      </c>
      <c r="BL57" s="280">
        <f>IF(BF57="","",IF(AND(BI56=BI57,BJ56=BJ57,BK56=BK57),BL56,$BL$9+48))</f>
        <v>26</v>
      </c>
      <c r="BN57" s="262"/>
      <c r="BO57" s="405" t="str">
        <f>IF(AND($K$5=49),1,IF(AND($K$5=50),2,IF(AND($K$5=51),3,IF(AND($K$5=52),4,IF(AND($K$5=53),5,IF(AND($K$5=54),6," "))))))</f>
        <v xml:space="preserve"> </v>
      </c>
    </row>
    <row r="58" spans="1:67" ht="21" thickBot="1">
      <c r="B58" s="23"/>
      <c r="C58" s="23"/>
      <c r="D58" s="23"/>
      <c r="E58" s="23"/>
      <c r="S58" s="23"/>
      <c r="T58" s="23"/>
      <c r="U58" s="23"/>
      <c r="Y58" s="128"/>
      <c r="Z58" s="70"/>
      <c r="AA58" s="231"/>
      <c r="AB58" s="70"/>
      <c r="AC58" s="70"/>
      <c r="AD58" s="234"/>
      <c r="AE58" s="73"/>
      <c r="AF58" s="234"/>
      <c r="AG58" s="70"/>
      <c r="AH58" s="70"/>
      <c r="AI58" s="234"/>
      <c r="AJ58" s="73"/>
      <c r="AK58" s="231"/>
      <c r="AL58" s="70"/>
      <c r="AM58" s="70"/>
      <c r="AN58" s="23"/>
      <c r="AO58" s="54">
        <v>50</v>
      </c>
      <c r="AP58" s="323" t="str">
        <f>+Inscrits!F16</f>
        <v>C14</v>
      </c>
      <c r="AQ58" s="286" t="str">
        <f t="shared" si="3"/>
        <v>0</v>
      </c>
      <c r="AR58" s="99" t="str">
        <f t="shared" si="4"/>
        <v>0</v>
      </c>
      <c r="AS58" s="219" t="str">
        <f t="shared" si="5"/>
        <v>0</v>
      </c>
      <c r="AT58" s="289" t="str">
        <f t="shared" si="6"/>
        <v>0</v>
      </c>
      <c r="AU58" s="99" t="str">
        <f t="shared" si="7"/>
        <v>0</v>
      </c>
      <c r="AV58" s="291" t="str">
        <f t="shared" si="8"/>
        <v>0</v>
      </c>
      <c r="AW58" s="286" t="str">
        <f t="shared" si="9"/>
        <v>0</v>
      </c>
      <c r="AX58" s="99" t="str">
        <f t="shared" si="10"/>
        <v>0</v>
      </c>
      <c r="AY58" s="291" t="str">
        <f t="shared" si="11"/>
        <v>0</v>
      </c>
      <c r="AZ58" s="286">
        <f t="shared" si="17"/>
        <v>0</v>
      </c>
      <c r="BA58" s="99">
        <f t="shared" si="12"/>
        <v>0</v>
      </c>
      <c r="BB58" s="291">
        <f t="shared" si="13"/>
        <v>0</v>
      </c>
      <c r="BC58" s="294">
        <f t="shared" si="14"/>
        <v>0</v>
      </c>
      <c r="BD58" s="7">
        <f t="shared" si="15"/>
        <v>0</v>
      </c>
      <c r="BE58" s="218">
        <f t="shared" si="16"/>
        <v>25.000000579999998</v>
      </c>
      <c r="BF58" s="99">
        <f>IF(AP58="","",SMALL(BE$9:BE$62,ROWS(AZ$9:AZ58)))</f>
        <v>25.000000579999998</v>
      </c>
      <c r="BG58" s="88"/>
      <c r="BH58" s="289" t="str">
        <f>IF(OR(AP58="",AZ58=""),"",INDEX($AP$9:$AP$63,MATCH(BF58,$BE$9:BE$62,0)))</f>
        <v>C14</v>
      </c>
      <c r="BI58" s="7">
        <f t="shared" si="18"/>
        <v>0</v>
      </c>
      <c r="BJ58" s="7">
        <f t="shared" si="19"/>
        <v>0</v>
      </c>
      <c r="BK58" s="7">
        <f t="shared" si="20"/>
        <v>0</v>
      </c>
      <c r="BL58" s="280">
        <f>IF(BF58="","",IF(AND(BI57=BI58,BJ57=BJ58,BK57=BK58),BL57,$BL$9+49))</f>
        <v>26</v>
      </c>
      <c r="BN58" s="262"/>
      <c r="BO58" s="405" t="str">
        <f>IF(AND($K$5=50),1,IF(AND($K$5=51),2,IF(AND($K$5=52),3,IF(AND($K$5=53),4,IF(AND($K$5=54),5," ")))))</f>
        <v xml:space="preserve"> </v>
      </c>
    </row>
    <row r="59" spans="1:67" ht="20.25">
      <c r="B59" s="23"/>
      <c r="C59" s="23"/>
      <c r="D59" s="23"/>
      <c r="E59" s="23"/>
      <c r="S59" s="23"/>
      <c r="T59" s="23"/>
      <c r="U59" s="23"/>
      <c r="Y59" s="446">
        <v>7</v>
      </c>
      <c r="Z59" s="12" t="str">
        <f>+O22</f>
        <v>A13</v>
      </c>
      <c r="AA59" s="33">
        <v>0</v>
      </c>
      <c r="AB59" s="48">
        <f>IF(AA59+AA63=0,0,IF(AA59=AA63,2,IF(AA59&gt;AA63,3,1)))</f>
        <v>0</v>
      </c>
      <c r="AC59" s="13">
        <f>AA59-AA63</f>
        <v>0</v>
      </c>
      <c r="AD59" s="24"/>
      <c r="AE59" s="12" t="str">
        <f>+R22</f>
        <v>A14</v>
      </c>
      <c r="AF59" s="126">
        <v>0</v>
      </c>
      <c r="AG59" s="48">
        <f>IF(AF59+AF63=0,0,IF(AF59=AF63,2,IF(AF59&gt;AF63,3,1)))</f>
        <v>0</v>
      </c>
      <c r="AH59" s="13">
        <f>AF59-AF63</f>
        <v>0</v>
      </c>
      <c r="AI59" s="24"/>
      <c r="AJ59" s="12" t="str">
        <f>+U22</f>
        <v>A15</v>
      </c>
      <c r="AK59" s="36">
        <v>0</v>
      </c>
      <c r="AL59" s="48">
        <f>IF(AK59+AK63=0,0,IF(AK59=AK63,2,IF(AK59&gt;AK63,3,1)))</f>
        <v>0</v>
      </c>
      <c r="AM59" s="13">
        <f>AK59-AK63</f>
        <v>0</v>
      </c>
      <c r="AN59" s="23"/>
      <c r="AO59" s="54">
        <v>51</v>
      </c>
      <c r="AP59" s="323" t="str">
        <f>+Inscrits!F17</f>
        <v>C15</v>
      </c>
      <c r="AQ59" s="286" t="str">
        <f t="shared" si="3"/>
        <v>0</v>
      </c>
      <c r="AR59" s="99" t="str">
        <f t="shared" si="4"/>
        <v>0</v>
      </c>
      <c r="AS59" s="219" t="str">
        <f t="shared" si="5"/>
        <v>0</v>
      </c>
      <c r="AT59" s="289" t="str">
        <f t="shared" si="6"/>
        <v>0</v>
      </c>
      <c r="AU59" s="99" t="str">
        <f t="shared" si="7"/>
        <v>0</v>
      </c>
      <c r="AV59" s="291" t="str">
        <f t="shared" si="8"/>
        <v>0</v>
      </c>
      <c r="AW59" s="286" t="str">
        <f t="shared" si="9"/>
        <v>0</v>
      </c>
      <c r="AX59" s="99" t="str">
        <f t="shared" si="10"/>
        <v>0</v>
      </c>
      <c r="AY59" s="291" t="str">
        <f t="shared" si="11"/>
        <v>0</v>
      </c>
      <c r="AZ59" s="286">
        <f t="shared" si="17"/>
        <v>0</v>
      </c>
      <c r="BA59" s="99">
        <f t="shared" si="12"/>
        <v>0</v>
      </c>
      <c r="BB59" s="291">
        <f t="shared" si="13"/>
        <v>0</v>
      </c>
      <c r="BC59" s="294">
        <f t="shared" si="14"/>
        <v>0</v>
      </c>
      <c r="BD59" s="7">
        <f t="shared" si="15"/>
        <v>0</v>
      </c>
      <c r="BE59" s="218">
        <f t="shared" si="16"/>
        <v>25.000000589999999</v>
      </c>
      <c r="BF59" s="99">
        <f>IF(AP59="","",SMALL(BE$9:BE$62,ROWS(AZ$9:AZ59)))</f>
        <v>25.000000589999999</v>
      </c>
      <c r="BG59" s="88"/>
      <c r="BH59" s="289" t="str">
        <f>IF(OR(AP59="",AZ59=""),"",INDEX($AP$9:$AP$63,MATCH(BF59,$BE$9:BE$62,0)))</f>
        <v>C15</v>
      </c>
      <c r="BI59" s="7">
        <f t="shared" si="18"/>
        <v>0</v>
      </c>
      <c r="BJ59" s="7">
        <f t="shared" si="19"/>
        <v>0</v>
      </c>
      <c r="BK59" s="7">
        <f t="shared" si="20"/>
        <v>0</v>
      </c>
      <c r="BL59" s="280">
        <f>IF(BF59="","",IF(AND(BI58=BI59,BJ58=BJ59,BK58=BK59),BL58,$BL$9+50))</f>
        <v>26</v>
      </c>
      <c r="BN59" s="262"/>
      <c r="BO59" s="405" t="str">
        <f>IF(AND($K$5=51),1,IF(AND($K$5=52),2,IF(AND($K$5=53),3,IF(AND($K$5=54),4," "))))</f>
        <v xml:space="preserve"> </v>
      </c>
    </row>
    <row r="60" spans="1:67" ht="21" thickBot="1">
      <c r="U60" s="23"/>
      <c r="Y60" s="447"/>
      <c r="Z60" s="14" t="str">
        <f>+P22</f>
        <v>B13</v>
      </c>
      <c r="AA60" s="17">
        <f>IF(ISTEXT(Z60),AA59,0)</f>
        <v>0</v>
      </c>
      <c r="AB60" s="18">
        <f>IF(ISTEXT(Z60),AB59,0)</f>
        <v>0</v>
      </c>
      <c r="AC60" s="19">
        <f>IF(ISTEXT(Z60),AC59,0)</f>
        <v>0</v>
      </c>
      <c r="AD60" s="9"/>
      <c r="AE60" s="14" t="str">
        <f>+S22</f>
        <v>B15</v>
      </c>
      <c r="AF60" s="17">
        <f>IF(ISTEXT(AE60),AF59,0)</f>
        <v>0</v>
      </c>
      <c r="AG60" s="59">
        <f>IF(ISTEXT(AE60),AG59,0)</f>
        <v>0</v>
      </c>
      <c r="AH60" s="19">
        <f>IF(ISTEXT(AE60),AH59,0)</f>
        <v>0</v>
      </c>
      <c r="AI60" s="9"/>
      <c r="AJ60" s="14" t="str">
        <f>+V22</f>
        <v>B1</v>
      </c>
      <c r="AK60" s="17">
        <f>IF(ISTEXT(AJ60),AK59,0)</f>
        <v>0</v>
      </c>
      <c r="AL60" s="59">
        <f>IF(ISTEXT(AJ60),AL59,0)</f>
        <v>0</v>
      </c>
      <c r="AM60" s="19">
        <f>IF(ISTEXT(AJ60),AM59,0)</f>
        <v>0</v>
      </c>
      <c r="AN60" s="23"/>
      <c r="AO60" s="54">
        <v>52</v>
      </c>
      <c r="AP60" s="323" t="str">
        <f>+Inscrits!F18</f>
        <v>C16</v>
      </c>
      <c r="AQ60" s="286" t="str">
        <f t="shared" si="3"/>
        <v>0</v>
      </c>
      <c r="AR60" s="99" t="str">
        <f t="shared" si="4"/>
        <v>0</v>
      </c>
      <c r="AS60" s="219" t="str">
        <f t="shared" si="5"/>
        <v>0</v>
      </c>
      <c r="AT60" s="289" t="str">
        <f t="shared" si="6"/>
        <v>0</v>
      </c>
      <c r="AU60" s="99" t="str">
        <f t="shared" si="7"/>
        <v>0</v>
      </c>
      <c r="AV60" s="291" t="str">
        <f t="shared" si="8"/>
        <v>0</v>
      </c>
      <c r="AW60" s="286" t="str">
        <f t="shared" si="9"/>
        <v>0</v>
      </c>
      <c r="AX60" s="99" t="str">
        <f t="shared" si="10"/>
        <v>0</v>
      </c>
      <c r="AY60" s="291" t="str">
        <f t="shared" si="11"/>
        <v>0</v>
      </c>
      <c r="AZ60" s="286">
        <f t="shared" si="17"/>
        <v>0</v>
      </c>
      <c r="BA60" s="99">
        <f t="shared" si="12"/>
        <v>0</v>
      </c>
      <c r="BB60" s="291">
        <f t="shared" si="13"/>
        <v>0</v>
      </c>
      <c r="BC60" s="294">
        <f t="shared" si="14"/>
        <v>0</v>
      </c>
      <c r="BD60" s="7">
        <f t="shared" si="15"/>
        <v>0</v>
      </c>
      <c r="BE60" s="218">
        <f t="shared" si="16"/>
        <v>25.0000006</v>
      </c>
      <c r="BF60" s="99">
        <f>IF(AP60="","",SMALL(BE$9:BE$62,ROWS(AZ$9:AZ60)))</f>
        <v>25.0000006</v>
      </c>
      <c r="BG60" s="88"/>
      <c r="BH60" s="289" t="str">
        <f>IF(OR(AP60="",AZ60=""),"",INDEX($AP$9:$AP$63,MATCH(BF60,$BE$9:BE$62,0)))</f>
        <v>C16</v>
      </c>
      <c r="BI60" s="7">
        <f t="shared" si="18"/>
        <v>0</v>
      </c>
      <c r="BJ60" s="7">
        <f t="shared" si="19"/>
        <v>0</v>
      </c>
      <c r="BK60" s="7">
        <f t="shared" si="20"/>
        <v>0</v>
      </c>
      <c r="BL60" s="280">
        <f>IF(BF60="","",IF(AND(BI59=BI60,BJ59=BJ60,BK59=BK60),BL59,$BL$9+51))</f>
        <v>26</v>
      </c>
      <c r="BN60" s="262"/>
      <c r="BO60" s="405" t="str">
        <f>IF(AND($K$5=52),1,IF(AND($K$5=53),2,IF(AND($K$5=54),3," ")))</f>
        <v xml:space="preserve"> </v>
      </c>
    </row>
    <row r="61" spans="1:67" ht="20.25">
      <c r="Y61" s="447"/>
      <c r="Z61" s="14" t="str">
        <f>+Q22</f>
        <v>C13</v>
      </c>
      <c r="AA61" s="71">
        <f>IF(ISTEXT(Z61),AA59,0)</f>
        <v>0</v>
      </c>
      <c r="AB61" s="67">
        <f>IF(ISTEXT(Z61),AB59,0)</f>
        <v>0</v>
      </c>
      <c r="AC61" s="72">
        <f>IF(ISTEXT(Z61),AC59,0)</f>
        <v>0</v>
      </c>
      <c r="AD61" s="9"/>
      <c r="AE61" s="14" t="str">
        <f>+T22</f>
        <v>C16</v>
      </c>
      <c r="AF61" s="71">
        <f>IF(ISTEXT(AE61),AF59,0)</f>
        <v>0</v>
      </c>
      <c r="AG61" s="64">
        <f>IF(ISTEXT(AE61),AG59,0)</f>
        <v>0</v>
      </c>
      <c r="AH61" s="72">
        <f>IF(ISTEXT(AE61),AH59,0)</f>
        <v>0</v>
      </c>
      <c r="AI61" s="9"/>
      <c r="AJ61" s="14" t="str">
        <f>+W22</f>
        <v>C3</v>
      </c>
      <c r="AK61" s="71">
        <f>IF(ISTEXT(AJ61),AK59,0)</f>
        <v>0</v>
      </c>
      <c r="AL61" s="64">
        <f>IF(ISTEXT(AJ61),AL59,0)</f>
        <v>0</v>
      </c>
      <c r="AM61" s="72">
        <f>IF(ISTEXT(AJ61),AM59,0)</f>
        <v>0</v>
      </c>
      <c r="AN61" s="23"/>
      <c r="AO61" s="54">
        <v>53</v>
      </c>
      <c r="AP61" s="323" t="str">
        <f>+Inscrits!F19</f>
        <v>C17</v>
      </c>
      <c r="AQ61" s="286" t="str">
        <f t="shared" si="3"/>
        <v xml:space="preserve"> </v>
      </c>
      <c r="AR61" s="99" t="str">
        <f t="shared" si="4"/>
        <v xml:space="preserve"> </v>
      </c>
      <c r="AS61" s="219" t="str">
        <f t="shared" si="5"/>
        <v xml:space="preserve"> </v>
      </c>
      <c r="AT61" s="289" t="str">
        <f t="shared" si="6"/>
        <v xml:space="preserve"> </v>
      </c>
      <c r="AU61" s="99" t="str">
        <f t="shared" si="7"/>
        <v xml:space="preserve"> </v>
      </c>
      <c r="AV61" s="291" t="str">
        <f t="shared" si="8"/>
        <v xml:space="preserve"> </v>
      </c>
      <c r="AW61" s="286" t="str">
        <f t="shared" si="9"/>
        <v xml:space="preserve"> </v>
      </c>
      <c r="AX61" s="99" t="str">
        <f t="shared" si="10"/>
        <v xml:space="preserve"> </v>
      </c>
      <c r="AY61" s="291" t="str">
        <f t="shared" si="11"/>
        <v xml:space="preserve"> </v>
      </c>
      <c r="AZ61" s="286">
        <f t="shared" si="17"/>
        <v>0</v>
      </c>
      <c r="BA61" s="99">
        <f t="shared" si="12"/>
        <v>0</v>
      </c>
      <c r="BB61" s="291">
        <f t="shared" si="13"/>
        <v>0</v>
      </c>
      <c r="BC61" s="294">
        <f t="shared" si="14"/>
        <v>0</v>
      </c>
      <c r="BD61" s="7">
        <f t="shared" si="15"/>
        <v>0</v>
      </c>
      <c r="BE61" s="218">
        <f t="shared" si="16"/>
        <v>25.000000610000001</v>
      </c>
      <c r="BF61" s="99">
        <f>IF(AP61="","",SMALL(BE$9:BE$62,ROWS(AZ$9:AZ61)))</f>
        <v>25.000000610000001</v>
      </c>
      <c r="BG61" s="88"/>
      <c r="BH61" s="289" t="str">
        <f>IF(OR(AP61="",AZ61=""),"",INDEX($AP$9:$AP$63,MATCH(BF61,$BE$9:BE$62,0)))</f>
        <v>C17</v>
      </c>
      <c r="BI61" s="7">
        <f t="shared" si="18"/>
        <v>0</v>
      </c>
      <c r="BJ61" s="7">
        <f t="shared" si="19"/>
        <v>0</v>
      </c>
      <c r="BK61" s="7">
        <f t="shared" si="20"/>
        <v>0</v>
      </c>
      <c r="BL61" s="280">
        <f>IF(BF61="","",IF(AND(BI60=BI61,BJ60=BJ61,BK60=BK61),BL60,$BL$9+52))</f>
        <v>26</v>
      </c>
      <c r="BN61" s="262"/>
      <c r="BO61" s="405" t="str">
        <f>IF(AND($K$5=53),1,IF(AND($K$5=54),2," "))</f>
        <v xml:space="preserve"> </v>
      </c>
    </row>
    <row r="62" spans="1:67" ht="21" thickBot="1">
      <c r="Y62" s="447"/>
      <c r="Z62" s="32"/>
      <c r="AA62" s="230" t="s">
        <v>5</v>
      </c>
      <c r="AB62" s="21"/>
      <c r="AC62" s="22"/>
      <c r="AD62" s="25"/>
      <c r="AE62" s="32"/>
      <c r="AF62" s="230" t="s">
        <v>5</v>
      </c>
      <c r="AG62" s="21"/>
      <c r="AH62" s="22"/>
      <c r="AI62" s="25"/>
      <c r="AJ62" s="32"/>
      <c r="AK62" s="230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 t="str">
        <f t="shared" si="3"/>
        <v xml:space="preserve"> </v>
      </c>
      <c r="AR62" s="224" t="str">
        <f t="shared" si="4"/>
        <v xml:space="preserve"> </v>
      </c>
      <c r="AS62" s="225" t="str">
        <f t="shared" si="5"/>
        <v xml:space="preserve"> </v>
      </c>
      <c r="AT62" s="290" t="str">
        <f t="shared" si="6"/>
        <v xml:space="preserve"> </v>
      </c>
      <c r="AU62" s="224" t="str">
        <f t="shared" si="7"/>
        <v xml:space="preserve"> </v>
      </c>
      <c r="AV62" s="292" t="str">
        <f t="shared" si="8"/>
        <v xml:space="preserve"> </v>
      </c>
      <c r="AW62" s="287" t="str">
        <f t="shared" si="9"/>
        <v xml:space="preserve"> </v>
      </c>
      <c r="AX62" s="224" t="str">
        <f t="shared" si="10"/>
        <v xml:space="preserve"> </v>
      </c>
      <c r="AY62" s="292" t="str">
        <f t="shared" si="11"/>
        <v xml:space="preserve"> </v>
      </c>
      <c r="AZ62" s="287">
        <f t="shared" si="17"/>
        <v>0</v>
      </c>
      <c r="BA62" s="224">
        <f t="shared" si="12"/>
        <v>0</v>
      </c>
      <c r="BB62" s="292">
        <f t="shared" si="13"/>
        <v>0</v>
      </c>
      <c r="BC62" s="295">
        <f t="shared" si="14"/>
        <v>0</v>
      </c>
      <c r="BD62" s="282">
        <f t="shared" si="15"/>
        <v>0</v>
      </c>
      <c r="BE62" s="218">
        <f t="shared" si="16"/>
        <v>25.000000620000002</v>
      </c>
      <c r="BF62" s="99">
        <f>IF(AP62="","",SMALL(BE$9:BE$62,ROWS(AZ$9:AZ62)))</f>
        <v>25.000000620000002</v>
      </c>
      <c r="BG62" s="88"/>
      <c r="BH62" s="290" t="str">
        <f>IF(OR(AP62="",AZ62=""),"",INDEX($AP$9:$AP$63,MATCH(BF62,$BE$9:BE$62,0)))</f>
        <v>C18</v>
      </c>
      <c r="BI62" s="282">
        <f t="shared" si="18"/>
        <v>0</v>
      </c>
      <c r="BJ62" s="282">
        <f t="shared" si="19"/>
        <v>0</v>
      </c>
      <c r="BK62" s="282">
        <f t="shared" si="20"/>
        <v>0</v>
      </c>
      <c r="BL62" s="280">
        <f>IF(BF62="","",IF(AND(BI61=BI62,BJ61=BJ62,BK61=BK62),BL61,$BL$9+53))</f>
        <v>26</v>
      </c>
      <c r="BN62" s="262"/>
      <c r="BO62" s="405" t="str">
        <f>IF(AND($K$5=54),1," ")</f>
        <v xml:space="preserve"> </v>
      </c>
    </row>
    <row r="63" spans="1:67">
      <c r="Y63" s="447"/>
      <c r="Z63" s="14" t="str">
        <f>+O23</f>
        <v>A14</v>
      </c>
      <c r="AA63" s="35">
        <v>0</v>
      </c>
      <c r="AB63" s="30">
        <f>IF(AA59+AA63=0,0,IF(AA59=AA63,2,IF(AA59&lt;AA63,3,1)))</f>
        <v>0</v>
      </c>
      <c r="AC63" s="15">
        <f>AA63-AA59</f>
        <v>0</v>
      </c>
      <c r="AD63" s="24"/>
      <c r="AE63" s="14" t="str">
        <f>+R23</f>
        <v>A15</v>
      </c>
      <c r="AF63" s="127">
        <v>0</v>
      </c>
      <c r="AG63" s="30">
        <f>IF(AF59+AF63=0,0,IF(AF59=AF63,2,IF(AF59&lt;AF63,3,1)))</f>
        <v>0</v>
      </c>
      <c r="AH63" s="15">
        <f>AF63-AF59</f>
        <v>0</v>
      </c>
      <c r="AI63" s="24"/>
      <c r="AJ63" s="14" t="str">
        <f>+U23</f>
        <v>A16</v>
      </c>
      <c r="AK63" s="37">
        <v>0</v>
      </c>
      <c r="AL63" s="30">
        <f>IF(AK59+AK63=0,0,IF(AK59=AK63,2,IF(AK59&lt;AK63,3,1)))</f>
        <v>0</v>
      </c>
      <c r="AM63" s="15">
        <f>AK63-AK59</f>
        <v>0</v>
      </c>
      <c r="AN63" s="23"/>
      <c r="AO63"/>
      <c r="AP63" s="8"/>
      <c r="AQ63" s="89">
        <f>SUM(IF(ISNA(AQ9:AQ62),0,AQ9:AQ62))</f>
        <v>24</v>
      </c>
      <c r="AR63" s="89">
        <f t="array" ref="AR63">SUM(IF(ISNA(AR9:AR62),0,AR9:AR62))</f>
        <v>0</v>
      </c>
      <c r="AS63" s="89"/>
      <c r="AT63" s="89">
        <f>SUM(IF(ISNA(AT9:AT62),0,AT9:AT62))</f>
        <v>24</v>
      </c>
      <c r="AU63" s="89">
        <f t="array" ref="AU63">SUM(IF(ISNA(AU9:AU62),0,AU9:AU62))</f>
        <v>0</v>
      </c>
      <c r="AV63" s="89"/>
      <c r="AW63" s="89">
        <f t="array" ref="AW63">SUM(IF(ISNA(AW9:AW62),0,AW9:AW62))</f>
        <v>24</v>
      </c>
      <c r="AX63" s="89">
        <f t="array" ref="AX63">SUM(IF(ISNA(AX9:AX62),0,AX9:AX62))</f>
        <v>0</v>
      </c>
      <c r="AY63" s="89"/>
      <c r="AZ63" s="39">
        <f t="array" ref="AZ63">SUM(AZ9:AZ62)</f>
        <v>72</v>
      </c>
      <c r="BA63" s="39">
        <f t="array" ref="BA63">SUM(BA9:BA62)</f>
        <v>0</v>
      </c>
      <c r="BB63" s="39"/>
      <c r="BC63" s="39"/>
      <c r="BD63" s="39"/>
      <c r="BE63" s="39"/>
      <c r="BF63" s="39"/>
      <c r="BG63" s="84"/>
      <c r="BH63" s="39"/>
      <c r="BI63" s="79"/>
      <c r="BJ63" s="39">
        <f t="array" ref="BJ63">SUM(BJ9:BJ62)</f>
        <v>0</v>
      </c>
      <c r="BK63" s="39"/>
      <c r="BL63" s="8"/>
    </row>
    <row r="64" spans="1:67" ht="16.5" thickBot="1">
      <c r="Y64" s="447"/>
      <c r="Z64" s="14" t="str">
        <f>+P23</f>
        <v>B14</v>
      </c>
      <c r="AA64" s="17">
        <f>IF(ISTEXT(Z64),AA63,0)</f>
        <v>0</v>
      </c>
      <c r="AB64" s="18">
        <f>IF(ISTEXT(Z64),AB63,0)</f>
        <v>0</v>
      </c>
      <c r="AC64" s="19">
        <f>IF(ISTEXT(Z64),AC63,0)</f>
        <v>0</v>
      </c>
      <c r="AD64" s="9"/>
      <c r="AE64" s="14" t="str">
        <f>+S23</f>
        <v>B16</v>
      </c>
      <c r="AF64" s="17">
        <f>IF(ISTEXT(AE64),AF63,0)</f>
        <v>0</v>
      </c>
      <c r="AG64" s="18">
        <f>IF(ISTEXT(AE64),AG63,0)</f>
        <v>0</v>
      </c>
      <c r="AH64" s="19">
        <f>IF(ISTEXT(AE64),AH63,0)</f>
        <v>0</v>
      </c>
      <c r="AI64" s="9"/>
      <c r="AJ64" s="14" t="str">
        <f>+V23</f>
        <v>B2</v>
      </c>
      <c r="AK64" s="17">
        <f>IF(ISTEXT(AJ64),AK63,0)</f>
        <v>0</v>
      </c>
      <c r="AL64" s="18">
        <f>IF(ISTEXT(AJ64),AL63,0)</f>
        <v>0</v>
      </c>
      <c r="AM64" s="19">
        <f>IF(ISTEXT(AJ64),AM63,0)</f>
        <v>0</v>
      </c>
      <c r="AN64" s="23"/>
      <c r="AO64"/>
      <c r="AP64" s="8"/>
      <c r="AQ64" s="39"/>
      <c r="AR64" s="79" t="str">
        <f>IF(AR63=0,"OK","ERREUR")</f>
        <v>OK</v>
      </c>
      <c r="AS64" s="75"/>
      <c r="AT64" s="39"/>
      <c r="AU64" s="79" t="str">
        <f>IF(AU63=0,"OK","ERREUR")</f>
        <v>OK</v>
      </c>
      <c r="AV64" s="75"/>
      <c r="AW64" s="39"/>
      <c r="AX64" s="79" t="str">
        <f>IF(AX63=0,"OK","ERREUR")</f>
        <v>OK</v>
      </c>
      <c r="AY64" s="75"/>
      <c r="AZ64" s="8"/>
      <c r="BA64" s="79" t="str">
        <f>IF(BA63=0,"OK","ERREUR")</f>
        <v>OK</v>
      </c>
      <c r="BB64" s="75"/>
      <c r="BC64" s="9"/>
      <c r="BD64" s="9"/>
      <c r="BE64" s="9"/>
      <c r="BF64" s="39"/>
      <c r="BG64" s="84"/>
      <c r="BH64" s="39"/>
      <c r="BI64" s="79"/>
      <c r="BJ64" s="79" t="str">
        <f>IF(BJ63=0,"OK","ERREUR")</f>
        <v>OK</v>
      </c>
      <c r="BK64" s="75"/>
      <c r="BL64" s="8"/>
    </row>
    <row r="65" spans="25:64" ht="16.5" thickBot="1">
      <c r="Y65" s="448"/>
      <c r="Z65" s="16" t="str">
        <f>+Q23</f>
        <v>C14</v>
      </c>
      <c r="AA65" s="17">
        <f>IF(ISTEXT(Z65),AA63,0)</f>
        <v>0</v>
      </c>
      <c r="AB65" s="18">
        <f>IF(ISTEXT(Z65),AB63,0)</f>
        <v>0</v>
      </c>
      <c r="AC65" s="19">
        <f>IF(ISTEXT(Z65),AC63,0)</f>
        <v>0</v>
      </c>
      <c r="AD65" s="9"/>
      <c r="AE65" s="16" t="str">
        <f>+T23</f>
        <v>C1</v>
      </c>
      <c r="AF65" s="17">
        <f>IF(ISTEXT(AE65),AF63,0)</f>
        <v>0</v>
      </c>
      <c r="AG65" s="18">
        <f>IF(ISTEXT(AE65),AG63,0)</f>
        <v>0</v>
      </c>
      <c r="AH65" s="19">
        <f>IF(ISTEXT(AE65),AH63,0)</f>
        <v>0</v>
      </c>
      <c r="AI65" s="9"/>
      <c r="AJ65" s="16" t="str">
        <f>+W23</f>
        <v>C4</v>
      </c>
      <c r="AK65" s="17">
        <f>IF(ISTEXT(AJ65),AK63,0)</f>
        <v>0</v>
      </c>
      <c r="AL65" s="18">
        <f>IF(ISTEXT(AJ65),AL63,0)</f>
        <v>0</v>
      </c>
      <c r="AM65" s="19">
        <f>IF(ISTEXT(AJ65),AM63,0)</f>
        <v>0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G65" s="84"/>
      <c r="BH65" s="39"/>
      <c r="BI65" s="79"/>
      <c r="BJ65" s="75"/>
      <c r="BK65" s="75"/>
      <c r="BL65" s="8"/>
    </row>
    <row r="66" spans="25:64" ht="16.5" thickBot="1">
      <c r="Y66" s="128"/>
      <c r="Z66" s="73"/>
      <c r="AA66" s="234"/>
      <c r="AB66" s="73"/>
      <c r="AC66" s="73"/>
      <c r="AD66" s="234"/>
      <c r="AE66" s="73"/>
      <c r="AF66" s="234"/>
      <c r="AG66" s="73"/>
      <c r="AH66" s="73"/>
      <c r="AI66" s="234"/>
      <c r="AJ66" s="73"/>
      <c r="AK66" s="234"/>
      <c r="AL66" s="73"/>
      <c r="AM66" s="73"/>
      <c r="AN66" s="23"/>
      <c r="AO66" s="128"/>
      <c r="AP66" s="23"/>
      <c r="AQ66" s="84"/>
      <c r="AR66" s="119"/>
      <c r="AS66" s="119"/>
      <c r="AT66" s="84"/>
      <c r="AU66" s="84"/>
      <c r="AV66" s="84"/>
      <c r="AW66" s="84"/>
      <c r="AX66" s="119"/>
      <c r="AY66" s="119"/>
      <c r="AZ66" s="119"/>
      <c r="BA66" s="119"/>
      <c r="BB66" s="119"/>
      <c r="BC66" s="119"/>
      <c r="BD66" s="119"/>
      <c r="BE66" s="119"/>
      <c r="BF66" s="119"/>
      <c r="BG66" s="84"/>
      <c r="BH66" s="119"/>
      <c r="BI66" s="128"/>
      <c r="BJ66" s="128"/>
      <c r="BK66" s="128"/>
      <c r="BL66" s="23"/>
    </row>
    <row r="67" spans="25:64">
      <c r="Y67" s="446">
        <v>8</v>
      </c>
      <c r="Z67" s="12" t="str">
        <f>+O24</f>
        <v>A15</v>
      </c>
      <c r="AA67" s="33">
        <v>0</v>
      </c>
      <c r="AB67" s="48">
        <f>IF(AA67+AA71=0,0,IF(AA67=AA71,2,IF(AA67&gt;AA71,3,1)))</f>
        <v>0</v>
      </c>
      <c r="AC67" s="13">
        <f>AA67-AA71</f>
        <v>0</v>
      </c>
      <c r="AD67" s="24"/>
      <c r="AE67" s="12" t="str">
        <f>+R24</f>
        <v>A16</v>
      </c>
      <c r="AF67" s="126">
        <v>0</v>
      </c>
      <c r="AG67" s="48">
        <f>IF(AF67+AF71=0,0,IF(AF67=AF71,2,IF(AF67&gt;AF71,3,1)))</f>
        <v>0</v>
      </c>
      <c r="AH67" s="13">
        <f>AF67-AF71</f>
        <v>0</v>
      </c>
      <c r="AI67" s="24"/>
      <c r="AJ67" s="12" t="str">
        <f>+U24</f>
        <v>A1</v>
      </c>
      <c r="AK67" s="36">
        <v>0</v>
      </c>
      <c r="AL67" s="48">
        <f>IF(AK67+AK71=0,0,IF(AK67=AK71,2,IF(AK67&gt;AK71,3,1)))</f>
        <v>0</v>
      </c>
      <c r="AM67" s="13">
        <f>AK67-AK71</f>
        <v>0</v>
      </c>
      <c r="AN67" s="23"/>
      <c r="AO67" s="128"/>
      <c r="AP67" s="380" t="s">
        <v>28</v>
      </c>
      <c r="AQ67" s="383">
        <f>COUNTIF(AQ9:AQ56,1)</f>
        <v>6</v>
      </c>
      <c r="AR67" s="384"/>
      <c r="AS67" s="384"/>
      <c r="AT67" s="383">
        <f>COUNTIF(AT9:AT56,1)</f>
        <v>6</v>
      </c>
      <c r="AU67" s="383"/>
      <c r="AV67" s="383"/>
      <c r="AW67" s="383">
        <f>COUNTIF(AW9:AW56,1)</f>
        <v>6</v>
      </c>
      <c r="AX67" s="384"/>
      <c r="AY67" s="384"/>
      <c r="AZ67" s="383">
        <f>COUNTIF(AZ9:AZ62,3)</f>
        <v>7</v>
      </c>
      <c r="BA67" s="385"/>
      <c r="BB67" s="385"/>
      <c r="BC67" s="383">
        <f>COUNTIF(BC9:BC56,1)</f>
        <v>0</v>
      </c>
      <c r="BD67" s="381"/>
      <c r="BE67" s="378"/>
      <c r="BF67" s="26">
        <f>COUNTIF(BF9:BF56,1)</f>
        <v>0</v>
      </c>
      <c r="BG67" s="84"/>
      <c r="BH67" s="23"/>
      <c r="BI67" s="23"/>
      <c r="BJ67" s="23"/>
      <c r="BK67" s="23"/>
      <c r="BL67" s="23"/>
    </row>
    <row r="68" spans="25:64" ht="16.5" thickBot="1">
      <c r="Y68" s="447"/>
      <c r="Z68" s="14" t="str">
        <f>+P24</f>
        <v>B15</v>
      </c>
      <c r="AA68" s="17">
        <f>IF(ISTEXT(Z68),AA67,0)</f>
        <v>0</v>
      </c>
      <c r="AB68" s="18">
        <f>IF(ISTEXT(Z68),AB67,0)</f>
        <v>0</v>
      </c>
      <c r="AC68" s="19">
        <f>IF(ISTEXT(Z68),AC67,0)</f>
        <v>0</v>
      </c>
      <c r="AD68" s="9"/>
      <c r="AE68" s="14" t="str">
        <f>+S24</f>
        <v>B1</v>
      </c>
      <c r="AF68" s="17">
        <f>IF(ISTEXT(AE68),AF67,0)</f>
        <v>0</v>
      </c>
      <c r="AG68" s="59">
        <f>IF(ISTEXT(AE68),AG67,0)</f>
        <v>0</v>
      </c>
      <c r="AH68" s="19">
        <f>IF(ISTEXT(AE68),AH67,0)</f>
        <v>0</v>
      </c>
      <c r="AI68" s="9"/>
      <c r="AJ68" s="14" t="str">
        <f>+V24</f>
        <v>B3</v>
      </c>
      <c r="AK68" s="17">
        <f>IF(ISTEXT(AJ68),AK67,0)</f>
        <v>0</v>
      </c>
      <c r="AL68" s="59">
        <f>IF(ISTEXT(AJ68),AL67,0)</f>
        <v>0</v>
      </c>
      <c r="AM68" s="19">
        <f>IF(ISTEXT(AJ68),AM67,0)</f>
        <v>0</v>
      </c>
      <c r="AN68" s="23"/>
      <c r="AO68" s="128"/>
      <c r="AP68" s="380" t="s">
        <v>44</v>
      </c>
      <c r="AQ68" s="383">
        <f>COUNTIF(AQ9:AQ56,2)</f>
        <v>0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1</v>
      </c>
      <c r="BA68" s="385"/>
      <c r="BB68" s="385"/>
      <c r="BC68" s="383">
        <f>COUNTIF(BC9:BC56,2)</f>
        <v>0</v>
      </c>
      <c r="BD68" s="382"/>
      <c r="BE68" s="379"/>
      <c r="BF68" s="26">
        <f>COUNTIF(BF9:BF56,2)</f>
        <v>0</v>
      </c>
      <c r="BG68" s="84"/>
      <c r="BH68" s="374" t="s">
        <v>31</v>
      </c>
      <c r="BI68" s="23"/>
      <c r="BJ68" s="23"/>
      <c r="BK68" s="23"/>
      <c r="BL68" s="23"/>
    </row>
    <row r="69" spans="25:64">
      <c r="Y69" s="447"/>
      <c r="Z69" s="14" t="str">
        <f>+Q24</f>
        <v>C15</v>
      </c>
      <c r="AA69" s="71">
        <f>IF(ISTEXT(Z69),AA67,0)</f>
        <v>0</v>
      </c>
      <c r="AB69" s="67">
        <f>IF(ISTEXT(Z69),AB67,0)</f>
        <v>0</v>
      </c>
      <c r="AC69" s="72">
        <f>IF(ISTEXT(Z69),AC67,0)</f>
        <v>0</v>
      </c>
      <c r="AD69" s="9"/>
      <c r="AE69" s="14" t="str">
        <f>+T24</f>
        <v>C2</v>
      </c>
      <c r="AF69" s="71">
        <f>IF(ISTEXT(AE69),AF67,0)</f>
        <v>0</v>
      </c>
      <c r="AG69" s="64">
        <f>IF(ISTEXT(AE69),AG67,0)</f>
        <v>0</v>
      </c>
      <c r="AH69" s="72">
        <f>IF(ISTEXT(AE69),AH67,0)</f>
        <v>0</v>
      </c>
      <c r="AI69" s="9"/>
      <c r="AJ69" s="14" t="str">
        <f>+W24</f>
        <v>C5</v>
      </c>
      <c r="AK69" s="71">
        <f>IF(ISTEXT(AJ69),AK67,0)</f>
        <v>0</v>
      </c>
      <c r="AL69" s="64">
        <f>IF(ISTEXT(AJ69),AL67,0)</f>
        <v>0</v>
      </c>
      <c r="AM69" s="72">
        <f>IF(ISTEXT(AJ69),AM67,0)</f>
        <v>0</v>
      </c>
      <c r="AN69" s="23"/>
      <c r="AO69" s="23"/>
      <c r="AP69" s="380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2</v>
      </c>
      <c r="BA69" s="385"/>
      <c r="BB69" s="385"/>
      <c r="BC69" s="383">
        <f>COUNTIF(BC9:BC56,3)</f>
        <v>0</v>
      </c>
      <c r="BD69" s="382"/>
      <c r="BE69" s="379"/>
      <c r="BF69" s="26">
        <f>COUNTIF(BF9:BF56,3)</f>
        <v>0</v>
      </c>
      <c r="BG69" s="84"/>
      <c r="BH69" s="23"/>
      <c r="BI69" s="23"/>
      <c r="BJ69" s="23"/>
      <c r="BK69" s="23"/>
      <c r="BL69" s="23"/>
    </row>
    <row r="70" spans="25:64">
      <c r="Y70" s="447"/>
      <c r="Z70" s="32"/>
      <c r="AA70" s="230" t="s">
        <v>5</v>
      </c>
      <c r="AB70" s="21"/>
      <c r="AC70" s="22"/>
      <c r="AD70" s="25"/>
      <c r="AE70" s="32"/>
      <c r="AF70" s="230" t="s">
        <v>5</v>
      </c>
      <c r="AG70" s="21"/>
      <c r="AH70" s="22"/>
      <c r="AI70" s="25"/>
      <c r="AJ70" s="32"/>
      <c r="AK70" s="230" t="s">
        <v>5</v>
      </c>
      <c r="AL70" s="21"/>
      <c r="AM70" s="22"/>
      <c r="AN70" s="23"/>
      <c r="AO70" s="23"/>
      <c r="AP70" s="380" t="s">
        <v>45</v>
      </c>
      <c r="AQ70" s="383">
        <f>COUNTIF(AQ9:AQ56,3)</f>
        <v>6</v>
      </c>
      <c r="AR70" s="384"/>
      <c r="AS70" s="384"/>
      <c r="AT70" s="383">
        <f>COUNTIF(AT9:AT56,3)</f>
        <v>6</v>
      </c>
      <c r="AU70" s="384"/>
      <c r="AV70" s="384"/>
      <c r="AW70" s="383">
        <f>COUNTIF(AW9:AW56,3)</f>
        <v>6</v>
      </c>
      <c r="AX70" s="384"/>
      <c r="AY70" s="384"/>
      <c r="AZ70" s="383">
        <f>COUNTIF(AZ9:AZ62,7)</f>
        <v>1</v>
      </c>
      <c r="BA70" s="385"/>
      <c r="BB70" s="385"/>
      <c r="BC70" s="383">
        <f>COUNTIF(BC9:BC56,0)</f>
        <v>36</v>
      </c>
      <c r="BD70" s="382"/>
      <c r="BE70" s="379"/>
      <c r="BF70" s="26">
        <f>COUNTIF(BF9:BF56,0)</f>
        <v>0</v>
      </c>
      <c r="BG70" s="23"/>
      <c r="BH70" s="23"/>
      <c r="BI70" s="23"/>
      <c r="BJ70" s="23"/>
      <c r="BK70" s="23"/>
      <c r="BL70" s="23"/>
    </row>
    <row r="71" spans="25:64">
      <c r="Y71" s="447"/>
      <c r="Z71" s="14" t="str">
        <f>+O25</f>
        <v>A16</v>
      </c>
      <c r="AA71" s="35">
        <v>0</v>
      </c>
      <c r="AB71" s="30">
        <f>IF(AA67+AA71=0,0,IF(AA67=AA71,2,IF(AA67&lt;AA71,3,1)))</f>
        <v>0</v>
      </c>
      <c r="AC71" s="15">
        <f>AA71-AA67</f>
        <v>0</v>
      </c>
      <c r="AD71" s="24"/>
      <c r="AE71" s="14" t="str">
        <f>+R25</f>
        <v>A1</v>
      </c>
      <c r="AF71" s="127">
        <v>0</v>
      </c>
      <c r="AG71" s="30">
        <f>IF(AF67+AF71=0,0,IF(AF67=AF71,2,IF(AF67&lt;AF71,3,1)))</f>
        <v>0</v>
      </c>
      <c r="AH71" s="15">
        <f>AF71-AF67</f>
        <v>0</v>
      </c>
      <c r="AI71" s="24"/>
      <c r="AJ71" s="14" t="str">
        <f>+U25</f>
        <v>A2</v>
      </c>
      <c r="AK71" s="37">
        <v>0</v>
      </c>
      <c r="AL71" s="30">
        <f>IF(AK67+AK71=0,0,IF(AK67=AK71,2,IF(AK67&lt;AK71,3,1)))</f>
        <v>0</v>
      </c>
      <c r="AM71" s="15">
        <f>AK71-AK67</f>
        <v>0</v>
      </c>
      <c r="AN71" s="23"/>
      <c r="AO71" s="23"/>
      <c r="AP71" s="380" t="s">
        <v>46</v>
      </c>
      <c r="AQ71" s="383">
        <f>COUNTIF(AQ9:AQ56,0)</f>
        <v>32</v>
      </c>
      <c r="AR71" s="384"/>
      <c r="AS71" s="384"/>
      <c r="AT71" s="383">
        <f>COUNTIF(AT9:AT56,0)</f>
        <v>32</v>
      </c>
      <c r="AU71" s="384"/>
      <c r="AV71" s="384"/>
      <c r="AW71" s="383">
        <f>COUNTIF(AW9:AW56,0)</f>
        <v>32</v>
      </c>
      <c r="AX71" s="384"/>
      <c r="AY71" s="384"/>
      <c r="AZ71" s="383">
        <f>COUNTIF(AZ10:AZ63,9)</f>
        <v>0</v>
      </c>
      <c r="BA71" s="385"/>
      <c r="BB71" s="385"/>
      <c r="BC71" s="383">
        <f>COUNTIF(BC9:BC63,#N/A)</f>
        <v>0</v>
      </c>
      <c r="BD71" s="382"/>
      <c r="BE71" s="379"/>
      <c r="BF71" s="26">
        <f>COUNTIF(BF9:BF63,#N/A)</f>
        <v>0</v>
      </c>
      <c r="BG71" s="23"/>
      <c r="BH71" s="23"/>
      <c r="BI71" s="23"/>
      <c r="BJ71" s="23"/>
      <c r="BK71" s="23"/>
      <c r="BL71" s="23"/>
    </row>
    <row r="72" spans="25:64" ht="16.5" thickBot="1">
      <c r="Y72" s="447"/>
      <c r="Z72" s="14" t="str">
        <f>+P25</f>
        <v>B16</v>
      </c>
      <c r="AA72" s="17">
        <f>IF(ISTEXT(Z72),AA71,0)</f>
        <v>0</v>
      </c>
      <c r="AB72" s="18">
        <f>IF(ISTEXT(Z72),AB71,0)</f>
        <v>0</v>
      </c>
      <c r="AC72" s="19">
        <f>IF(ISTEXT(Z72),AC71,0)</f>
        <v>0</v>
      </c>
      <c r="AD72" s="9"/>
      <c r="AE72" s="14" t="str">
        <f>+S25</f>
        <v>B2</v>
      </c>
      <c r="AF72" s="17">
        <f>IF(ISTEXT(AE72),AF71,0)</f>
        <v>0</v>
      </c>
      <c r="AG72" s="18">
        <f>IF(ISTEXT(AE72),AG71,0)</f>
        <v>0</v>
      </c>
      <c r="AH72" s="19">
        <f>IF(ISTEXT(AE72),AH71,0)</f>
        <v>0</v>
      </c>
      <c r="AI72" s="9"/>
      <c r="AJ72" s="14" t="str">
        <f>+V25</f>
        <v>B4</v>
      </c>
      <c r="AK72" s="17">
        <f>IF(ISTEXT(AJ72),AK71,0)</f>
        <v>0</v>
      </c>
      <c r="AL72" s="18">
        <f>IF(ISTEXT(AJ72),AL71,0)</f>
        <v>0</v>
      </c>
      <c r="AM72" s="19">
        <f>IF(ISTEXT(AJ72),AM71,0)</f>
        <v>0</v>
      </c>
      <c r="AN72" s="23"/>
      <c r="AO72" s="23"/>
      <c r="AP72" s="380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A72" s="385"/>
      <c r="BB72" s="385"/>
      <c r="BC72" s="383">
        <f>SUM(BC67:BC71)</f>
        <v>36</v>
      </c>
      <c r="BD72" s="381"/>
      <c r="BE72" s="378"/>
      <c r="BF72" s="26">
        <f>SUM(BF67:BF71)</f>
        <v>0</v>
      </c>
      <c r="BG72" s="23"/>
      <c r="BH72" s="23"/>
      <c r="BI72" s="23"/>
      <c r="BJ72" s="23"/>
      <c r="BK72" s="23"/>
      <c r="BL72" s="23"/>
    </row>
    <row r="73" spans="25:64" ht="16.5" thickBot="1">
      <c r="Y73" s="448"/>
      <c r="Z73" s="16" t="str">
        <f>+Q25</f>
        <v>C16</v>
      </c>
      <c r="AA73" s="17">
        <f>IF(ISTEXT(Z73),AA71,0)</f>
        <v>0</v>
      </c>
      <c r="AB73" s="18">
        <f>IF(ISTEXT(Z73),AB71,0)</f>
        <v>0</v>
      </c>
      <c r="AC73" s="19">
        <f>IF(ISTEXT(Z73),AC71,0)</f>
        <v>0</v>
      </c>
      <c r="AD73" s="9"/>
      <c r="AE73" s="16" t="str">
        <f>+T25</f>
        <v>C3</v>
      </c>
      <c r="AF73" s="17">
        <f>IF(ISTEXT(AE73),AF71,0)</f>
        <v>0</v>
      </c>
      <c r="AG73" s="18">
        <f>IF(ISTEXT(AE73),AG71,0)</f>
        <v>0</v>
      </c>
      <c r="AH73" s="19">
        <f>IF(ISTEXT(AE73),AH71,0)</f>
        <v>0</v>
      </c>
      <c r="AI73" s="9"/>
      <c r="AJ73" s="16" t="str">
        <f>+W25</f>
        <v>C6</v>
      </c>
      <c r="AK73" s="17">
        <f>IF(ISTEXT(AJ73),AK71,0)</f>
        <v>0</v>
      </c>
      <c r="AL73" s="18">
        <f>IF(ISTEXT(AJ73),AL71,0)</f>
        <v>0</v>
      </c>
      <c r="AM73" s="19">
        <f>IF(ISTEXT(AJ73),AM71,0)</f>
        <v>0</v>
      </c>
      <c r="AN73" s="23"/>
      <c r="AO73" s="23"/>
      <c r="AP73" s="380"/>
      <c r="AQ73" s="383">
        <f>SUM(AQ67:AQ72)</f>
        <v>44</v>
      </c>
      <c r="AR73" s="383"/>
      <c r="AS73" s="383"/>
      <c r="AT73" s="383">
        <f>SUM(AT67:AT72)</f>
        <v>44</v>
      </c>
      <c r="AU73" s="383"/>
      <c r="AV73" s="383"/>
      <c r="AW73" s="383">
        <f>SUM(AW67:AW72)</f>
        <v>44</v>
      </c>
      <c r="AX73" s="384"/>
      <c r="AY73" s="384"/>
      <c r="AZ73" s="383">
        <f>SUM(AZ67:AZ72)</f>
        <v>11</v>
      </c>
      <c r="BA73" s="384"/>
      <c r="BB73" s="384"/>
      <c r="BC73" s="384"/>
      <c r="BD73" s="382"/>
      <c r="BE73" s="23"/>
      <c r="BF73" s="23"/>
      <c r="BG73" s="23"/>
      <c r="BH73" s="23"/>
      <c r="BI73" s="23"/>
    </row>
    <row r="74" spans="25:64" ht="16.5" thickBot="1">
      <c r="Y74" s="128"/>
      <c r="Z74" s="70"/>
      <c r="AA74" s="231"/>
      <c r="AB74" s="70"/>
      <c r="AC74" s="70"/>
      <c r="AD74" s="231"/>
      <c r="AE74" s="70"/>
      <c r="AF74" s="231"/>
      <c r="AG74" s="70"/>
      <c r="AH74" s="70"/>
      <c r="AI74" s="231"/>
      <c r="AJ74" s="70"/>
      <c r="AK74" s="231"/>
      <c r="AL74" s="70"/>
      <c r="AM74" s="70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</row>
    <row r="75" spans="25:64">
      <c r="Y75" s="446">
        <v>9</v>
      </c>
      <c r="Z75" s="12">
        <f>+O26</f>
        <v>0</v>
      </c>
      <c r="AA75" s="33">
        <v>0</v>
      </c>
      <c r="AB75" s="48">
        <f>IF(AA75+AA79=0,0,IF(AA75=AA79,2,IF(AA75&gt;AA79,3,1)))</f>
        <v>0</v>
      </c>
      <c r="AC75" s="13">
        <f>AA75-AA79</f>
        <v>0</v>
      </c>
      <c r="AD75" s="24"/>
      <c r="AE75" s="12">
        <f>+R26</f>
        <v>0</v>
      </c>
      <c r="AF75" s="126">
        <v>0</v>
      </c>
      <c r="AG75" s="48">
        <f>IF(AF75+AF79=0,0,IF(AF75=AF79,2,IF(AF75&gt;AF79,3,1)))</f>
        <v>0</v>
      </c>
      <c r="AH75" s="13">
        <f>AF75-AF79</f>
        <v>0</v>
      </c>
      <c r="AI75" s="24"/>
      <c r="AJ75" s="12">
        <f>+U26</f>
        <v>0</v>
      </c>
      <c r="AK75" s="36">
        <v>0</v>
      </c>
      <c r="AL75" s="48">
        <f>IF(AK75+AK79=0,0,IF(AK75=AK79,2,IF(AK75&gt;AK79,3,1)))</f>
        <v>0</v>
      </c>
      <c r="AM75" s="13">
        <f>AK75-AK79</f>
        <v>0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</row>
    <row r="76" spans="25:64" ht="16.5" thickBot="1">
      <c r="Y76" s="447"/>
      <c r="Z76" s="14">
        <f>+P26</f>
        <v>0</v>
      </c>
      <c r="AA76" s="17">
        <f>IF(ISTEXT(Z76),AA75,0)</f>
        <v>0</v>
      </c>
      <c r="AB76" s="18">
        <f>IF(ISTEXT(Z76),AB75,0)</f>
        <v>0</v>
      </c>
      <c r="AC76" s="19">
        <f>IF(ISTEXT(Z76),AC75,0)</f>
        <v>0</v>
      </c>
      <c r="AD76" s="9"/>
      <c r="AE76" s="14">
        <f>+S26</f>
        <v>0</v>
      </c>
      <c r="AF76" s="17">
        <f>IF(ISTEXT(AE76),AF75,0)</f>
        <v>0</v>
      </c>
      <c r="AG76" s="59">
        <f>IF(ISTEXT(AE76),AG75,0)</f>
        <v>0</v>
      </c>
      <c r="AH76" s="19">
        <f>IF(ISTEXT(AE76),AH75,0)</f>
        <v>0</v>
      </c>
      <c r="AI76" s="9"/>
      <c r="AJ76" s="14">
        <f>+V26</f>
        <v>0</v>
      </c>
      <c r="AK76" s="17">
        <f>IF(ISTEXT(AJ76),AK75,0)</f>
        <v>0</v>
      </c>
      <c r="AL76" s="59">
        <f>IF(ISTEXT(AJ76),AL75,0)</f>
        <v>0</v>
      </c>
      <c r="AM76" s="19">
        <f>IF(ISTEXT(AJ76),AM75,0)</f>
        <v>0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</row>
    <row r="77" spans="25:64">
      <c r="Y77" s="447"/>
      <c r="Z77" s="14">
        <f>+Q26</f>
        <v>0</v>
      </c>
      <c r="AA77" s="71">
        <f>IF(ISTEXT(Z77),AA75,0)</f>
        <v>0</v>
      </c>
      <c r="AB77" s="67">
        <f>IF(ISTEXT(Z77),AB75,0)</f>
        <v>0</v>
      </c>
      <c r="AC77" s="72">
        <f>IF(ISTEXT(Z77),AC75,0)</f>
        <v>0</v>
      </c>
      <c r="AD77" s="9"/>
      <c r="AE77" s="14">
        <f>+T26</f>
        <v>0</v>
      </c>
      <c r="AF77" s="71">
        <f>IF(ISTEXT(AE77),AF75,0)</f>
        <v>0</v>
      </c>
      <c r="AG77" s="64">
        <f>IF(ISTEXT(AE77),AG75,0)</f>
        <v>0</v>
      </c>
      <c r="AH77" s="72">
        <f>IF(ISTEXT(AE77),AH75,0)</f>
        <v>0</v>
      </c>
      <c r="AI77" s="9"/>
      <c r="AJ77" s="14">
        <f>+W26</f>
        <v>0</v>
      </c>
      <c r="AK77" s="71">
        <f>IF(ISTEXT(AJ77),AK75,0)</f>
        <v>0</v>
      </c>
      <c r="AL77" s="64">
        <f>IF(ISTEXT(AJ77),AL75,0)</f>
        <v>0</v>
      </c>
      <c r="AM77" s="72">
        <f>IF(ISTEXT(AJ77),AM75,0)</f>
        <v>0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</row>
    <row r="78" spans="25:64">
      <c r="Y78" s="447"/>
      <c r="Z78" s="32"/>
      <c r="AA78" s="230" t="s">
        <v>5</v>
      </c>
      <c r="AB78" s="21"/>
      <c r="AC78" s="22"/>
      <c r="AD78" s="25"/>
      <c r="AE78" s="32"/>
      <c r="AF78" s="230" t="s">
        <v>5</v>
      </c>
      <c r="AG78" s="21"/>
      <c r="AH78" s="22"/>
      <c r="AI78" s="25"/>
      <c r="AJ78" s="32"/>
      <c r="AK78" s="230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</row>
    <row r="79" spans="25:64">
      <c r="Y79" s="447"/>
      <c r="Z79" s="14">
        <f>+O27</f>
        <v>0</v>
      </c>
      <c r="AA79" s="35">
        <v>0</v>
      </c>
      <c r="AB79" s="30">
        <f>IF(AA75+AA79=0,0,IF(AA75=AA79,2,IF(AA75&lt;AA79,3,1)))</f>
        <v>0</v>
      </c>
      <c r="AC79" s="15">
        <f>AA79-AA75</f>
        <v>0</v>
      </c>
      <c r="AD79" s="24"/>
      <c r="AE79" s="14">
        <f>+R27</f>
        <v>0</v>
      </c>
      <c r="AF79" s="127">
        <v>0</v>
      </c>
      <c r="AG79" s="30">
        <f>IF(AF75+AF79=0,0,IF(AF75=AF79,2,IF(AF75&lt;AF79,3,1)))</f>
        <v>0</v>
      </c>
      <c r="AH79" s="15">
        <f>AF79-AF75</f>
        <v>0</v>
      </c>
      <c r="AI79" s="24"/>
      <c r="AJ79" s="14">
        <f>+U27</f>
        <v>0</v>
      </c>
      <c r="AK79" s="37">
        <v>0</v>
      </c>
      <c r="AL79" s="30">
        <f>IF(AK75+AK79=0,0,IF(AK75=AK79,2,IF(AK75&lt;AK79,3,1)))</f>
        <v>0</v>
      </c>
      <c r="AM79" s="15">
        <f>AK79-AK75</f>
        <v>0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</row>
    <row r="80" spans="25:64" ht="16.5" thickBot="1">
      <c r="Y80" s="447"/>
      <c r="Z80" s="14">
        <f>+P27</f>
        <v>0</v>
      </c>
      <c r="AA80" s="17">
        <f>IF(ISTEXT(Z80),AA79,0)</f>
        <v>0</v>
      </c>
      <c r="AB80" s="18">
        <f>IF(ISTEXT(Z80),AB79,0)</f>
        <v>0</v>
      </c>
      <c r="AC80" s="19">
        <f>IF(ISTEXT(Z80),AC79,0)</f>
        <v>0</v>
      </c>
      <c r="AD80" s="9"/>
      <c r="AE80" s="14">
        <f>+S27</f>
        <v>0</v>
      </c>
      <c r="AF80" s="17">
        <f>IF(ISTEXT(AE80),AF79,0)</f>
        <v>0</v>
      </c>
      <c r="AG80" s="18">
        <f>IF(ISTEXT(AE80),AG79,0)</f>
        <v>0</v>
      </c>
      <c r="AH80" s="19">
        <f>IF(ISTEXT(AE80),AH79,0)</f>
        <v>0</v>
      </c>
      <c r="AI80" s="9"/>
      <c r="AJ80" s="14">
        <f>+V27</f>
        <v>0</v>
      </c>
      <c r="AK80" s="17">
        <f>IF(ISTEXT(AJ80),AK79,0)</f>
        <v>0</v>
      </c>
      <c r="AL80" s="18">
        <f>IF(ISTEXT(AJ80),AL79,0)</f>
        <v>0</v>
      </c>
      <c r="AM80" s="19">
        <f>IF(ISTEXT(AJ80),AM79,0)</f>
        <v>0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</row>
    <row r="81" spans="25:61" ht="16.5" thickBot="1">
      <c r="Y81" s="448"/>
      <c r="Z81" s="16">
        <f>+Q27</f>
        <v>0</v>
      </c>
      <c r="AA81" s="17">
        <f>IF(ISTEXT(Z81),AA79,0)</f>
        <v>0</v>
      </c>
      <c r="AB81" s="18">
        <f>IF(ISTEXT(Z81),AB79,0)</f>
        <v>0</v>
      </c>
      <c r="AC81" s="19">
        <f>IF(ISTEXT(Z81),AC79,0)</f>
        <v>0</v>
      </c>
      <c r="AD81" s="9"/>
      <c r="AE81" s="16">
        <f>+T27</f>
        <v>0</v>
      </c>
      <c r="AF81" s="17">
        <f>IF(ISTEXT(AE81),AF79,0)</f>
        <v>0</v>
      </c>
      <c r="AG81" s="18">
        <f>IF(ISTEXT(AE81),AG79,0)</f>
        <v>0</v>
      </c>
      <c r="AH81" s="19">
        <f>IF(ISTEXT(AE81),AH79,0)</f>
        <v>0</v>
      </c>
      <c r="AI81" s="9"/>
      <c r="AJ81" s="16">
        <f>+W27</f>
        <v>0</v>
      </c>
      <c r="AK81" s="17">
        <f>IF(ISTEXT(AJ81),AK79,0)</f>
        <v>0</v>
      </c>
      <c r="AL81" s="18">
        <f>IF(ISTEXT(AJ81),AL79,0)</f>
        <v>0</v>
      </c>
      <c r="AM81" s="19">
        <f>IF(ISTEXT(AJ81),AM79,0)</f>
        <v>0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</row>
    <row r="82" spans="25:61">
      <c r="Y82" s="128"/>
      <c r="Z82" s="231"/>
      <c r="AA82" s="231"/>
      <c r="AB82" s="231"/>
      <c r="AC82" s="231"/>
      <c r="AD82" s="231"/>
      <c r="AE82" s="231"/>
      <c r="AF82" s="231"/>
      <c r="AG82" s="70"/>
      <c r="AH82" s="70"/>
      <c r="AI82" s="231"/>
      <c r="AJ82" s="231"/>
      <c r="AK82" s="231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H82" s="23"/>
      <c r="BI82" s="23"/>
    </row>
    <row r="83" spans="25:61">
      <c r="Y83" s="128"/>
      <c r="AB83" s="79">
        <f t="array" ref="AB83">SUM(AB11:AB81)</f>
        <v>24</v>
      </c>
      <c r="AC83" s="79">
        <f t="array" ref="AC83">SUM(AC11:AC81)</f>
        <v>0</v>
      </c>
      <c r="AD83" s="23"/>
      <c r="AE83" s="23"/>
      <c r="AF83" s="23"/>
      <c r="AG83" s="79">
        <f t="array" ref="AG83">SUM(AG11:AG81)</f>
        <v>24</v>
      </c>
      <c r="AH83" s="79">
        <f t="array" ref="AH83">SUM(AH11:AH81)</f>
        <v>0</v>
      </c>
      <c r="AI83" s="23"/>
      <c r="AJ83" s="23"/>
      <c r="AK83" s="23"/>
      <c r="AL83" s="79">
        <f t="array" ref="AL83">SUM(AL11:AL81)</f>
        <v>24</v>
      </c>
      <c r="AM83" s="79">
        <f t="array" ref="AM83">SUM(AM11:AM81)</f>
        <v>0</v>
      </c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H83" s="23"/>
      <c r="BI83" s="23"/>
    </row>
    <row r="84" spans="25:61">
      <c r="Y84" s="128"/>
      <c r="AB84" s="8"/>
      <c r="AC84" s="79" t="str">
        <f>IF(AC83=0,"OK","ERREUR")</f>
        <v>OK</v>
      </c>
      <c r="AD84" s="23"/>
      <c r="AE84" s="23"/>
      <c r="AF84" s="23"/>
      <c r="AG84" s="8"/>
      <c r="AH84" s="79" t="str">
        <f>IF(AH83=0,"OK","ERREUR")</f>
        <v>OK</v>
      </c>
      <c r="AI84" s="23"/>
      <c r="AJ84" s="23"/>
      <c r="AK84" s="23"/>
      <c r="AL84" s="8"/>
      <c r="AM84" s="79" t="str">
        <f>IF(AM83=0,"OK","ERREUR")</f>
        <v>OK</v>
      </c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H84" s="23"/>
      <c r="BI84" s="23"/>
    </row>
    <row r="85" spans="25:61">
      <c r="Y85" s="128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</row>
    <row r="86" spans="25:61">
      <c r="Y86" s="128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O86" s="23"/>
    </row>
    <row r="87" spans="25:61">
      <c r="Y87" s="128"/>
    </row>
  </sheetData>
  <sheetProtection sheet="1" objects="1" scenarios="1" formatCells="0" formatColumns="0" formatRows="0" insertColumns="0" insertRows="0" insertHyperlinks="0" deleteColumns="0" deleteRows="0" sort="0"/>
  <sortState ref="BM9:BM29">
    <sortCondition descending="1" ref="BM8"/>
  </sortState>
  <mergeCells count="35">
    <mergeCell ref="BK3:BK4"/>
    <mergeCell ref="O9:Q9"/>
    <mergeCell ref="P5:P6"/>
    <mergeCell ref="D8:E8"/>
    <mergeCell ref="B9:C9"/>
    <mergeCell ref="D9:E9"/>
    <mergeCell ref="F9:G9"/>
    <mergeCell ref="J9:L9"/>
    <mergeCell ref="BH7:BL7"/>
    <mergeCell ref="AZ7:BB7"/>
    <mergeCell ref="R9:T9"/>
    <mergeCell ref="AT7:AV7"/>
    <mergeCell ref="AW7:AY7"/>
    <mergeCell ref="O8:W8"/>
    <mergeCell ref="U9:W9"/>
    <mergeCell ref="Y67:Y73"/>
    <mergeCell ref="Y75:Y81"/>
    <mergeCell ref="Y11:Y17"/>
    <mergeCell ref="Y19:Y25"/>
    <mergeCell ref="Y27:Y33"/>
    <mergeCell ref="Y35:Y41"/>
    <mergeCell ref="Y43:Y49"/>
    <mergeCell ref="Y51:Y57"/>
    <mergeCell ref="Y59:Y65"/>
    <mergeCell ref="B1:D1"/>
    <mergeCell ref="AQ7:AS7"/>
    <mergeCell ref="B5:D5"/>
    <mergeCell ref="Z7:AC7"/>
    <mergeCell ref="AE7:AH7"/>
    <mergeCell ref="AJ7:AM7"/>
    <mergeCell ref="S5:S6"/>
    <mergeCell ref="R5:R6"/>
    <mergeCell ref="D7:E7"/>
    <mergeCell ref="Q3:R3"/>
    <mergeCell ref="N1:P1"/>
  </mergeCells>
  <phoneticPr fontId="1" type="noConversion"/>
  <conditionalFormatting sqref="J10:L27">
    <cfRule type="duplicateValues" dxfId="141" priority="169"/>
  </conditionalFormatting>
  <conditionalFormatting sqref="O10:Q27">
    <cfRule type="cellIs" dxfId="140" priority="84" operator="equal">
      <formula>0</formula>
    </cfRule>
    <cfRule type="duplicateValues" dxfId="139" priority="87"/>
  </conditionalFormatting>
  <conditionalFormatting sqref="R10:T27">
    <cfRule type="cellIs" dxfId="138" priority="83" operator="equal">
      <formula>0</formula>
    </cfRule>
    <cfRule type="duplicateValues" dxfId="137" priority="86"/>
  </conditionalFormatting>
  <conditionalFormatting sqref="U10:W27">
    <cfRule type="cellIs" dxfId="136" priority="82" operator="equal">
      <formula>0</formula>
    </cfRule>
    <cfRule type="duplicateValues" dxfId="135" priority="85"/>
  </conditionalFormatting>
  <conditionalFormatting sqref="AC55:AC57 AH55:AH57 AM55:AM57 AC59:AC61 AH59:AH61 AM59:AM61 AC63:AC69 AH63:AH69 AM63:AM69 AC71:AC81 AH71:AH81 AM71:AM81 AC11:AC12 AH11:AH12 AM11:AM13 AC15:AC17 AH15:AH17 AM15:AM17 AC19:AC21 AH19:AH21 AM19:AM21 AC23:AC25 AH23:AH25 AM23:AM25 AC27:AC29 AH27:AH29 AM27:AM29 AC31:AC37 AH31:AH37 AM31:AM37 AC39:AC45 AH39:AH45 AM39:AM45 AC47:AC53 AH47:AH53 AM47:AM53 BC9:BD62">
    <cfRule type="cellIs" dxfId="134" priority="81" stopIfTrue="1" operator="lessThan">
      <formula>0</formula>
    </cfRule>
  </conditionalFormatting>
  <conditionalFormatting sqref="AH84 AM84 AC84">
    <cfRule type="colorScale" priority="80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AM83 AH83 AC83">
    <cfRule type="colorScale" priority="77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AM84">
    <cfRule type="containsText" dxfId="133" priority="73" operator="containsText" text="ERREUR">
      <formula>NOT(ISERROR(SEARCH("ERREUR",AM84)))</formula>
    </cfRule>
    <cfRule type="containsText" dxfId="132" priority="74" operator="containsText" text="OK">
      <formula>NOT(ISERROR(SEARCH("OK",AM84)))</formula>
    </cfRule>
  </conditionalFormatting>
  <conditionalFormatting sqref="AH84 AC84">
    <cfRule type="containsText" dxfId="131" priority="72" operator="containsText" text="OK">
      <formula>NOT(ISERROR(SEARCH("OK",AC84)))</formula>
    </cfRule>
  </conditionalFormatting>
  <conditionalFormatting sqref="BA63:BB63 BJ63:BK63">
    <cfRule type="colorScale" priority="69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BA64:BB65 AX64:AY65 AU64:AV65 AR64:AS65 BJ64:BK65">
    <cfRule type="containsText" dxfId="130" priority="67" stopIfTrue="1" operator="containsText" text="ERREUR">
      <formula>NOT(ISERROR(SEARCH("ERREUR",AR64)))</formula>
    </cfRule>
    <cfRule type="containsText" dxfId="129" priority="68" operator="containsText" text="OK">
      <formula>NOT(ISERROR(SEARCH("OK",AR64)))</formula>
    </cfRule>
  </conditionalFormatting>
  <conditionalFormatting sqref="E10:E27">
    <cfRule type="cellIs" dxfId="128" priority="62" operator="equal">
      <formula>0</formula>
    </cfRule>
    <cfRule type="cellIs" dxfId="127" priority="63" operator="equal">
      <formula>6.5</formula>
    </cfRule>
  </conditionalFormatting>
  <conditionalFormatting sqref="G10:G27 C10:C27">
    <cfRule type="cellIs" dxfId="126" priority="61" operator="equal">
      <formula>0</formula>
    </cfRule>
  </conditionalFormatting>
  <conditionalFormatting sqref="E10:E27">
    <cfRule type="top10" dxfId="125" priority="51" rank="1"/>
    <cfRule type="cellIs" dxfId="124" priority="52" operator="equal">
      <formula>0</formula>
    </cfRule>
  </conditionalFormatting>
  <conditionalFormatting sqref="BN9:BN18">
    <cfRule type="duplicateValues" dxfId="123" priority="49"/>
  </conditionalFormatting>
  <conditionalFormatting sqref="BN9:BN28">
    <cfRule type="duplicateValues" dxfId="122" priority="48"/>
  </conditionalFormatting>
  <conditionalFormatting sqref="O10:W27">
    <cfRule type="cellIs" dxfId="121" priority="46" operator="equal">
      <formula>0</formula>
    </cfRule>
  </conditionalFormatting>
  <conditionalFormatting sqref="AH83">
    <cfRule type="colorScale" priority="45">
      <colorScale>
        <cfvo type="num" val="-10"/>
        <cfvo type="percentile" val="0"/>
        <cfvo type="num" val="10"/>
        <color rgb="FFFFC000"/>
        <color rgb="FFFFC000"/>
        <color rgb="FFFFC000"/>
      </colorScale>
    </cfRule>
  </conditionalFormatting>
  <conditionalFormatting sqref="AM84 AH84 AC84 BA64 AX64 AU64 AR64 BJ64">
    <cfRule type="containsText" dxfId="120" priority="43" operator="containsText" text="ERREUR">
      <formula>NOT(ISERROR(SEARCH("ERREUR",AC64)))</formula>
    </cfRule>
    <cfRule type="containsText" dxfId="119" priority="44" operator="containsText" text="OK">
      <formula>NOT(ISERROR(SEARCH("OK",AC64)))</formula>
    </cfRule>
  </conditionalFormatting>
  <conditionalFormatting sqref="AC83 AM83">
    <cfRule type="colorScale" priority="37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AH83">
    <cfRule type="colorScale" priority="35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AM83 BA63 AR63 AU63 AX63 BJ63">
    <cfRule type="colorScale" priority="27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AC83">
    <cfRule type="colorScale" priority="25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26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L9:BL62">
    <cfRule type="duplicateValues" dxfId="118" priority="4"/>
  </conditionalFormatting>
  <conditionalFormatting sqref="BO9:BO62">
    <cfRule type="duplicateValues" dxfId="117" priority="2"/>
  </conditionalFormatting>
  <pageMargins left="0.17" right="0.16" top="0.21" bottom="0.4" header="0.1" footer="0.25"/>
  <pageSetup paperSize="9" fitToHeight="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FFFF"/>
  </sheetPr>
  <dimension ref="A1:BN89"/>
  <sheetViews>
    <sheetView zoomScale="70" zoomScaleNormal="70" workbookViewId="0">
      <selection activeCell="P33" sqref="P33"/>
    </sheetView>
  </sheetViews>
  <sheetFormatPr baseColWidth="10" defaultRowHeight="12.75"/>
  <cols>
    <col min="1" max="1" width="7.28515625" style="84" customWidth="1"/>
    <col min="2" max="2" width="22.7109375" style="84" customWidth="1"/>
    <col min="3" max="3" width="6.28515625" style="84" customWidth="1"/>
    <col min="4" max="4" width="24.28515625" style="84" customWidth="1"/>
    <col min="5" max="5" width="6.7109375" style="84" customWidth="1"/>
    <col min="6" max="6" width="25" style="84" customWidth="1"/>
    <col min="7" max="7" width="7" style="84" customWidth="1"/>
    <col min="8" max="8" width="5.5703125" style="84" hidden="1" customWidth="1"/>
    <col min="9" max="9" width="7" style="84" hidden="1" customWidth="1"/>
    <col min="10" max="12" width="11.42578125" style="84" hidden="1" customWidth="1"/>
    <col min="13" max="13" width="5.140625" style="84" customWidth="1"/>
    <col min="14" max="14" width="11.42578125" style="84"/>
    <col min="15" max="15" width="22.42578125" style="84" customWidth="1"/>
    <col min="16" max="16" width="23.28515625" style="84" customWidth="1"/>
    <col min="17" max="17" width="23.5703125" style="84" customWidth="1"/>
    <col min="18" max="18" width="22.85546875" style="84" customWidth="1"/>
    <col min="19" max="19" width="23.140625" style="84" customWidth="1"/>
    <col min="20" max="20" width="20.140625" style="84" customWidth="1"/>
    <col min="21" max="21" width="21.42578125" style="84" customWidth="1"/>
    <col min="22" max="22" width="20.140625" style="84" customWidth="1"/>
    <col min="23" max="23" width="21" style="84" customWidth="1"/>
    <col min="24" max="24" width="5.140625" style="84" customWidth="1"/>
    <col min="25" max="25" width="8.5703125" style="84" customWidth="1"/>
    <col min="26" max="26" width="26.7109375" style="84" customWidth="1"/>
    <col min="27" max="27" width="7.5703125" style="84" customWidth="1"/>
    <col min="28" max="28" width="6.7109375" style="84" customWidth="1"/>
    <col min="29" max="29" width="6.5703125" style="84" customWidth="1"/>
    <col min="30" max="30" width="4.42578125" style="84" customWidth="1"/>
    <col min="31" max="31" width="24.85546875" style="84" customWidth="1"/>
    <col min="32" max="32" width="8.42578125" style="84" customWidth="1"/>
    <col min="33" max="33" width="7.28515625" style="84" customWidth="1"/>
    <col min="34" max="34" width="7.5703125" style="84" customWidth="1"/>
    <col min="35" max="35" width="4.85546875" style="84" customWidth="1"/>
    <col min="36" max="36" width="23.85546875" style="84" customWidth="1"/>
    <col min="37" max="37" width="8.5703125" style="84" customWidth="1"/>
    <col min="38" max="38" width="7.28515625" style="84" customWidth="1"/>
    <col min="39" max="39" width="8.140625" style="84" customWidth="1"/>
    <col min="40" max="40" width="4.7109375" style="84" customWidth="1"/>
    <col min="41" max="41" width="8.140625" style="84" customWidth="1"/>
    <col min="42" max="42" width="24.5703125" style="84" customWidth="1"/>
    <col min="43" max="43" width="9.140625" style="84" customWidth="1"/>
    <col min="44" max="44" width="7.140625" style="84" customWidth="1"/>
    <col min="45" max="45" width="7.5703125" style="84" customWidth="1"/>
    <col min="46" max="46" width="8" style="84" customWidth="1"/>
    <col min="47" max="47" width="7.7109375" style="84" customWidth="1"/>
    <col min="48" max="48" width="8.5703125" style="84" customWidth="1"/>
    <col min="49" max="49" width="7.5703125" style="84" customWidth="1"/>
    <col min="50" max="50" width="7.28515625" style="84" customWidth="1"/>
    <col min="51" max="51" width="8.140625" style="84" customWidth="1"/>
    <col min="52" max="52" width="9.5703125" style="84" customWidth="1"/>
    <col min="53" max="53" width="7.5703125" style="84" customWidth="1"/>
    <col min="54" max="54" width="9.42578125" style="84" customWidth="1"/>
    <col min="55" max="55" width="8" style="84" hidden="1" customWidth="1"/>
    <col min="56" max="56" width="8.7109375" style="84" hidden="1" customWidth="1"/>
    <col min="57" max="57" width="16.140625" style="84" hidden="1" customWidth="1"/>
    <col min="58" max="58" width="11" style="84" hidden="1" customWidth="1"/>
    <col min="59" max="59" width="5.140625" style="84" customWidth="1"/>
    <col min="60" max="60" width="22.140625" style="84" customWidth="1"/>
    <col min="61" max="61" width="11" style="84" customWidth="1"/>
    <col min="62" max="62" width="8.7109375" style="84" customWidth="1"/>
    <col min="63" max="63" width="9.5703125" style="84" customWidth="1"/>
    <col min="64" max="64" width="10.42578125" style="84" customWidth="1"/>
    <col min="65" max="65" width="11.42578125" style="84"/>
    <col min="66" max="66" width="0" style="84" hidden="1" customWidth="1"/>
    <col min="67" max="16384" width="11.42578125" style="84"/>
  </cols>
  <sheetData>
    <row r="1" spans="1:66" ht="27" thickBot="1">
      <c r="A1" s="128"/>
      <c r="B1" s="420" t="s">
        <v>36</v>
      </c>
      <c r="C1" s="420"/>
      <c r="D1" s="420"/>
      <c r="E1" s="132"/>
      <c r="F1" s="132"/>
      <c r="G1" s="132"/>
      <c r="H1" s="132"/>
      <c r="I1" s="132"/>
      <c r="L1" s="133" t="s">
        <v>37</v>
      </c>
      <c r="M1"/>
      <c r="N1" s="443" t="s">
        <v>121</v>
      </c>
      <c r="O1" s="444"/>
      <c r="P1" s="445"/>
      <c r="Q1"/>
      <c r="T1" s="132"/>
      <c r="U1"/>
      <c r="V1"/>
      <c r="W1"/>
      <c r="Y1" s="134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6" ht="18.75">
      <c r="A2" s="128"/>
      <c r="B2" s="29"/>
      <c r="C2" s="29"/>
      <c r="D2" s="80"/>
      <c r="E2" s="80"/>
      <c r="F2" s="128"/>
      <c r="G2" s="128"/>
      <c r="H2" s="23"/>
      <c r="I2" s="25"/>
      <c r="J2" s="128"/>
      <c r="K2" s="128"/>
      <c r="L2" s="128"/>
      <c r="P2" s="23"/>
      <c r="Q2" s="128"/>
      <c r="R2" s="29"/>
      <c r="S2" s="29"/>
      <c r="T2" s="29"/>
      <c r="U2" s="29"/>
      <c r="V2" s="128"/>
      <c r="W2" s="23"/>
      <c r="X2" s="23"/>
      <c r="Y2" s="43"/>
      <c r="Z2" s="23"/>
      <c r="AA2" s="45"/>
      <c r="AB2" s="45"/>
      <c r="AC2" s="45" t="s">
        <v>8</v>
      </c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417" t="s">
        <v>42</v>
      </c>
      <c r="BA2" s="23"/>
      <c r="BB2" s="23"/>
      <c r="BC2" s="23"/>
      <c r="BD2" s="23"/>
      <c r="BE2" s="23"/>
      <c r="BF2" s="23"/>
      <c r="BG2" s="23"/>
      <c r="BH2" s="23"/>
      <c r="BI2" s="23"/>
      <c r="BJ2" s="29"/>
      <c r="BK2" s="29"/>
      <c r="BL2" s="29"/>
      <c r="BM2" s="29"/>
    </row>
    <row r="3" spans="1:66" ht="23.25">
      <c r="A3" s="134"/>
      <c r="B3" s="277" t="s">
        <v>62</v>
      </c>
      <c r="C3" s="29"/>
      <c r="D3" s="276" t="s">
        <v>49</v>
      </c>
      <c r="E3" s="80"/>
      <c r="G3" s="128"/>
      <c r="H3" s="23"/>
      <c r="I3" s="25"/>
      <c r="J3" s="128"/>
      <c r="K3" s="128"/>
      <c r="L3" s="128"/>
      <c r="P3" s="23"/>
      <c r="Q3" s="442" t="s">
        <v>38</v>
      </c>
      <c r="R3" s="442"/>
      <c r="S3" s="331"/>
      <c r="T3" s="29"/>
      <c r="U3" s="134"/>
      <c r="V3" s="134"/>
      <c r="W3" s="134"/>
      <c r="X3" s="134"/>
      <c r="Y3" s="128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9"/>
      <c r="BK3" s="29"/>
      <c r="BL3" s="29"/>
      <c r="BM3" s="29"/>
    </row>
    <row r="4" spans="1:66" ht="24" thickBot="1">
      <c r="A4" s="134"/>
      <c r="B4" s="134"/>
      <c r="C4" s="29"/>
      <c r="D4" s="80"/>
      <c r="E4" s="80"/>
      <c r="F4" s="128"/>
      <c r="G4" s="128"/>
      <c r="H4" s="23"/>
      <c r="I4" s="25"/>
      <c r="J4" s="128"/>
      <c r="K4" s="128"/>
      <c r="L4" s="128"/>
      <c r="P4" s="23"/>
      <c r="Q4" s="128"/>
      <c r="R4" s="156"/>
      <c r="S4" s="156"/>
      <c r="V4" s="134"/>
      <c r="W4" s="134"/>
      <c r="Y4" s="44" t="s">
        <v>22</v>
      </c>
      <c r="Z4" s="45"/>
      <c r="AA4" s="45"/>
      <c r="AB4" s="46"/>
      <c r="AC4" s="47"/>
      <c r="AD4" s="46"/>
      <c r="AE4" s="46"/>
      <c r="AF4" s="45"/>
      <c r="AG4" s="45"/>
      <c r="AH4" s="45"/>
      <c r="AI4" s="45"/>
      <c r="AJ4" s="45"/>
      <c r="AK4" s="45"/>
      <c r="AL4" s="45"/>
      <c r="AM4" s="45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9"/>
      <c r="BI4" s="29"/>
      <c r="BJ4" s="29"/>
      <c r="BK4" s="29"/>
      <c r="BL4" s="29"/>
      <c r="BM4" s="29"/>
    </row>
    <row r="5" spans="1:66" ht="26.25" thickBot="1">
      <c r="A5" s="236">
        <f>+Q5</f>
        <v>30</v>
      </c>
      <c r="B5" s="424" t="s">
        <v>120</v>
      </c>
      <c r="C5" s="425"/>
      <c r="D5" s="426"/>
      <c r="F5" s="377"/>
      <c r="Q5" s="451">
        <v>30</v>
      </c>
      <c r="S5" s="438">
        <f>IF(Q5=8,2,IF($Q$5=9,2,IF($Q$5=10,2,IF($Q$5=11,2,IF($Q$5=12,2,IF($Q$5=13,3,IF(Q5=14,3,IF($Q$5=15,3,IF(Q5=16,3,IF($Q$5=17,3,IF(Q5=18,3,IF($Q$5=19,4,IF(Q5=20,4,IF($Q$5=21,4,IF(Q5=22,4,IF($Q$5=23,4,IF(Q5=24,4,IF($Q$5=25,5,IF(Q5=26,5,IF($Q$5=27,5,IF(Q5=28,5,IF($Q$5=29,5,IF(Q5=30,5,IF($Q$5=31,6,IF(Q5=32,6,IF($Q$5=33,6,IF($Q$5=34,6,IF($Q$5=35,6,IF($Q$5=36,6,IF($Q$5=37,7,IF($Q$5=38,7,IF($Q$5=39,7,IF($Q$5=40,7,IF($Q$5=41,7,IF($Q$5=42,7,IF($Q$5=43,8,IF($Q$5=44,8,IF($Q$5=45,8,IF($Q$5=46,8,IF($Q$5=47,8,IF($Q$5=48,8,IF($Q$5=49,9,IF($Q$5=50,9,IF($Q$5=51,9,IF($Q$5=52,9,IF($Q$5=53,9,IF($Q$5=54,9,0)))))))))))))))))))))))))))))))))))))))))))))))</f>
        <v>5</v>
      </c>
      <c r="T5" s="436" t="s">
        <v>39</v>
      </c>
      <c r="Y5" s="128"/>
      <c r="Z5" s="23"/>
      <c r="AA5" s="23"/>
      <c r="AB5" s="23"/>
      <c r="AC5" s="23"/>
      <c r="AD5" s="23"/>
      <c r="AE5" s="45" t="s">
        <v>23</v>
      </c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9"/>
      <c r="BI5" s="29"/>
      <c r="BJ5" s="29"/>
      <c r="BK5" s="29"/>
      <c r="BL5" s="29"/>
      <c r="BM5" s="29"/>
    </row>
    <row r="6" spans="1:66" ht="21" customHeight="1" thickBot="1">
      <c r="Q6" s="452"/>
      <c r="S6" s="439"/>
      <c r="T6" s="437"/>
      <c r="Y6" s="12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50"/>
      <c r="BI6" s="50"/>
      <c r="BJ6" s="50"/>
      <c r="BK6" s="50"/>
      <c r="BL6" s="50"/>
      <c r="BM6" s="50"/>
    </row>
    <row r="7" spans="1:66" ht="21.75" customHeight="1" thickTop="1" thickBot="1">
      <c r="A7"/>
      <c r="B7"/>
      <c r="C7"/>
      <c r="D7" s="440" t="s">
        <v>60</v>
      </c>
      <c r="E7" s="441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375" t="s">
        <v>0</v>
      </c>
      <c r="AQ7" s="421" t="s">
        <v>1</v>
      </c>
      <c r="AR7" s="422"/>
      <c r="AS7" s="423"/>
      <c r="AT7" s="465" t="s">
        <v>2</v>
      </c>
      <c r="AU7" s="466"/>
      <c r="AV7" s="476"/>
      <c r="AW7" s="470" t="s">
        <v>3</v>
      </c>
      <c r="AX7" s="471"/>
      <c r="AY7" s="472"/>
      <c r="AZ7" s="462" t="s">
        <v>7</v>
      </c>
      <c r="BA7" s="463"/>
      <c r="BB7" s="464"/>
      <c r="BC7" s="51"/>
      <c r="BD7" s="42"/>
      <c r="BE7" s="25"/>
      <c r="BF7" s="25"/>
      <c r="BH7" s="462" t="s">
        <v>21</v>
      </c>
      <c r="BI7" s="463"/>
      <c r="BJ7" s="463"/>
      <c r="BK7" s="463"/>
      <c r="BL7" s="464"/>
    </row>
    <row r="8" spans="1:66" ht="21.75" thickTop="1" thickBot="1">
      <c r="A8" s="193"/>
      <c r="B8"/>
      <c r="C8"/>
      <c r="D8" s="453" t="s">
        <v>61</v>
      </c>
      <c r="E8" s="454"/>
      <c r="F8"/>
      <c r="G8" s="194"/>
      <c r="H8" s="195"/>
      <c r="I8" s="194"/>
      <c r="J8" s="194"/>
      <c r="K8" s="194"/>
      <c r="L8" s="194"/>
      <c r="M8" s="194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06" t="s">
        <v>10</v>
      </c>
      <c r="AR8" s="107" t="s">
        <v>11</v>
      </c>
      <c r="AS8" s="110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117" t="s">
        <v>15</v>
      </c>
      <c r="BH8" s="371" t="s">
        <v>6</v>
      </c>
      <c r="BI8" s="372" t="s">
        <v>16</v>
      </c>
      <c r="BJ8" s="373" t="s">
        <v>17</v>
      </c>
      <c r="BK8" s="122" t="s">
        <v>12</v>
      </c>
      <c r="BL8" s="270" t="s">
        <v>18</v>
      </c>
      <c r="BM8" s="194"/>
      <c r="BN8" s="261" t="s">
        <v>16</v>
      </c>
    </row>
    <row r="9" spans="1:66" ht="2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H9" s="23"/>
      <c r="I9" s="136"/>
      <c r="J9" s="459" t="s">
        <v>40</v>
      </c>
      <c r="K9" s="460"/>
      <c r="L9" s="461"/>
      <c r="M9" s="154"/>
      <c r="N9" s="81"/>
      <c r="O9" s="450" t="s">
        <v>1</v>
      </c>
      <c r="P9" s="450"/>
      <c r="Q9" s="450"/>
      <c r="R9" s="465" t="s">
        <v>2</v>
      </c>
      <c r="S9" s="466"/>
      <c r="T9" s="466"/>
      <c r="U9" s="470" t="s">
        <v>3</v>
      </c>
      <c r="V9" s="471"/>
      <c r="W9" s="472"/>
      <c r="X9" s="23"/>
      <c r="Y9" s="40" t="s">
        <v>30</v>
      </c>
      <c r="Z9" s="26" t="s">
        <v>4</v>
      </c>
      <c r="AA9" s="26" t="s">
        <v>12</v>
      </c>
      <c r="AB9" s="26" t="s">
        <v>10</v>
      </c>
      <c r="AC9" s="26" t="s">
        <v>11</v>
      </c>
      <c r="AD9" s="24"/>
      <c r="AE9" s="26" t="s">
        <v>4</v>
      </c>
      <c r="AF9" s="26" t="s">
        <v>12</v>
      </c>
      <c r="AG9" s="26" t="s">
        <v>10</v>
      </c>
      <c r="AH9" s="26" t="s">
        <v>11</v>
      </c>
      <c r="AI9" s="24"/>
      <c r="AJ9" s="26" t="s">
        <v>4</v>
      </c>
      <c r="AK9" s="26" t="s">
        <v>12</v>
      </c>
      <c r="AL9" s="26" t="s">
        <v>10</v>
      </c>
      <c r="AM9" s="26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1</v>
      </c>
      <c r="AR9" s="38">
        <f>IF(ISNA(VLOOKUP(AP9,$Z$11:$AC$81,4,0))," ",IF(VLOOKUP(AP9,$Z$11:$AC$81,4,0)=0,"0",VLOOKUP(AP9,$Z$11:$AC$81,4,0)))</f>
        <v>-2</v>
      </c>
      <c r="AS9" s="94">
        <f>IF(ISNA(VLOOKUP(AP9,$Z$11:$AC$81,2,0))," ",IF(VLOOKUP(AP9,$Z$11:$AC$81,2,0)=0,"0",VLOOKUP(AP9,$Z$11:$AC$81,2,0)))</f>
        <v>8</v>
      </c>
      <c r="AT9" s="325" t="str">
        <f>IF(ISNA(VLOOKUP(AP9,$AE$11:$AH$81,3,0))," ",IF(VLOOKUP(AP9,$AE$11:$AH$81,3,0)=0,"0",VLOOKUP(AP9,$AE$11:$AH$81,3,0)))</f>
        <v>0</v>
      </c>
      <c r="AU9" s="326" t="str">
        <f>IF(ISNA(VLOOKUP(AP9,$AE$11:$AH$81,4,0))," ",IF(VLOOKUP(AP9,$AE$11:$AH$81,4,0)=0,"0",VLOOKUP(AP9,$AE$11:$AH$81,4,0)))</f>
        <v>0</v>
      </c>
      <c r="AV9" s="327" t="str">
        <f>IF(ISNA(VLOOKUP(AP9,$AE$11:$AH$81,2,0))," ",IF(VLOOKUP(AP9,$AE$11:$AH$81,2,0)=0,"0",VLOOKUP(AP9,$AE$11:$AH$81,2,0)))</f>
        <v>0</v>
      </c>
      <c r="AW9" s="285">
        <f>IF(ISNA(VLOOKUP(AP9,$AJ$11:$AM$81,3,0))," ",IF(VLOOKUP(AP9,$AJ$11:$AM$81,3,0)=0,"0",VLOOKUP(AP9,$AJ$11:$AM$81,3,0)))</f>
        <v>3</v>
      </c>
      <c r="AX9" s="38">
        <f>IF(ISNA(VLOOKUP(AP9,$AJ$11:$AM$81,4,0))," ",IF(VLOOKUP(AP9,$AJ$11:$AM$81,4,0)=0,"0",VLOOKUP(AP9,$AJ$11:$AM$81,4,0)))</f>
        <v>11</v>
      </c>
      <c r="AY9" s="288">
        <f>IF(ISNA(VLOOKUP(AP9,$AJ$11:$AM$81,2,0))," ",IF(VLOOKUP(AP9,$AJ$11:$AM$81,2,0)=0,"0",VLOOKUP(AP9,$AJ$11:$AM$81,2,0)))</f>
        <v>13</v>
      </c>
      <c r="AZ9" s="285">
        <f>SUMIFS(AQ9:AW9,$AQ$8:$AW$8,"Pts",AQ9:AW9,"&lt;&gt;#N/A")</f>
        <v>4</v>
      </c>
      <c r="BA9" s="38">
        <f>SUMIFS(AQ9:AX9,$AQ$8:$AX$8,"GA",AQ9:AX9,"&lt;&gt;#N/A")</f>
        <v>9</v>
      </c>
      <c r="BB9" s="288">
        <f>SUMIFS(AQ9:AY9,$AQ$8:$AY$8,"Score",AQ9:AY9,"&lt;&gt;#N/A")</f>
        <v>21</v>
      </c>
      <c r="BC9" s="293">
        <f>IF(BA9="","",IF(BA9&lt;0,BA9,0))</f>
        <v>0</v>
      </c>
      <c r="BD9" s="217">
        <f>IF(BA9="","",IF(BA9&gt;0,BA9,0))</f>
        <v>9</v>
      </c>
      <c r="BE9" s="218">
        <f>IF(OR(AP9="",AZ9="",BA9="",BB9=""),"",RANK(AZ9,$AZ$9:$AZ$62)+SUM(-BA9/100)-(+BB9/10000)+COUNTIF(AP$9:AP$62,"&lt;="&amp;AP9+1)/1000000+ROW()/100000000)</f>
        <v>11.90790009</v>
      </c>
      <c r="BF9" s="99">
        <f>IF(AP9="","",SMALL(BE$9:BE$62,ROWS(AZ$9:AZ9)))</f>
        <v>0.74680049000000004</v>
      </c>
      <c r="BG9" s="88"/>
      <c r="BH9" s="369" t="str">
        <f>IF(OR(AP9="",AZ9=""),"",INDEX($AP$9:$AP$63,MATCH(BF9,$BE$9:BE$62,0)))</f>
        <v>C5</v>
      </c>
      <c r="BI9" s="370">
        <f t="shared" ref="BI9:BI40" si="0">IF(AP9="","",INDEX($AZ$9:$AZ$63,MATCH(BF9,$BE$9:$BE$62,0)))</f>
        <v>9</v>
      </c>
      <c r="BJ9" s="98">
        <f t="shared" ref="BJ9:BJ40" si="1">IF(AP9="","",INDEX($BA$9:$BA$63,MATCH(BF9,$BE$9:$BE$62,0)))</f>
        <v>25</v>
      </c>
      <c r="BK9" s="98">
        <f t="shared" ref="BK9:BK40" si="2">IF(AP9="","",INDEX($BB$9:$BB$63,MATCH(BF9,$BE$9:$BE$62,0)))</f>
        <v>32</v>
      </c>
      <c r="BL9" s="278">
        <f>IF(BF9="","",1)</f>
        <v>1</v>
      </c>
      <c r="BM9" s="29"/>
      <c r="BN9" s="82"/>
    </row>
    <row r="10" spans="1:66" ht="21" thickBot="1">
      <c r="A10" s="130">
        <v>1</v>
      </c>
      <c r="B10" s="392" t="s">
        <v>66</v>
      </c>
      <c r="C10" s="271">
        <f>IF($Q$5&gt;7,1,0)</f>
        <v>1</v>
      </c>
      <c r="D10" s="395" t="s">
        <v>84</v>
      </c>
      <c r="E10" s="271">
        <f>IF($Q$5&gt;7,1,0)</f>
        <v>1</v>
      </c>
      <c r="F10" s="399" t="s">
        <v>102</v>
      </c>
      <c r="G10" s="271">
        <f>IF($Q$5&gt;7,1,0)</f>
        <v>1</v>
      </c>
      <c r="H10" s="23"/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M10" s="155"/>
      <c r="N10" s="82">
        <v>1</v>
      </c>
      <c r="O10" s="138" t="str">
        <f>IF($Q$5&lt;55&gt;7,J10,0)</f>
        <v>A1</v>
      </c>
      <c r="P10" s="139" t="str">
        <f>IF($Q$5&gt;=8,K10,0)</f>
        <v>B1</v>
      </c>
      <c r="Q10" s="140" t="str">
        <f>IF($Q$5&gt;9,L10,IF($Q$5=9,L10,0))</f>
        <v>C1</v>
      </c>
      <c r="R10" s="178" t="str">
        <f>IF($Q$5=8,K12,IF($Q$5=9,O13,IF($Q$5=10,J12,IF($Q$5=11,J10,IF($Q$5=12,J10,IF($Q$5=13,J11,IF($Q$5=14,J11,IF($Q$5=15,J11,IF($Q$5=16,J11,IF($Q$5=17,J10,IF($Q$5=18,J10,IF($Q$5=19,J11,IF($Q$5=20,J10,IF($Q$5=21,J10,IF($Q$5=22,J11,IF($Q$5=23,J11,IF($Q$5=24,J11,IF($Q$5=25,J11,IF($Q$5=26,J11,IF($Q$5=27,J11,IF($Q$5=28,J11,IF($Q$5=29,J11,IF($Q$5=30,J11,IF($Q$5=31,J11,IF($Q$5=32,J11,IF($Q$5=33,J11,IF($Q$5=34,J11,IF($Q$5=35,J11,IF($Q$5=36,J11,IF($Q$5=37,J11,IF($Q$5=38,J11,IF($Q$5=39,J11,IF($Q$5=40,J11,IF($Q$5=41,J11,IF($Q$5=42,J11,IF($Q$5=43,J11,IF($Q$5=44,J11,IF($Q$5=45,J11,IF($Q$5=46,J11,IF($Q$5=47,J11,IF($Q$5=48,J11,IF($Q$5=49,J11,IF($Q$5=50,J11,IF($Q$5=51,J11,IF($Q$5=52,J11,IF($Q$5=53,J11,IF($Q$5=54,J11,0)))))))))))))))))))))))))))))))))))))))))))))))</f>
        <v>A2</v>
      </c>
      <c r="S10" s="157" t="str">
        <f>IF($Q$5=8,L11,IF($Q$5=9,L11,IF($Q$5=10,K10,IF($Q$5=11,K13,IF($Q$5=12,K13,IF($Q$5=13,L10,IF($Q$5=14,K12,IF($Q$5=15,K13,IF($Q$5=16,K12,IF($Q$5=17,K13,IF($Q$5=18,K13,IF($Q$5=19,K13,IF($Q$5=20,P17,IF($Q$5=21,K13,IF($Q$5=22,K13,IF($Q$5=23,K13,IF($Q$5=24,K16,IF($Q$5=25,K13,IF($Q$5=26,K16,IF($Q$5=27,K13,IF($Q$5=28,K13,IF($Q$5=29,K13,IF($Q$5=30,K13,IF($Q$5=31,K13,IF($Q$5=32,K13,IF($Q$5=33,K13,IF($Q$5=34,K13,IF($Q$5=35,K13,IF($Q$5=36,K12,IF($Q$5=37,K12,IF($Q$5=38,K12,IF($Q$5=39,K12,IF($Q$5=40,K12,IF($Q$5=41,K12,IF($Q$5=42,K12,IF($Q$5=43,K12,IF($Q$5=44,K12,IF($Q$5=45,K12,IF($Q$5=46,K12,IF($Q$5=47,K12,IF($Q$5=48,K12,IF($Q$5=49,K12,IF($Q$5=50,K12,IF($Q$5=51,K12,IF($Q$5=52,K12,IF($Q$5=53,K12,IF($Q$5=54,K12,0)))))))))))))))))))))))))))))))))))))))))))))))</f>
        <v>B4</v>
      </c>
      <c r="T10" s="179" t="str">
        <f>IF($Q$5=9,P13,IF($Q$5=10,L12,IF($Q$5=11,L11,IF($Q$5=12,L12,IF($Q$5=13,P15,IF($Q$5=14,P15,IF($Q$5=15,P14,IF($Q$5=16,L13,IF($Q$5=17,L12,IF($Q$5=18,L12,IF($Q$5=19,P17,IF($Q$5=20,L12,IF($Q$5=21,P10,IF($Q$5=22,L12,IF($Q$5=23,L12,IF($Q$5=24,L12,IF($Q$5=25,L12,IF($Q$5=26,L12,IF($Q$5=27,L12,IF($Q$5=28,L12,IF($Q$5=29,L12,IF($Q$5=30,L12,IF($Q$5=31,L12,IF($Q$5=32,L12,IF($Q$5=33,L12,IF($Q$5=34,L12,IF($Q$5=35,L12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)))))))</f>
        <v>C3</v>
      </c>
      <c r="U10" s="191" t="str">
        <f>IF($Q$5=8,J11,IF($Q$5=9,R11,IF($Q$5=10,J13,IF($Q$5=11,J13,IF($Q$5=12,J10,IF($Q$5=13,R12,IF($Q$5=14,R11,IF($Q$5=15,R11,IF($Q$5=16,R15,IF($Q$5=17,R10,IF(Q$5=18,R10,IF($Q$5=19,R13,IF($Q$5=20,R10,IF($Q$5=21,O10,IF($Q$5=22,R17,IF($Q$5=23,R11,IF($Q$5=24,R17,IF($Q$5=25,R19,IF($Q$5=26,R19,IF($Q$5=27,R18,IF($Q$5=28,R19,IF($Q$5=29,R19,IF($Q$5=30,R19,IF($Q$5=31,R20,IF($Q$5=32,R21,IF($Q$5=33,O10,IF($Q$5=34,O10,IF($Q$5=35,R21,IF($Q$5=36,O12,IF($Q$5=37,R11,IF($Q$5=38,R11,IF($Q$5=39,R11,IF($Q$5=40,R11,IF($Q$5=41,R11,IF($Q$5=42,R11,IF($Q$5=43,R11,IF($Q$5=44,R11,IF($Q$5=45,R11,IF($Q$5=46,R11,IF($Q$5=47,R11,IF($Q$5=48,R11,IF($Q$5=49,R11,IF($Q$5=50,R11,IF($Q$5=51,R11,IF($Q$5=52,R11,IF($Q$5=53,R11,IF($Q$5=54,R11,0)))))))))))))))))))))))))))))))))))))))))))))))</f>
        <v>A1</v>
      </c>
      <c r="V10" s="157" t="str">
        <f>IF($Q$5=8,L10,IF($Q$5=9,T10,IF($Q$5=10,K12,IF($Q$5=11,S12,IF($Q$5=12,P12,IF($Q$5=13,S13,IF($Q$5=14,S12,IF($Q$5=15,S14,IF($Q$5=16,S10,IF($Q$5=17,S13,IF($Q$5=18,S13,IF($Q$5=19,S14,IF($Q$5=20,S13,IF($Q$5=21,S13,IF($Q$5=22,S13,IF($Q$5=23,S13,IF($Q$5=24,S13,IF($Q$5=25,S10,IF($Q$5=26,S13,IF($Q$5=27,S13,IF($Q$5=28,S10,IF($Q$5=29,S13,IF($Q$5=30,S13,IF($Q$5=31,S13,IF($Q$5=32,S10,IF($Q$5=33,S10,IF($Q$5=34,S10,IF($Q$5=35,S10,IF($Q$5=36,S12,IF($Q$5=37,S12,IF($Q$5=38,S12,IF($Q$5=39,S12,IF($Q$5=40,S12,IF($Q$5=41,S12,IF($Q$5=42,S12,IF($Q$5=43,S12,IF($Q$5=44,S12,IF($Q$5=45,S12,IF($Q$5=46,S12,IF($Q$5=47,S12,IF($Q$5=48,S12,IF($Q$5=49,S12,IF($Q$5=50,S12,IF($Q$5=51,S12,IF($Q$5=52,S12,IF($Q$5=53,S12,IF($Q$5=54,S12,0)))))))))))))))))))))))))))))))))))))))))))))))</f>
        <v>B3</v>
      </c>
      <c r="W10" s="172" t="str">
        <f>IF($Q$5=9,L11,IF($Q$5=10,L11,IF($Q$5=11,T11,IF($Q$5=12,T11,IF($Q$5=13,S11,IF($Q$5=14,S14,IF($Q$5=15,T12,IF($Q$5=16,T11,IF($Q$5=17,T12,IF($Q$5=18,T12,IF($Q$5=19,T12,IF($Q$5=20,T12,IF($Q$5=21,T12,IF($Q$5=22,T12,IF(Q$5=23,T12,IF($Q$5=24,T12,IF($Q$5=25,T12,IF($Q$5=26,T12,IF($Q$5=27,T12,IF($Q$5=28,T12,IF($Q$5=29,T11,IF($Q$5=30,T12,IF($Q$5=31,T12,IF($Q$5=32,T11,IF($Q$5=33,T11,IF($Q$5=34,T11,IF($Q$5=35,T11,IF($Q$5=36,T13,IF($Q$5=37,T13,IF($Q$5=38,T13,IF($Q$5=39,T13,IF($Q$5=40,T13,IF($Q$5=41,T13,IF($Q$5=42,T13,IF($Q$5=43,T13,IF($Q$5=44,T13,IF($Q$5=45,T13,IF($Q$5=46,T13,IF($Q$5=47,T13,IF($Q$5=48,T13,IF($Q$5=49,T13,IF($Q$5=50,T13,IF($Q$5=51,T13,IF($Q$5=52,T13,IF($Q$5=53,T13,IF($Q$5=54,T13,0))))))))))))))))))))))))))))))))))))))))))))))</f>
        <v>C5</v>
      </c>
      <c r="X10" s="23"/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3</v>
      </c>
      <c r="AR10" s="99">
        <f t="shared" ref="AR10:AR62" si="4">IF(ISNA(VLOOKUP(AP10,$Z$11:$AC$81,4,0))," ",IF(VLOOKUP(AP10,$Z$11:$AC$81,4,0)=0,"0",VLOOKUP(AP10,$Z$11:$AC$81,4,0)))</f>
        <v>2</v>
      </c>
      <c r="AS10" s="219">
        <f t="shared" ref="AS10:AS62" si="5">IF(ISNA(VLOOKUP(AP10,$Z$11:$AC$81,2,0))," ",IF(VLOOKUP(AP10,$Z$11:$AC$81,2,0)=0,"0",VLOOKUP(AP10,$Z$11:$AC$81,2,0)))</f>
        <v>10</v>
      </c>
      <c r="AT10" s="328">
        <f t="shared" ref="AT10:AT62" si="6">IF(ISNA(VLOOKUP(AP10,$AE$11:$AH$81,3,0))," ",IF(VLOOKUP(AP10,$AE$11:$AH$81,3,0)=0,"0",VLOOKUP(AP10,$AE$11:$AH$81,3,0)))</f>
        <v>1</v>
      </c>
      <c r="AU10" s="329">
        <f t="shared" ref="AU10:AU62" si="7">IF(ISNA(VLOOKUP(AP10,$AE$11:$AH$81,4,0))," ",IF(VLOOKUP(AP10,$AE$11:$AH$81,4,0)=0,"0",VLOOKUP(AP10,$AE$11:$AH$81,4,0)))</f>
        <v>-4</v>
      </c>
      <c r="AV10" s="330">
        <f t="shared" ref="AV10:AV62" si="8">IF(ISNA(VLOOKUP(AP10,$AE$11:$AH$81,2,0))," ",IF(VLOOKUP(AP10,$AE$11:$AH$81,2,0)=0,"0",VLOOKUP(AP10,$AE$11:$AH$81,2,0)))</f>
        <v>5</v>
      </c>
      <c r="AW10" s="286">
        <f t="shared" ref="AW10:AW62" si="9">IF(ISNA(VLOOKUP(AP10,$AJ$11:$AM$81,3,0))," ",IF(VLOOKUP(AP10,$AJ$11:$AM$81,3,0)=0,"0",VLOOKUP(AP10,$AJ$11:$AM$81,3,0)))</f>
        <v>1</v>
      </c>
      <c r="AX10" s="99">
        <f t="shared" ref="AX10:AX62" si="10">IF(ISNA(VLOOKUP(AP10,$AJ$11:$AM$81,4,0))," ",IF(VLOOKUP(AP10,$AJ$11:$AM$81,4,0)=0,"0",VLOOKUP(AP10,$AJ$11:$AM$81,4,0)))</f>
        <v>-3</v>
      </c>
      <c r="AY10" s="291">
        <f t="shared" ref="AY10:AY62" si="11">IF(ISNA(VLOOKUP(AP10,$AJ$11:$AM$81,2,0))," ",IF(VLOOKUP(AP10,$AJ$11:$AM$81,2,0)=0,"0",VLOOKUP(AP10,$AJ$11:$AM$81,2,0)))</f>
        <v>6</v>
      </c>
      <c r="AZ10" s="286">
        <f>SUMIFS(AQ10:AW10,$AQ$8:$AW$8,"Pts",AQ10:AW10,"&lt;&gt;#N/A")</f>
        <v>5</v>
      </c>
      <c r="BA10" s="99">
        <f t="shared" ref="BA10:BA62" si="12">SUMIFS(AQ10:AX10,$AQ$8:$AX$8,"GA",AQ10:AX10,"&lt;&gt;#N/A")</f>
        <v>-5</v>
      </c>
      <c r="BB10" s="291">
        <f t="shared" ref="BB10:BB62" si="13">SUMIFS(AQ10:AY10,$AQ$8:$AY$8,"Score",AQ10:AY10,"&lt;&gt;#N/A")</f>
        <v>21</v>
      </c>
      <c r="BC10" s="294">
        <f t="shared" ref="BC10:BC62" si="14">IF(BA10="","",IF(BA10&lt;0,BA10,0))</f>
        <v>-5</v>
      </c>
      <c r="BD10" s="7">
        <f t="shared" ref="BD10:BD62" si="15">IF(BA10="","",IF(BA10&gt;0,BA10,0))</f>
        <v>0</v>
      </c>
      <c r="BE10" s="218">
        <f t="shared" ref="BE10:BE62" si="16">IF(OR(AP10="",AZ10="",BA10="",BB10=""),"",RANK(AZ10,$AZ$9:$AZ$62)+SUM(-BA10/100)-(+BB10/10000)+COUNTIF(AP$9:AP$62,"&lt;="&amp;AP10+1)/1000000+ROW()/100000000)</f>
        <v>9.0479000999999997</v>
      </c>
      <c r="BF10" s="99">
        <f>IF(AP10="","",SMALL(BE$9:BE$62,ROWS(AZ$9:AZ10)))</f>
        <v>1.93730011</v>
      </c>
      <c r="BG10" s="88"/>
      <c r="BH10" s="95" t="str">
        <f>IF(OR(AP10="",AZ10=""),"",INDEX($AP$9:$AP$63,MATCH(BF10,$BE$9:BE$62,0)))</f>
        <v>A3</v>
      </c>
      <c r="BI10" s="294">
        <f t="shared" si="0"/>
        <v>7</v>
      </c>
      <c r="BJ10" s="7">
        <f t="shared" si="1"/>
        <v>6</v>
      </c>
      <c r="BK10" s="7">
        <f t="shared" si="2"/>
        <v>27</v>
      </c>
      <c r="BL10" s="279">
        <f>IF(BF10="","",IF(AND(BI9=BI10,BJ9=BJ10,BK9=BK10),BL9,$BL$9+1))</f>
        <v>2</v>
      </c>
      <c r="BM10" s="29"/>
      <c r="BN10" s="3"/>
    </row>
    <row r="11" spans="1:66" ht="21" thickBot="1">
      <c r="A11" s="131">
        <v>2</v>
      </c>
      <c r="B11" s="393" t="s">
        <v>67</v>
      </c>
      <c r="C11" s="272">
        <f>IF($Q$5&gt;7,2,0)</f>
        <v>2</v>
      </c>
      <c r="D11" s="395" t="s">
        <v>85</v>
      </c>
      <c r="E11" s="272">
        <f>IF($Q$5&gt;7,2,0)</f>
        <v>2</v>
      </c>
      <c r="F11" s="396" t="s">
        <v>103</v>
      </c>
      <c r="G11" s="272">
        <f>IF($Q$5&gt;7,2,0)</f>
        <v>2</v>
      </c>
      <c r="H11" s="23"/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M11" s="155"/>
      <c r="N11" s="52" t="s">
        <v>5</v>
      </c>
      <c r="O11" s="141" t="str">
        <f>IF($Q$5&gt;=8,J11,0)</f>
        <v>A2</v>
      </c>
      <c r="P11" s="144" t="str">
        <f>IF($Q$5&gt;=8,K11,0)</f>
        <v>B2</v>
      </c>
      <c r="Q11" s="152" t="str">
        <f>IF($Q$5=10,L11,IF($Q$5=11,L11,IF($Q$5=12,L11,IF($Q$5=14,L11,IF($Q$5=15,L11,IF($Q$5=16,L11,IF($Q$5=17,L11,IF($Q$5=18,L11,IF($Q$5=19,L11,IF($Q$5=20,L11,IF($Q$5=21,L11,IF($Q$5=22,L11,IF($Q$5=23,L11,IF($Q$5=24,L11,IF($Q$5=25,L11,IF($Q$5=26,L11,IF($Q$5=27,L11,IF($Q$5=28,L11,IF($Q$5=29,L11,IF($Q$5=30,L11,IF($Q$5=31,L11,IF($Q$5=32,L11,IF($Q$5=33,L11,IF($Q$5=34,L11,IF($Q$5=35,L11,IF($Q$5=36,L11,IF($Q$5=37,L11,IF($Q$5=38,L11,IF($Q$5=39,L11,IF($Q$5=40,L11,IF($Q$5=41,L11,IF($Q$5=42,L11,IF($Q$5=43,L11,IF($Q$5=44,L11,IF($Q$5=45,L11,IF($Q$5=46,L11,IF($Q$5=47,L11,IF($Q$5=48,L11,IF($Q$5=49,L11,IF($Q$5=50,L11,IF($Q$5=51,L11,IF($Q$5=52,L11,IF($Q$5=53,L11,IF($Q$5=54,L11,0))))))))))))))))))))))))))))))))))))))))))))</f>
        <v>C2</v>
      </c>
      <c r="R11" s="158" t="str">
        <f>IF($Q$5=8,J10,IF($Q$5=9,O10,IF($Q$5=10,J13,IF($Q$5=11,J12,IF($Q$5=12,J13,IF($Q$5=13,J12,IF($Q$5=14,J12,IF($Q$5=15,J12,IF($Q$5=16,J12,IF($Q$5=17,J12,IF($Q$5=18,J12,IF($Q$5=19,J13,IF($Q$5=20,J12,IF($Q$5=21,J12,IF($Q$5=22,J12,IF($Q$5=23,J12,IF($Q$5=24,J12,IF($Q$5=25,J12,IF($Q$5=26,J12,IF($Q$5=27,J12,IF($Q$5=28,J12,IF($Q$5=29,J12,IF($Q$5=30,J12,IF($Q$5=31,J12,IF($Q$5=32,J12,IF($Q$5=33,J12,IF($Q$5=34,J12,IF($Q$5=35,J12,IF($Q$5=36,J12,IF($Q$5=37,J12,IF($Q$5=38,J12,IF($Q$5=39,J12,IF($Q$5=40,J12,IF($Q$5=41,J12,IF($Q$5=42,J12,IF($Q$5=43,J12,IF($Q$5=44,J12,IF($Q$5=45,J12,IF($Q$5=46,J12,IF($Q$5=47,J12,IF($Q$5=48,J12,IF($Q$5=49,J12,IF($Q$5=50,J12,IF($Q$5=51,J12,IF($Q$5=52,J12,IF($Q$5=53,J12,IF($Q$5=54,J12,0)))))))))))))))))))))))))))))))))))))))))))))))</f>
        <v>A3</v>
      </c>
      <c r="S11" s="159" t="str">
        <f>IF($Q$5=8,L10,IF($Q$5=9,K11,IF($Q$5=10,L11,IF($Q$5=11,K10,IF($Q$5=12,K12,IF($Q$5=13,P13,IF($Q$5=14,K13,IF($Q$5=15,K10,IF($Q$5=16,K13,IF($Q$5=17,K14,IF($Q$5=18,K14,IF($Q$5=19,K14,IF($Q$5=20,K14,IF($Q$5=21,K14,IF($Q$5=22,K14,IF($Q$5=23,K14,IF($Q$5=24,K14,IF($Q$5=25,K14,IF($Q$5=26,K14,IF(Q$5=27,K14,IF($Q$5=28,K14,IF($Q$5=29,K14,IF($Q$5=30,K14,IF($Q$5=31,K14,IF($Q$5=32,K14,IF($Q$5=33,K14,IF($Q$5=34,K14,IF($Q$5=35,K14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B5</v>
      </c>
      <c r="T11" s="180" t="str">
        <f>IF($Q$5=10,L10,IF($Q$5=11,L12,IF($Q$5=12,L11,IF($Q$5=14,L10,IF($Q$5=15,P15,IF($Q$5=16,P15,IF($Q$5=17,L11,IF($Q$5=18,L13,IF($Q$5=19,L10,IF($Q$5=20,L11,IF($Q$5=21,P17,IF($Q$5=22,L13,IF($Q$5=23,L13,IF($Q$5=24,L13,IF($Q$5=25,L13,IF($Q$5=26,L13,IF($Q$5=27,L13,IF($Q$5=28,L13,IF($Q$5=29,L10,IF($Q$5=30,L10,IF($Q$5=31,L13,IF($Q$5=32,L11,IF($Q$5=33,L11,IF($Q$5=34,L11,IF($Q$5=35,L11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))))))))</f>
        <v>C1</v>
      </c>
      <c r="U11" s="185" t="str">
        <f>IF($Q$5=8,J12,IF($Q$5=9,R12,IF($Q$5=10,J10,IF($Q$5=11,O11,IF($Q$5=12,O12,IF($Q$5=13,R11,IF($Q$5=14,R12,IF($Q$5=15,O13,IF($Q$5=16,O12,IF($Q$5=17,R12,IF($Q$5=18,R14,IF($Q$5=19,R14,IF($Q$5=20,R13,IF($Q$5=21,O14,IF($Q$5=22,O12,IF(Q$5=23,R13,IF($Q$5=24,O13,IF($Q$5=25,R12,IF($Q$5=26,O13,IF($Q$5=27,O13,IF($Q$5=28,O13,IF($Q$5=29,O13,IF($Q$5=30,O13,IF($Q$5=31,O13,IF($Q$5=32,R12,IF($Q$5=33,O13,IF($Q$5=34,O13,IF($Q$5=35,R12,IF($Q$5=36,O13,IF($Q$5=37,O13,IF($Q$5=38,O13,IF($Q$5=39,O13,IF($Q$5=40,O13,IF($Q$5=41,O13,IF($Q$5=42,R12,IF($Q$5=43,R12,IF($Q$5=44,O13,IF($Q$5=45,O13,IF($Q$5=46,R12,IF($Q$5=47,O13,IF($Q$5=48,O13,IF($Q$5=49,O13,IF($Q$5=50,O13,IF($Q$5=51,O13,IF($Q$5=52,O13,IF($Q$5=53,R12,IF($Q$5=54,O13,0)))))))))))))))))))))))))))))))))))))))))))))))</f>
        <v>A4</v>
      </c>
      <c r="V11" s="163" t="str">
        <f>IF($Q$5=8,K10,IF($Q$5=9,S12,IF($Q$5=10,K10,IF(Q$5=11,S10,IF($Q$5=12,S10,IF($Q$5=13,R15,IF($Q$5=14,S10,IF($Q$5=15,S10,IF($Q$5=16,S11,IF($Q$5=17,S10,IF($Q$5=18,S12,IF($Q$5=19,S10,IF($Q$5=20,S10,IF($Q$5=21,S17,IF($Q$5=22,S10,IF($Q$5=23,S10,IF($Q$5=24,S10,IF($Q$5=25,S13,IF($Q$5=26,S10,IF($Q$5=27,S10,IF($Q$5=28,S13,IF($Q$5=29,S10,IF($Q$5=30,S11,IF($Q$5=31,S10,IF($Q$5=32,S11,IF($Q$5=33,S11,IF($Q$5=34,S11,IF($Q$5=35,S11,IF($Q$5=36,S13,IF($Q$5=37,S13,IF($Q$5=38,S13,IF($Q$5=39,S13,IF($Q$5=40,S13,IF($Q$5=41,S13,IF($Q$5=42,S13,IF($Q$5=43,S13,IF($Q$5=44,S13,IF($Q$5=45,S13,IF($Q$5=46,S13,IF($Q$5=47,S13,IF($Q$5=48,S13,IF($Q$5=49,S13,IF($Q$5=50,S13,IF($Q$5=51,S13,IF($Q$5=52,S13,IF($Q$5=53,S13,IF($Q$5=54,S13,0)))))))))))))))))))))))))))))))))))))))))))))))</f>
        <v>B5</v>
      </c>
      <c r="W11" s="173" t="str">
        <f>IF($Q$5=10,L12,IF($Q$5=11,T10,IF($Q$5=12,Q10,IF(Q$5=14,T11,IF($Q$5=15,T11,IF(Q$5=16,S15,IF($Q$5=17,T13,IF($Q$5=18,T13,IF($Q$5=19,S17,IF($Q$5=20,T11,IF($Q$5=21,T10,IF($Q$5=22,T13,IF($Q$5=23,T13,IF($Q$5=24,T13,IF($Q$5=25,T13,IF($Q$5=26,T13,IF($Q$5=27,T13,IF($Q$5=28,T13,IF($Q$5=29,T13,IF($Q$5=30,T13,IF($Q$5=31,T13,IF($Q$5=32,T10,IF($Q$5=33,T10,IF($Q$5=34,T10,IF($Q$5=35,T10,IF($Q$5=36,T14,IF($Q$5=37,T14,IF($Q$5=38,T14,IF($Q$5=39,T14,IF($Q$5=40,T14,IF($Q$5=41,T14,IF($Q$5=42,T14,IF($Q$5=43,T14,IF($Q$5=44,T14,IF($Q$5=45,T14,IF($Q$5=46,T14,IF($Q$5=47,T14,IF($Q$5=48,T14,IF($Q$5=49,T14,IF($Q$5=50,T14,IF($Q$5=51,T14,IF($Q$5=52,T14,IF($Q$5=53,T14,IF($Q$5=54,T14,0))))))))))))))))))))))))))))))))))))))))))))</f>
        <v>C6</v>
      </c>
      <c r="X11" s="23"/>
      <c r="Y11" s="446">
        <v>1</v>
      </c>
      <c r="Z11" s="12" t="str">
        <f>+O10</f>
        <v>A1</v>
      </c>
      <c r="AA11" s="33">
        <v>8</v>
      </c>
      <c r="AB11" s="48">
        <f>IF(AA11+AA15=0,0,IF(AA11=AA15,2,IF(AA11&gt;AA15,3,1)))</f>
        <v>1</v>
      </c>
      <c r="AC11" s="13">
        <f>AA11-AA15</f>
        <v>-2</v>
      </c>
      <c r="AD11" s="24"/>
      <c r="AE11" s="12" t="str">
        <f>+R10</f>
        <v>A2</v>
      </c>
      <c r="AF11" s="126">
        <v>5</v>
      </c>
      <c r="AG11" s="48">
        <f>IF(AF11+AF15=0,0,IF(AF11=AF15,2,IF(AF11&gt;AF15,3,1)))</f>
        <v>1</v>
      </c>
      <c r="AH11" s="13">
        <f>AF11-AF15</f>
        <v>-4</v>
      </c>
      <c r="AI11" s="24"/>
      <c r="AJ11" s="12" t="str">
        <f>+U10</f>
        <v>A1</v>
      </c>
      <c r="AK11" s="36">
        <v>13</v>
      </c>
      <c r="AL11" s="48">
        <f>IF(AK11+AK15=0,0,IF(AK11=AK15,2,IF(AK11&gt;AK15,3,1)))</f>
        <v>3</v>
      </c>
      <c r="AM11" s="13">
        <f>AK11-AK15</f>
        <v>11</v>
      </c>
      <c r="AN11" s="23"/>
      <c r="AO11" s="54">
        <v>3</v>
      </c>
      <c r="AP11" s="321" t="str">
        <f>+Inscrits!B5</f>
        <v>A3</v>
      </c>
      <c r="AQ11" s="286">
        <f t="shared" si="3"/>
        <v>1</v>
      </c>
      <c r="AR11" s="99">
        <f t="shared" si="4"/>
        <v>-3</v>
      </c>
      <c r="AS11" s="219">
        <f t="shared" si="5"/>
        <v>8</v>
      </c>
      <c r="AT11" s="328">
        <f t="shared" si="6"/>
        <v>3</v>
      </c>
      <c r="AU11" s="329">
        <f t="shared" si="7"/>
        <v>4</v>
      </c>
      <c r="AV11" s="330">
        <f t="shared" si="8"/>
        <v>9</v>
      </c>
      <c r="AW11" s="286">
        <f t="shared" si="9"/>
        <v>3</v>
      </c>
      <c r="AX11" s="99">
        <f t="shared" si="10"/>
        <v>5</v>
      </c>
      <c r="AY11" s="291">
        <f t="shared" si="11"/>
        <v>10</v>
      </c>
      <c r="AZ11" s="286">
        <f t="shared" ref="AZ11:AZ62" si="17">SUMIFS(AQ11:AW11,$AQ$8:$AW$8,"Pts",AQ11:AW11,"&lt;&gt;#N/A")</f>
        <v>7</v>
      </c>
      <c r="BA11" s="99">
        <f t="shared" si="12"/>
        <v>6</v>
      </c>
      <c r="BB11" s="291">
        <f t="shared" si="13"/>
        <v>27</v>
      </c>
      <c r="BC11" s="294">
        <f t="shared" si="14"/>
        <v>0</v>
      </c>
      <c r="BD11" s="7">
        <f t="shared" si="15"/>
        <v>6</v>
      </c>
      <c r="BE11" s="218">
        <f t="shared" si="16"/>
        <v>1.93730011</v>
      </c>
      <c r="BF11" s="99">
        <f>IF(AP11="","",SMALL(BE$9:BE$62,ROWS(AZ$9:AZ11)))</f>
        <v>1.9373004600000001</v>
      </c>
      <c r="BG11" s="88"/>
      <c r="BH11" s="95" t="str">
        <f>IF(OR(AP11="",AZ11=""),"",INDEX($AP$9:$AP$63,MATCH(BF11,$BE$9:BE$62,0)))</f>
        <v>C2</v>
      </c>
      <c r="BI11" s="294">
        <f t="shared" si="0"/>
        <v>7</v>
      </c>
      <c r="BJ11" s="7">
        <f t="shared" si="1"/>
        <v>6</v>
      </c>
      <c r="BK11" s="7">
        <f t="shared" si="2"/>
        <v>27</v>
      </c>
      <c r="BL11" s="280">
        <f>IF(BF11="","",IF(AND(BI10=BI11,BJ10=BJ11,BK10=BK11),BL10,$BL$9+2))</f>
        <v>2</v>
      </c>
      <c r="BM11" s="29"/>
      <c r="BN11" s="3"/>
    </row>
    <row r="12" spans="1:66" ht="21" thickBot="1">
      <c r="A12" s="131">
        <v>3</v>
      </c>
      <c r="B12" s="393" t="s">
        <v>68</v>
      </c>
      <c r="C12" s="272">
        <f>IF($Q$5&gt;7,3,0)</f>
        <v>3</v>
      </c>
      <c r="D12" s="395" t="s">
        <v>86</v>
      </c>
      <c r="E12" s="272">
        <f>IF($Q$5&gt;7,3,0)</f>
        <v>3</v>
      </c>
      <c r="F12" s="396" t="s">
        <v>104</v>
      </c>
      <c r="G12" s="272">
        <f>IF($Q$5=8,0,3)</f>
        <v>3</v>
      </c>
      <c r="H12" s="23"/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M12" s="155"/>
      <c r="N12" s="82">
        <v>2</v>
      </c>
      <c r="O12" s="138" t="str">
        <f>IF($Q$5&gt;=8,J12,0)</f>
        <v>A3</v>
      </c>
      <c r="P12" s="139" t="str">
        <f>IF($Q$5&gt;=10,K12,IF($Q$5=8,L10,IF($Q$5=9,L11,0)))</f>
        <v>B3</v>
      </c>
      <c r="Q12" s="153" t="str">
        <f>IF($Q$5=11,L12,IF($Q$5=12,L12,IF($Q$5=15,L14,IF($Q$5=16,L12,IF($Q$5=17,L12,IF($Q$5=18,L12,IF($Q$5=19,L12,IF($Q$5=20,L12,IF($Q$5=21,L12,IF($Q$5=22,L12,IF($Q$5=23,L12,IF($Q$5=24,L12,IF($Q$5=25,L12,IF($Q$5=26,L12,IF($Q$5=27,L12,IF($Q$5=28,L12,IF($Q$5=29,L12,IF($Q$5=30,L12,IF($Q$5=31,L12,IF($Q$5=32,L12,IF($Q$5=33,L12,IF($Q$5=34,L12,IF($Q$5=35,L12,IF($Q$5=36,L12,IF($Q$5=37,L12,IF($Q$5=38,L12,IF($Q$5=39,L12,IF($Q$5=40,L12,IF($Q$5=41,L12,IF($Q$5=42,L12,IF($Q$5=43,L12,IF($Q$5=44,L12,IF($Q$5=45,L12,IF($Q$5=46,L12,IF($Q$5=47,L12,IF($Q$5=48,L12,IF($Q$5=49,L12,IF($Q$5=50,L12,IF($Q$5=51,L12,IF($Q$5=52,L12,IF($Q$5=53,L12,IF($Q$5=54,L12,0))))))))))))))))))))))))))))))))))))))))))</f>
        <v>C3</v>
      </c>
      <c r="R12" s="160" t="str">
        <f>IF($Q$5=8,J11,IF($Q$5=9,O11,IF($Q$5=10,J10,IF($Q$5=11,J11,IF(Q$5=12,J12,IF($Q$5=13,J10,IF($Q$5=14,J13,IF($Q$5=15,J13,IF($Q$5=16,J13,IF($Q$5=17,J14,IF($Q$5=18,J14,IF($Q$5=19,J12,IF($Q$5=20,J11,IF($Q$5=21,J11,IF($Q$5=22,J13,IF($Q$5=23,J13,IF($Q$5=24,J13,IF($Q$5=25,J13,IF($Q$5=26,J13,IF($Q$5=27,J13,IF($Q$5=28,J13,IF($Q$5=29,J13,IF($Q$5=30,J13,IF($Q$5=31,J13,IF($Q$5=32,J13,IF($Q$5=33,J13,IF($Q$5=34,J13,IF($Q$5=35,J13,IF($Q$5=36,J13,IF($Q$5=37,J13,IF($Q$5=38,J13,IF($Q$5=39,J13,IF($Q$5=40,J13,IF($Q$5=41,J13,IF($Q$5=42,J13,IF($Q$5=43,J13,IF($Q$5=44,J13,IF($Q$5=45,J13,IF($Q$5=46,J13,IF($Q$5=47,J13,IF($Q$5=48,J13,IF($Q$5=49,J13,IF($Q$5=50,C13,IF($Q$5=51,C13,IF($Q$5=52,C13,IF($Q$5=53,O13,IF($Q$5=54,O13,0)))))))))))))))))))))))))))))))))))))))))))))))</f>
        <v>A4</v>
      </c>
      <c r="S12" s="157" t="str">
        <f>IF($Q$5=8,K11,IF($Q$5=9,P10,IF($Q$5=10,K11,IF($Q$5=11,K11,IF($Q$5=12,K11,IF($Q$5=13,K11,IF($Q$5=14,K10,IF($Q$5=15,K11,IF($Q$5=16,K14,IF($Q$5=17,K11,IF($Q$5=18,K11,IF($Q$5=19,K11,IF($Q$5=20,K10,IF($Q$5=21,K11,IF($Q$5=22,K11,IF($Q$5=23,K15,IF($Q$5=24,K10,IF($Q$5=25,K11,IF($Q$5=26,K11,IF($Q$5=27,K11,IF($Q$5=28,K11,IF($Q$5=29,K11,IF($Q$5=30,K11,IF($Q$5=31,K10,IF($Q$5=32,K11,IF($Q$5=33,K11,IF($Q$5=34,K11,IF($Q$5=35,K11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)))))</f>
        <v>B2</v>
      </c>
      <c r="T12" s="179" t="str">
        <f>IF($Q$5=11,L10,IF($Q$5=12,L10,IF($Q$5=15,Q12,IF($Q$5=16,L10,IF($Q$5=17,L13,IF($Q$5=18,L15,IF($Q$5=19,P15,IF($Q$5=20,L13,IF($Q$5=21,L13,IF($Q$5=22,L14,IF($Q$5=23,L11,IF($Q$5=24,L11,IF($Q$5=25,P19,IF($Q$5=26,P19,IF($Q$5=27,P19,IF($Q$5=28,L10,IF($Q$5=29,L13,IF($Q$5=30,L14,IF($Q$5=31,L14,IF($Q$5=32,L14,IF($Q$5=33,L14,IF($Q$5=34,L14,IF($Q$5=35,L14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)))))))))</f>
        <v>C5</v>
      </c>
      <c r="U12" s="165" t="str">
        <f>IF($Q$5=8,J10,IF($Q$5=9,O12,IF($Q$5=10,J11,IF($Q$5=11,O10,IF($Q$5=12,O11,IF($Q$5=13,R14,IF(Q$5=14,R13,IF($Q$5=15,R13,IF(Q$5=16,O14,IF($Q$5=17,O13,IF($Q$5=18,R11,IF($Q$5=19,R12,IF($Q$5=20,R12,IF($Q$5=21,O13,IF($Q$5=22,R10,IF($Q$5=23,O13,IF($Q$5=24,O12,IF($Q$5=25,O12,IF($Q$5=26,O12,IF($Q$5=27,O12,IF($Q$5=28,O12,IF($Q$5=29,O12,IF($Q$5=30,O12,IF($Q$5=31,O12,IF($Q$5=32,O12,IF($Q$5=33,O12,IF($Q$5=34,O12,IF($Q$5=35,R11,IF($Q$5=36,O14,IF($Q$5=37,O14,IF($Q$5=38,O14,IF($Q$5=39,O14,IF($Q$5=40,O14,IF($Q$5=41,O14,IF($Q$5=42,O14,IF($Q$5=43,O14,IF($Q$5=44,O14,IF($Q$5=45,O14,IF($Q$5=46,O14,IF($Q$5=47,O14,IF($Q$5=48,O14,IF($Q$5=49,R13,IF($Q$5=50,O14,IF($Q$5=51,O14,IF($Q$5=52,O14,IF($Q$5=53,O14,IF($Q$5=54,O14,0)))))))))))))))))))))))))))))))))))))))))))))))</f>
        <v>A3</v>
      </c>
      <c r="V12" s="157" t="str">
        <f>IF($Q$5=8,L11,IF($Q$5=9,Q10,IF($Q$5=10,L10,IF($Q$5=11,S13,IF($Q$5=12,P10,IF($Q$5=13,S10,IF($Q$5=14,S13,IF($Q$5=15,S11,IF($Q$5=16,S14,IF($Q$5=17,S11,IF($Q$5=18,S11,IF($Q$5=19,S11,IF($Q$5=20,S11,IF($Q$5=21,S11,IF($Q$5=22,S11,IF($Q$5=23,S11,IF($Q$5=24,S11,IF($Q$5=25,S11,IF($Q$5=26,S11,IF($Q$5=27,S11,IF($Q$5=28,S11,IF($Q$5=29,S11,IF($Q$5=30,S10,IF($Q$5=31,S11,IF($Q$5=32,S16,IF($Q$5=33,S16,IF($Q$5=34,S16,IF($Q$5=35,S16,IF($Q$5=36,S14,IF($Q$5=37,S14,IF($Q$5=38,S14,IF($Q$5=39,S14,IF($Q$5=40,S14,IF($Q$5=41,S14,IF($Q$5=42,S14,IF($Q$5=43,S14,IF($Q$5=44,S14,IF($Q$5=45,S14,IF($Q$5=46,S14,IF($Q$5=47,S14,IF($Q$5=48,S14,IF($Q$5=49,S14,IF($Q$5=50,S14,IF($Q$5=51,S14,IF($Q$5=52,S14,IF($Q$5=53,S14,IF($Q$5=54,S14,0)))))))))))))))))))))))))))))))))))))))))))))))</f>
        <v>B4</v>
      </c>
      <c r="W12" s="172" t="str">
        <f>IF($Q$5=11,T12,IF($Q$5=12,T13,IF($Q$5=14,T14,IF($Q$5=15,S15,IF(Q$5=16,T10,IF($Q$5=17,T14,IF($Q$5=18,T14,IF($Q$5=19,S16,IF($Q$5=20,S16,IF($Q$5=21,T14,IF($Q$5=22,T14,IF($Q$5=23,T14,IF($Q$5=24,T14,IF($Q$5=25,S19,IF($Q$5=26,T14,IF($Q$5=27,T14,IF($Q$5=28,T14,IF($Q$5=29,T14,IF($Q$5=30,T14,IF($Q$5=31,T14,IF($Q$5=32,T12,IF($Q$5=33,T12,IF($Q$5=34,T12,IF($Q$5=35,T12,IF($Q$5=36,T15,IF($Q$5=37,T15,IF($Q$5=38,T15,IF($Q$5=39,T15,IF($Q$5=40,T15,IF($Q$5=41,T15,IF($Q$5=42,T15,IF($Q$5=43,T15,IF($Q$5=44,T15,IF($Q$5=45,T15,IF($Q$5=46,T15,IF($Q$5=47,T15,IF($Q$5=48,T15,IF($Q$5=49,T15,IF($Q$5=50,T15,IF($Q$5=51,T15,IF($Q$5=52,T15,IF($Q$5=53,T15,IF($Q$5=54,T15,0)))))))))))))))))))))))))))))))))))))))))))</f>
        <v>C2</v>
      </c>
      <c r="X12" s="23"/>
      <c r="Y12" s="447"/>
      <c r="Z12" s="14" t="str">
        <f>+P10</f>
        <v>B1</v>
      </c>
      <c r="AA12" s="59">
        <f>IF(ISTEXT(Z12),AA11,0)</f>
        <v>8</v>
      </c>
      <c r="AB12" s="59">
        <f>IF(ISTEXT(Z12),AB11,0)</f>
        <v>1</v>
      </c>
      <c r="AC12" s="60">
        <f>IF(ISTEXT(Z12),AC11,0)</f>
        <v>-2</v>
      </c>
      <c r="AD12" s="11"/>
      <c r="AE12" s="14" t="str">
        <f>+S10</f>
        <v>B4</v>
      </c>
      <c r="AF12" s="59">
        <f>IF(ISTEXT(AE12),AF11,0)</f>
        <v>5</v>
      </c>
      <c r="AG12" s="59">
        <f>IF(ISTEXT(AE12),AG11,0)</f>
        <v>1</v>
      </c>
      <c r="AH12" s="61">
        <f>IF(ISTEXT(AE12),AH11,0)</f>
        <v>-4</v>
      </c>
      <c r="AI12" s="11"/>
      <c r="AJ12" s="14" t="str">
        <f>+V10</f>
        <v>B3</v>
      </c>
      <c r="AK12" s="18">
        <f>IF(ISTEXT(AJ12),AK11,0)</f>
        <v>13</v>
      </c>
      <c r="AL12" s="59">
        <f>IF(ISTEXT(AJ12),AL11,0)</f>
        <v>3</v>
      </c>
      <c r="AM12" s="62">
        <f>IF(ISTEXT(AJ12),AM11,0)</f>
        <v>11</v>
      </c>
      <c r="AN12" s="23"/>
      <c r="AO12" s="54">
        <v>4</v>
      </c>
      <c r="AP12" s="321" t="str">
        <f>+Inscrits!B6</f>
        <v>A4</v>
      </c>
      <c r="AQ12" s="286">
        <f t="shared" si="3"/>
        <v>3</v>
      </c>
      <c r="AR12" s="99">
        <f t="shared" si="4"/>
        <v>3</v>
      </c>
      <c r="AS12" s="219">
        <f t="shared" si="5"/>
        <v>11</v>
      </c>
      <c r="AT12" s="328">
        <f t="shared" si="6"/>
        <v>3</v>
      </c>
      <c r="AU12" s="329">
        <f t="shared" si="7"/>
        <v>2</v>
      </c>
      <c r="AV12" s="330">
        <f t="shared" si="8"/>
        <v>6</v>
      </c>
      <c r="AW12" s="286">
        <f t="shared" si="9"/>
        <v>1</v>
      </c>
      <c r="AX12" s="99">
        <f t="shared" si="10"/>
        <v>-11</v>
      </c>
      <c r="AY12" s="291">
        <f t="shared" si="11"/>
        <v>2</v>
      </c>
      <c r="AZ12" s="286">
        <f t="shared" si="17"/>
        <v>7</v>
      </c>
      <c r="BA12" s="99">
        <f t="shared" si="12"/>
        <v>-6</v>
      </c>
      <c r="BB12" s="291">
        <f t="shared" si="13"/>
        <v>19</v>
      </c>
      <c r="BC12" s="294">
        <f t="shared" si="14"/>
        <v>-6</v>
      </c>
      <c r="BD12" s="7">
        <f t="shared" si="15"/>
        <v>0</v>
      </c>
      <c r="BE12" s="218">
        <f t="shared" si="16"/>
        <v>2.0581001200000002</v>
      </c>
      <c r="BF12" s="99">
        <f>IF(AP12="","",SMALL(BE$9:BE$62,ROWS(AZ$9:AZ12)))</f>
        <v>1.9476003099999999</v>
      </c>
      <c r="BG12" s="88"/>
      <c r="BH12" s="95" t="str">
        <f>IF(OR(AP12="",AZ12=""),"",INDEX($AP$9:$AP$63,MATCH(BF12,$BE$9:BE$62,0)))</f>
        <v>B5</v>
      </c>
      <c r="BI12" s="294">
        <f t="shared" si="0"/>
        <v>7</v>
      </c>
      <c r="BJ12" s="7">
        <f t="shared" si="1"/>
        <v>5</v>
      </c>
      <c r="BK12" s="7">
        <f t="shared" si="2"/>
        <v>24</v>
      </c>
      <c r="BL12" s="280">
        <f>IF(BF12="","",IF(AND(BI11=BI12,BJ11=BJ12,BK11=BK12),BL11,$BL$9+3))</f>
        <v>4</v>
      </c>
      <c r="BM12" s="29"/>
      <c r="BN12" s="3"/>
    </row>
    <row r="13" spans="1:66" ht="21" thickBot="1">
      <c r="A13" s="131">
        <v>4</v>
      </c>
      <c r="B13" s="393" t="s">
        <v>69</v>
      </c>
      <c r="C13" s="273">
        <f>IF($Q$5=8,0,IF($Q$5=9,0,4))</f>
        <v>4</v>
      </c>
      <c r="D13" s="395" t="s">
        <v>87</v>
      </c>
      <c r="E13" s="272">
        <f>IF($Q$5&gt;=11,4,0)</f>
        <v>4</v>
      </c>
      <c r="F13" s="396" t="s">
        <v>105</v>
      </c>
      <c r="G13" s="272">
        <f>IF($Q$5&gt;=12,4,0)</f>
        <v>4</v>
      </c>
      <c r="H13" s="23"/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M13" s="155"/>
      <c r="N13" s="52" t="s">
        <v>5</v>
      </c>
      <c r="O13" s="208" t="str">
        <f>IF($Q$5&gt;=10,J13,IF($Q$5=8,K12,IF($Q$5=9,K12,0)))</f>
        <v>A4</v>
      </c>
      <c r="P13" s="142" t="str">
        <f>IF($Q$5=8,L11,IF($Q$5=9,L12,IF($Q$5=10,L12,IF($Q$5=11,K13,IF($Q$5=12,K13,IF($Q$5=13,L11,IF($Q$5=14,K13,IF($Q$5=15,K13,IF($Q$5=16,K13,IF($Q$5=17,K13,IF($Q$5=18,K13,IF($Q$5=19,K13,IF($Q$5=20,K13,IF($Q$5=21,K13,IF(Q$5=22,K13,IF($Q$5=23,K13,IF($Q$5=24,K13,IF($Q$5=25,K13,IF($Q$5=26,K13,IF($Q$5=27,K13,IF($Q$5=28,K13,IF($Q$5=29,K13,IF($Q$5=30,K13,IF($Q$5=31,K13,IF($Q$5=32,K13,IF($Q$5=33,K13,IF($Q$5=34,K13,IF($Q$5=35,K13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Q13" s="152" t="str">
        <f>IF($Q$5=12,L13,IF($Q$5=16,L13,IF($Q$5=17,L13,IF($Q$5=18,L13,IF($Q$5=20,L13,IF($Q$5=21,L13,IF($Q$5=22,L13,IF($Q$5=23,L13,IF($Q$5=24,L13,IF($Q$5=25,L13,IF($Q$5=26,L13,IF($Q$5=27,L13,IF($Q$5=28,L13,IF($Q$5=29,L13,IF($Q$5=30,L13,IF($Q$5=31,L13,IF($Q$5=32,L13,IF($Q$5=33,L13,IF($Q$5=34,L13,IF($Q$5=35,L13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</f>
        <v>C4</v>
      </c>
      <c r="R13" s="161" t="str">
        <f>IF($Q$5=8,J12,IF($Q$5=9,O12,IF($Q$5=10,J11,IF($Q$5=11,J13,IF($Q$5=12,J11,IF($Q$5=13,J14,IF($Q$5=14,J14,IF($Q$5=15,J14,IF($Q$5=16,J14,IF($Q$5=17,J13,IF($Q$5=18,J11,IF($Q$5=19,J10,IF($Q$5=20,J13,IF($Q$5=21,J14,IF($Q$5=22,J14,IF($Q$5=23,J14,IF($Q$5=24,J14,IF($Q$5=25,J14,IF($Q$5=26,J14,IF($Q$5=27,J14,IF($Q$5=28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))))</f>
        <v>A5</v>
      </c>
      <c r="S13" s="162" t="str">
        <f>IF($Q$5=8,K10,IF($Q$5=9,Q10,IF($Q$5=10,K12,IF($Q$5=11,K12,IF($Q$5=12,K10,IF($Q$5=13,K12,IF($Q$5=14,K11,IF($Q$5=15,P12,IF($Q$5=16,K10,IF($Q$5=17,K12,IF($Q$5=18,K12,IF($Q$5=19,K12,IF($Q$5=20,K12,IF($Q$5=21,K12,IF($Q$5=22,K12,IF($Q$5=23,K16,IF($Q$5=24,K12,IF($Q$5=25,K12,IF($Q$5=26,K12,IF($Q$5=27,K12,IF($Q$5=28,K12,IF($Q$5=29,K12,IF($Q$5=30,K12,IF($Q$5=31,K12,IF($Q$5=32,K12,IF($Q$5=33,K12,IF($Q$5=34,K12,IF($Q$5=35,K12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)))))</f>
        <v>B3</v>
      </c>
      <c r="T13" s="181" t="str">
        <f>IF($Q$5=12,L13,IF($Q$5=16,L11,IF($Q$5=17,L14,IF($Q$5=18,L14,IF($Q$5=19,0,IF($Q$5=20,P16,IF($Q$5=21,L14,IF($Q$5=22,L15,IF($Q$5=23,L16,IF($Q$5=24,L15,IF($Q$5=25,L14,IF($Q$5=26,L14,IF($Q$5=27,L14,IF($Q$5=28,L14,IF($Q$5=29,L14,IF($Q$5=30,L15,IF($Q$5=31,L11,IF($Q$5=32,L13,IF($Q$5=33,L13,IF($Q$5=34,L13,IF($Q$5=35,L13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))))))))))</f>
        <v>C6</v>
      </c>
      <c r="U13" s="184" t="str">
        <f>IF($Q$5=8,K12,IF($Q$5=9,R10,IF($Q$5=10,J12,IF($Q$5=11,O12,IF($Q$5=12,O13,IF($Q$5=13,R13,IF($Q$5=14,R14,IF($Q$5=15,R14,IF(Q$5=16,O15,IF($Q$5=17,R11,IF($Q$5=18,O14,IF($Q$5=19,R11,IF($Q$5=20,R11,IF($Q$5=21,R12,IF($Q$5=22,O13,IF($Q$5=23,R14,IF($Q$5=24,O14,IF($Q$5=25,R13,IF($Q$5=26,O14,IF($Q$5=27,O14,IF($Q$5=28,O14,IF($Q$5=29,O14,IF($Q$5=30,O14,IF($Q$5=31,O14,IF($Q$5=32,O14,IF($Q$5=33,O14,IF($Q$5=34,O14,IF($Q$5=35,R13,IF($Q$5=36,O15,IF($Q$5=37,O15,IF($Q$5=38,O15,IF($Q$5=39,O15,IF($Q$5=40,O15,IF($Q$5=41,O15,IF($Q$5=42,O15,IF($Q$5=43,O15,IF($Q$5=44,O15,IF($Q$5=45,O15,IF($Q$5=46,O15,IF($Q$5=47,O15,IF($Q$5=48,O15,IF($Q$5=49,R14,IF($Q$5=50,O15,IF($Q$5=51,O15,IF($Q$5=52,O15,IF($Q$5=53,O15,IF($Q$5=54,O15,0)))))))))))))))))))))))))))))))))))))))))))))))</f>
        <v>A5</v>
      </c>
      <c r="V13" s="162" t="str">
        <f>IF($Q$5=8,K11,IF($Q$5=9,S11,IF($Q$5=10,K11,IF($Q$5=11,S11,IF($Q$5=12,S12,IF($Q$5=13,S14,IF($Q$5=14,S11,IF($Q$5=15,S12,IF($Q$5=16,S13,IF($Q$5=17,S14,IF($Q$5=18,S14,IF($Q$5=19,S12,IF($Q$5=20,S14,IF($Q$5=21,S14,IF($Q$5=22,S14,IF($Q$5=23,S14,IF($Q$5=24,S14,IF($Q$5=25,S14,IF($Q$5=26,S14,IF($Q$5=27,S14,IF($Q$5=28,S14,IF($Q$5=29,S16,IF($Q$5=30,S14,IF($Q$5=31,S14,IF($Q$5=32,S17,IF($Q$5=33,S17,IF($Q$5=34,S17,IF($Q$5=35,S17,IF($Q$5=36,S15,IF($Q$5=37,S15,IF($Q$5=38,S15,IF($Q$5=39,S15,IF($Q$5=40,S15,IF($Q$5=41,S15,IF($Q$5=42,S15,IF($Q$5=43,S15,IF($Q$5=44,S15,IF($Q$5=45,S15,IF($Q$5=46,S15,IF($Q$5=47,S15,IF($Q$5=48,S15,IF($Q$5=49,S15,IF($Q$5=50,S15,IF($Q$5=51,S15,IF($Q$5=52,S15,IF($Q$5=53,S15,IF($Q$5=54,S15,0)))))))))))))))))))))))))))))))))))))))))))))))</f>
        <v>B6</v>
      </c>
      <c r="W13" s="174" t="str">
        <f>IF($Q$5=12,T10,IF($Q$5=16,T13,IF($Q$5=17,T11,IF($Q$5=18,T15,IF($Q$5=20,T13,IF($Q$5=21,T11,IF($Q$5=22,T15,IF($Q$5=23,T15,IF($Q$5=24,T15,IF($Q$5=25,T14,IF($Q$5=26,T15,IF($Q$5=27,T15,IF($Q$5=28,T15,IF($Q$5=29,T15,IF($Q$5=30,T15,IF($Q$5=31,T15,IF($Q$5=32,T14,IF($Q$5=33,T14,IF($Q$5=34,T14,IF($Q$5=35,T14,IF($Q$5=36,T16,IF($Q$5=37,T16,IF($Q$5=38,T16,IF($Q$5=39,T16,IF($Q$5=40,T16,IF($Q$5=41,T16,IF($Q$5=42,T16,IF($Q$5=43,T16,IF($Q$5=44,T16,IF($Q$5=45,T16,IF($Q$5=46,T16,IF($Q$5=47,T16,IF($Q$5=48,T16,IF($Q$5=49,T16,IF($Q$5=50,T16,IF($Q$5=51,T16,IF($Q$5=52,T16,IF($Q$5=53,T16,IF($Q$5=54,T16,0)))))))))))))))))))))))))))))))))))))))</f>
        <v>C7</v>
      </c>
      <c r="X13" s="23"/>
      <c r="Y13" s="447"/>
      <c r="Z13" s="14" t="str">
        <f>+Q10</f>
        <v>C1</v>
      </c>
      <c r="AA13" s="63">
        <f>IF(ISTEXT(Z13),AA11,0)</f>
        <v>8</v>
      </c>
      <c r="AB13" s="64">
        <f>IF(ISTEXT(Z13),AB11,0)</f>
        <v>1</v>
      </c>
      <c r="AC13" s="65">
        <f>IF(ISTEXT(Z13),AC11,0)</f>
        <v>-2</v>
      </c>
      <c r="AD13" s="11"/>
      <c r="AE13" s="14" t="str">
        <f>+T10</f>
        <v>C3</v>
      </c>
      <c r="AF13" s="63">
        <f>IF(ISTEXT(AE13),AF11,0)</f>
        <v>5</v>
      </c>
      <c r="AG13" s="64">
        <f>IF(ISTEXT(AE13),AG11,0)</f>
        <v>1</v>
      </c>
      <c r="AH13" s="66">
        <f>IF(ISTEXT(AE13),AH11,0)</f>
        <v>-4</v>
      </c>
      <c r="AI13" s="11"/>
      <c r="AJ13" s="14" t="str">
        <f>+W10</f>
        <v>C5</v>
      </c>
      <c r="AK13" s="67">
        <f>IF(ISTEXT(AJ13),AK11,0)</f>
        <v>13</v>
      </c>
      <c r="AL13" s="64">
        <f>IF(ISTEXT(AJ13),AL11,0)</f>
        <v>3</v>
      </c>
      <c r="AM13" s="68">
        <f>IF(ISTEXT(AJ13),AM11,0)</f>
        <v>11</v>
      </c>
      <c r="AN13" s="23"/>
      <c r="AO13" s="54">
        <v>5</v>
      </c>
      <c r="AP13" s="321" t="str">
        <f>+Inscrits!B7</f>
        <v>A5</v>
      </c>
      <c r="AQ13" s="286">
        <f t="shared" si="3"/>
        <v>3</v>
      </c>
      <c r="AR13" s="99">
        <f t="shared" si="4"/>
        <v>12</v>
      </c>
      <c r="AS13" s="219">
        <f t="shared" si="5"/>
        <v>13</v>
      </c>
      <c r="AT13" s="328">
        <f t="shared" si="6"/>
        <v>1</v>
      </c>
      <c r="AU13" s="329">
        <f t="shared" si="7"/>
        <v>-2</v>
      </c>
      <c r="AV13" s="330">
        <f t="shared" si="8"/>
        <v>4</v>
      </c>
      <c r="AW13" s="286">
        <f t="shared" si="9"/>
        <v>1</v>
      </c>
      <c r="AX13" s="99">
        <f t="shared" si="10"/>
        <v>-5</v>
      </c>
      <c r="AY13" s="291">
        <f t="shared" si="11"/>
        <v>5</v>
      </c>
      <c r="AZ13" s="286">
        <f t="shared" si="17"/>
        <v>5</v>
      </c>
      <c r="BA13" s="99">
        <f t="shared" si="12"/>
        <v>5</v>
      </c>
      <c r="BB13" s="291">
        <f t="shared" si="13"/>
        <v>22</v>
      </c>
      <c r="BC13" s="294">
        <f t="shared" si="14"/>
        <v>0</v>
      </c>
      <c r="BD13" s="7">
        <f t="shared" si="15"/>
        <v>5</v>
      </c>
      <c r="BE13" s="218">
        <f t="shared" si="16"/>
        <v>8.9478001299999992</v>
      </c>
      <c r="BF13" s="99">
        <f>IF(AP13="","",SMALL(BE$9:BE$62,ROWS(AZ$9:AZ13)))</f>
        <v>1.9574003</v>
      </c>
      <c r="BG13" s="88"/>
      <c r="BH13" s="95" t="str">
        <f>IF(OR(AP13="",AZ13=""),"",INDEX($AP$9:$AP$63,MATCH(BF13,$BE$9:BE$62,0)))</f>
        <v>B4</v>
      </c>
      <c r="BI13" s="294">
        <f t="shared" si="0"/>
        <v>7</v>
      </c>
      <c r="BJ13" s="7">
        <f t="shared" si="1"/>
        <v>4</v>
      </c>
      <c r="BK13" s="7">
        <f t="shared" si="2"/>
        <v>26</v>
      </c>
      <c r="BL13" s="280">
        <f>IF(BF13="","",IF(AND(BI12=BI13,BJ12=BJ13,BK12=BK13),BL12,$BL$9+4))</f>
        <v>5</v>
      </c>
      <c r="BM13" s="29"/>
      <c r="BN13" s="3"/>
    </row>
    <row r="14" spans="1:66" ht="20.25">
      <c r="A14" s="131">
        <v>5</v>
      </c>
      <c r="B14" s="393" t="s">
        <v>70</v>
      </c>
      <c r="C14" s="272">
        <f>IF($Q$5&gt;=13,5,0)</f>
        <v>5</v>
      </c>
      <c r="D14" s="395" t="s">
        <v>88</v>
      </c>
      <c r="E14" s="272">
        <f>IF($Q$5&gt;=14,5,0)</f>
        <v>5</v>
      </c>
      <c r="F14" s="396" t="s">
        <v>106</v>
      </c>
      <c r="G14" s="272">
        <f>IF($Q$5&gt;=15,5,0)</f>
        <v>5</v>
      </c>
      <c r="H14" s="23"/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M14" s="155"/>
      <c r="N14" s="82">
        <v>3</v>
      </c>
      <c r="O14" s="138" t="str">
        <f>IF($Q$5=13,J14,IF($Q$5=14,J14,IF($Q$5=15,J14,IF($Q$5=16,J14,IF($Q$5=17,J14,IF($Q$5=18,J14,IF($Q$5=19,J14,IF($Q$5=20,J14,IF($Q$5=21,J14,IF($Q$5=22,J14,IF($Q$5=23,J14,IF($Q$5=24,J14,IF($Q$5=25,J14,IF($Q$5=26,J14,IF($Q$5=27,J14,IF($Q$5=28,J14,IF($Q$5=29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</f>
        <v>A5</v>
      </c>
      <c r="P14" s="139" t="str">
        <f>IF($Q$5=13,L12,IF($Q$5=14,L12,IF($Q$5=15,L12,IF($Q$5=16,K14,IF($Q$5=17,K14,IF($Q$5=18,K14,IF($Q$5=19,K14,IF($Q$5=20,K14,IF($Q$5=21,K14,IF($Q$5=22,K14,IF($Q$5=23,K14,IF($Q$5=24,K14,IF($Q$5=25,K14,IF($Q$5=26,K14,IF($Q$5=27,K14,IF($Q$5=28,K14,IF($Q$5=29,K14,IF($Q$5=30,K14,IF($Q$5=31,K14,IF($Q$5=32,K14,IF($Q$5=33,K14,IF($Q$5=34,K14,IF($Q$5=35,K14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</f>
        <v>B5</v>
      </c>
      <c r="Q14" s="153" t="str">
        <f>IF($Q$5=17,L14,IF($Q$5=18,L14,IF($Q$5=21,L14,IF($Q$5=22,L14,IF($Q$5=23,L14,IF($Q$5=24,L14,IF($Q$5=25,L14,IF($Q$5=26,L14,IF($Q$5=27,L14,IF($Q$5=28,L14,IF($Q$5=29,L14,IF($Q$5=30,L14,IF($Q$5=31,L14,IF($Q$5=32,L14,IF($Q$5=33,L14,IF($Q$5=34,L14,IF($Q$5=35,L14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</f>
        <v>C5</v>
      </c>
      <c r="R14" s="160" t="str">
        <f>IF($Q$5=13,J13,IF($Q$5=14,J10,IF($Q$5=15,J10,IF($Q$5=16,J15,IF($Q$5=17,J11,IF($Q$5=18,J13,IF($Q$5=19,J14,IF($Q$5=20,J14,IF($Q$5=21,J13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S14" s="163" t="str">
        <f>IF($Q$5=13,P14,IF($Q$5=14,L11,IF($Q$5=15,L10,IF($Q$5=16,K11,IF($Q$5=17,K15,IF($Q$5=18,K15,IF($Q$5=19,P10,IF($Q$5=20,K11,IF($Q$5=21,K15,IF($Q$5=22,K15,IF($Q$5=23,D17,IF($Q$5=24,K17,IF($Q$5=25,K16,IF($Q$5=26,K17,IF($Q$5=27,K15,IF($Q$5=28,K17,IF($Q$5=29,K15,IF($Q$5=30,K15,IF($Q$5=31,K17,IF($Q$5=32,K17,IF($Q$5=33,K17,IF($Q$5=34,K17,IF($Q$5=35,K17,IF($Q$5=36,K16,IF($Q$5=37,K16,IF($Q$5=38,K16,IF($Q$5=39,K16,IF($Q$5=40,K16,IF($Q$5=41,K16,IF($Q$5=42,K16,IF($Q$5=43,K16,IF($Q$5=44,K16,IF($Q$5=45,K16,IF($Q$5=46,K16,IF($Q$5=47,K16,IF($Q$5=48,K16,IF($Q$5=49,K16,IF($Q$5=50,K16,IF($Q$5=51,K16,IF($Q$5=52,K16,IF($Q$5=53,K16,IF($Q$5=54,K16,0))))))))))))))))))))))))))))))))))))))))))</f>
        <v>B6</v>
      </c>
      <c r="T14" s="182" t="str">
        <f>IF($Q$5=17,L10,IF($Q$5=18,L11,IF($Q$5=20,0,IF($Q$5=21,P16,IF($Q$5=22,P17,IF($Q$5=23,L15,IF($Q$5=24,L14,IF($Q$5=25,P17,IF($Q$5=26,L15,IF($Q$5=27,L15,IF($Q$5=28,L15,IF($Q$5=29,L15,IF($Q$5=30,L11,IF($Q$5=31,L16,IF($Q$5=32,L16,IF($Q$5=33,L16,IF($Q$5=34,L16,IF($Q$5=35,L16,IF($Q$5=36,L17,IF($Q$5=37,L17,IF($Q$5=38,L17,IF($Q$5=39,L17,IF($Q$5=40,L17,IF($Q$5=41,L17,IF($Q$5=42,L17,IF($Q$5=43,L17,IF($Q$5=44,L17,IF($Q$5=45,L17,IF($Q$5=46,L17,IF($Q$5=47,L17,IF($Q$5=48,L17,IF($Q$5=49,L17,IF($Q$5=50,L17,IF($Q$5=51,L17,IF($Q$5=52,L17,IF($Q$5=53,L17,IF($Q$5=54,L17,0)))))))))))))))))))))))))))))))))))))</f>
        <v>C2</v>
      </c>
      <c r="U14" s="160" t="str">
        <f>IF($Q$5=13,R10,IF($Q$5=14,R10,IF($Q$5=15,O11,IF($Q$5=16,O13,IF($Q$5=17,O11,IF($Q$5=18,R13,IF($Q$5=19,R10,IF($Q$5=20,R14,IF($Q$5=21,R11,IF($Q$5=22,O14,IF($Q$5=23,R17,IF($Q$5=24,R10,IF($Q$5=25,R10,IF($Q$5=26,O11,IF($Q$5=27,O11,IF($Q$5=28,R10,IF($Q$5=29,O11,IF($Q$5=30,R10,IF($Q$5=31,O15,IF($Q$5=32,O15,IF($Q$5=33,O15,IF($Q$5=34,O15,IF($Q$5=35,O15,IF($Q$5=36,O16,IF($Q$5=37,O16,IF($Q$5=38,O16,IF($Q$5=39,O16,IF($Q$5=40,O16,IF($Q$5=41,O16,IF($Q$5=42,O16,IF($Q$5=43,O16,IF($Q$5=44,O16,IF($Q$5=45,O16,IF($Q$5=46,O16,IF($Q$5=47,O16,IF($Q$5=48,O16,IF($Q$5=49,R15,IF($Q$5=50,O16,IF($Q$5=51,O16,IF($Q$5=52,O16,IF($Q$5=53,O16,IF($Q$5=54,O16,0))))))))))))))))))))))))))))))))))))))))))</f>
        <v>A2</v>
      </c>
      <c r="V14" s="157" t="str">
        <f>IF($Q$5=13,T10,IF($Q$5=14,P14,IF($Q$5=15,S13,IF($Q$5=16,S12,IF($Q$5=17,S15,IF($Q$5=18,S15,IF($Q$5=19,S13,IF($Q$5=20,S15,IF($Q$5=21,S10,IF($Q$5=22,S15,IF($Q$5=23,S17,IF($Q$5=24,S15,IF($Q$5=25,S15,IF($Q$5=26,S15,IF($Q$5=27,S15,IF($Q$5=28,S15,IF($Q$5=29,S15,IF($Q$5=30,S15,IF($Q$5=31,T11,IF($Q$5=32,S15,IF($Q$5=33,S15,IF($Q$5=34,S15,IF($Q$5=35,S15,IF($Q$5=36,S16,IF($Q$5=37,S16,IF($Q$5=38,S16,IF($Q$5=39,S16,IF($Q$5=40,S16,IF($Q$5=41,S16,IF($Q$5=42,S16,IF($Q$5=43,S16,IF($Q$5=44,S16,IF($Q$5=45,S16,IF($Q$5=46,S16,IF($Q$5=47,S16,IF($Q$5=48,S16,IF($Q$5=49,S16,IF($Q$5=50,S16,IF($Q$5=51,S16,IF($Q$5=52,S16,IF($Q$5=53,S16,IF($Q$5=54,S16,0))))))))))))))))))))))))))))))))))))))))))</f>
        <v>B7</v>
      </c>
      <c r="W14" s="172" t="str">
        <f>IF($Q$5=17,T10,IF($Q$5=18,T11,IF($Q$5=21,T13,IF($Q$5=22,T11,IF($Q$5=23,T11,IF($Q$5=24,T16,IF($Q$5=25,S17,IF($Q$5=26,S17,IF($Q$5=27,T16,IF($Q$5=28,T16,IF($Q$5=29,T16,IF($Q$5=30,T16,IF($Q$5=31,S19,IF($Q$5=32,T15,IF($Q$5=33,T15,IF($Q$5=34,T18,IF($Q$5=35,T20,IF($Q$5=36,T17,IF($Q$5=37,T17,IF($Q$5=38,T17,IF($Q$5=39,T17,IF($Q$5=40,T17,IF($Q$5=41,T17,IF($Q$5=42,T17,IF($Q$5=43,T17,IF($Q$5=44,T17,IF($Q$5=45,T17,IF($Q$5=46,T17,IF($Q$5=47,T17,IF($Q$5=48,T17,IF($Q$5=49,T17,IF($Q$5=50,T17,IF($Q$5=51,T17,IF($Q$5=52,T17,IF($Q$5=53,T17,IF($Q$5=54,T17,0))))))))))))))))))))))))))))))))))))</f>
        <v>C8</v>
      </c>
      <c r="X14" s="23"/>
      <c r="Y14" s="447"/>
      <c r="Z14" s="32"/>
      <c r="AA14" s="230" t="s">
        <v>5</v>
      </c>
      <c r="AB14" s="21"/>
      <c r="AC14" s="22"/>
      <c r="AD14" s="25"/>
      <c r="AE14" s="32"/>
      <c r="AF14" s="230" t="s">
        <v>5</v>
      </c>
      <c r="AG14" s="21"/>
      <c r="AH14" s="22"/>
      <c r="AI14" s="25"/>
      <c r="AJ14" s="32"/>
      <c r="AK14" s="230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>
        <f t="shared" si="3"/>
        <v>1</v>
      </c>
      <c r="AR14" s="99">
        <f t="shared" si="4"/>
        <v>-12</v>
      </c>
      <c r="AS14" s="219">
        <f t="shared" si="5"/>
        <v>1</v>
      </c>
      <c r="AT14" s="328">
        <f t="shared" si="6"/>
        <v>1</v>
      </c>
      <c r="AU14" s="329">
        <f t="shared" si="7"/>
        <v>-1</v>
      </c>
      <c r="AV14" s="330">
        <f t="shared" si="8"/>
        <v>7</v>
      </c>
      <c r="AW14" s="286" t="str">
        <f t="shared" si="9"/>
        <v>0</v>
      </c>
      <c r="AX14" s="99" t="str">
        <f t="shared" si="10"/>
        <v>0</v>
      </c>
      <c r="AY14" s="291" t="str">
        <f t="shared" si="11"/>
        <v>0</v>
      </c>
      <c r="AZ14" s="286">
        <f t="shared" si="17"/>
        <v>2</v>
      </c>
      <c r="BA14" s="99">
        <f t="shared" si="12"/>
        <v>-13</v>
      </c>
      <c r="BB14" s="291">
        <f t="shared" si="13"/>
        <v>8</v>
      </c>
      <c r="BC14" s="294">
        <f t="shared" si="14"/>
        <v>-13</v>
      </c>
      <c r="BD14" s="7">
        <f t="shared" si="15"/>
        <v>0</v>
      </c>
      <c r="BE14" s="218">
        <f t="shared" si="16"/>
        <v>21.129200139999998</v>
      </c>
      <c r="BF14" s="99">
        <f>IF(AP14="","",SMALL(BE$9:BE$62,ROWS(AZ$9:AZ14)))</f>
        <v>2.0581001200000002</v>
      </c>
      <c r="BG14" s="88"/>
      <c r="BH14" s="95" t="str">
        <f>IF(OR(AP14="",AZ14=""),"",INDEX($AP$9:$AP$63,MATCH(BF14,$BE$9:BE$62,0)))</f>
        <v>A4</v>
      </c>
      <c r="BI14" s="294">
        <f t="shared" si="0"/>
        <v>7</v>
      </c>
      <c r="BJ14" s="7">
        <f t="shared" si="1"/>
        <v>-6</v>
      </c>
      <c r="BK14" s="7">
        <f t="shared" si="2"/>
        <v>19</v>
      </c>
      <c r="BL14" s="280">
        <f>IF(BF14="","",IF(AND(BI13=BI14,BJ13=BJ14,BK13=BK14),BL13,$BL$9+5))</f>
        <v>6</v>
      </c>
      <c r="BM14" s="29"/>
      <c r="BN14" s="3"/>
    </row>
    <row r="15" spans="1:66" ht="21" thickBot="1">
      <c r="A15" s="131">
        <v>6</v>
      </c>
      <c r="B15" s="393" t="s">
        <v>71</v>
      </c>
      <c r="C15" s="272">
        <f>IF($Q$5&gt;=16,6,0)</f>
        <v>6</v>
      </c>
      <c r="D15" s="395" t="s">
        <v>89</v>
      </c>
      <c r="E15" s="272">
        <f>IF($Q$5&gt;=17,6,0)</f>
        <v>6</v>
      </c>
      <c r="F15" s="396" t="s">
        <v>107</v>
      </c>
      <c r="G15" s="272">
        <f>IF($Q$5&gt;=18,6,0)</f>
        <v>6</v>
      </c>
      <c r="H15" s="23"/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M15" s="155"/>
      <c r="N15" s="52" t="s">
        <v>5</v>
      </c>
      <c r="O15" s="141" t="str">
        <f>IF($Q$5=13,K13,IF($Q$5=14,K14,IF($Q$5=15,K14,IF($Q$5=16,J15,IF($Q$5=17,J15,IF($Q5=18,J15,IF($Q$5=19,J15,IF($Q$5=20,J15,IF($Q$5=21,J15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P15" s="142" t="str">
        <f>IF($Q$5=13,L13,IF($Q$5=14,L13,IF($Q$5=15,L13,IF($Q$5=16,L14,IF($Q$5=17,K15,IF($Q$5=18,K15,IF($Q$5=19,L13,IF($Q$5=20,K15,IF($Q$5=21,K15,IF($Q$5=22,K15,IF($Q$5=23,K15,IF($Q$5=24,K15,IF($Q$5=25,K15,IF($Q$5=26,K15,IF($Q$5=27,K15,IF($Q$5=28,K15,IF($Q$5=29,K15,IF($Q$5=30,K15,IF($Q$5=31,K15,IF($Q$5=32,K15,IF($Q$5=33,K15,IF($Q$5=34,K15,IF($Q$5=35,K15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</f>
        <v>B6</v>
      </c>
      <c r="Q15" s="152" t="str">
        <f>IF($Q$5=18,L15,IF($Q$5=22,L15,IF($Q$5=23,L15,IF(Q$5=24,L15,IF($Q$5=26,L15,IF($Q$5=27,L15,IF($Q$5=28,L15,IF($Q$5=29,L15,IF($Q$5=30,L15,IF($Q$5=31,L15,IF($Q$5=32,L15,IF($Q$5=33,L15,IF($Q$5=34,L15,IF($Q$5=35,L15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</f>
        <v>C6</v>
      </c>
      <c r="R15" s="164" t="str">
        <f>IF($Q$5=13,K10,IF($Q$5=14,O15,IF($Q$5=15,O15,IF($Q$5=16,J10,IF($Q$5=17,J15,IF($Q$5=18,J15,IF($Q$5=19,J15,IF($Q$5=20,J15,IF($Q$5=21,J15,IF($Q$5=22,J16,IF($Q$5=23,J16,IF($Q$5=24,J16,IF($Q$5=25,J16,IF($Q$5=26,J16,IF($Q$5=27,J16,IF($Q$5=28,J16,IF($Q$5=29,O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))))))</f>
        <v>A7</v>
      </c>
      <c r="S15" s="159" t="str">
        <f>IF($Q$5=13,O15,IF($Q$5=14,P14,IF($Q$5=15,L11,IF($Q$5=16,L12,IF(Q$5=17,P10,IF($Q$5=18,K10,IF($Q$5=19,L11,IF($Q$5=20,K13,IF($Q$5=21,L10,IF($Q$5=22,K16,IF($Q$5=23,D10,IF($Q$5=24,K13,IF($Q$5=25,K15,IF($Q$5=26,K13,IF($Q$5=27,K16,IF($Q$5=28,K16,IF($Q$5=29,K16,IF($Q$5=30,K16,IF($Q$5=31,K15,IF($Q$5=32,K18,IF($Q$5=33,K18,IF($Q$5=34,K18,IF($Q$5=35,K18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))))))</f>
        <v>B7</v>
      </c>
      <c r="T15" s="183" t="str">
        <f>IF($Q$5=17,0,IF($Q$5=18,L10,IF($Q$5=21,0,IF($Q$5=22,L10,IF($Q$5=23,L14,IF($Q$5=24,L16,IF($Q$5=25,0,IF($Q$5=26,P18,IF($Q$5=27,L16,IF($Q$5=28,L16,IF($Q$5=29,L16,IF($Q$5=30,L16,IF($Q$5=31,L10,IF($Q$5=32,L15,IF($Q$5=33,L15,IF($Q$5=34,L15,IF($Q$5=35,L15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))))))))))))</f>
        <v>C7</v>
      </c>
      <c r="U15" s="185" t="str">
        <f>IF($Q$5=13,O15,IF($Q$5=14,R15,IF($Q$5=15,R15,IF($Q$5=16,R10,IF($Q$5=17,R15,IF($Q$5=18,R15,IF($Q$5=19,R15,IF($Q$5=20,R15,IF($Q$5=21,R15,IF($Q$5=22,R15,IF($Q$5=23,R15,IF($Q$5=24,O16,IF($Q$5=25,R15,IF($Q$5=26,R15,IF($Q$5=27,O16,IF($Q$5=28,O16,IF($Q$5=29,O16,IF($Q$5=30,O16,IF($Q$5=31,R15,IF($Q$5=32,O17,IF($Q$5=33,O17,IF($Q$5=34,R16,IF($Q$5=35,R16,IF($Q$5=36,O17,IF($Q$5=37,O17,IF($Q$5=38,O17,IF($Q$5=39,O17,IF($Q$5=40,O17,IF($Q$5=41,O17,IF($Q$5=42,O17,IF($Q$5=43,O17,IF($Q$5=44,O17,IF($Q$5=45,O17,IF($Q$5=46,O17,IF($Q$5=47,O17,IF($Q$5=48,O17,IF($Q$5=49,R16,IF($Q$5=50,O17,IF($Q$5=51,O17,IF($Q$5=52,O17,IF($Q$5=53,O17,IF($Q$5=54,O17,0))))))))))))))))))))))))))))))))))))))))))</f>
        <v>A7</v>
      </c>
      <c r="V15" s="162" t="str">
        <f>IF($Q$5=13,S12,IF($Q$5=14,L13,IF($Q$5=15,T10,IF($Q$5=16,T12,IF($Q$5=17,S12,IF($Q$5=18,S10,IF($Q$5=19,T11,IF($Q$5=20,S12,IF($Q$5=21,S12,IF($Q$5=22,S16,IF($Q$5=23,S16,IF($Q$5=24,S16,IF($Q$5=25,S18,IF($Q$5=26,S16,IF($Q$5=27,S16,IF($Q$5=28,S16,IF($Q$5=29,S14,IF($Q$5=30,S16,IF($Q$5=31,S16,IF($Q$5=32,S21,IF($Q$5=33,S19,IF($Q$5=34,S19,IF($Q$5=35,S19,IF($Q$5=36,S17,IF($Q$5=37,S17,IF($Q$5=38,S17,IF($Q$5=39,S17,IF($Q$5=40,S17,IF($Q$5=41,S17,IF($Q$5=42,S17,IF($Q$5=43,S17,IF($Q$5=44,S17,IF($Q$5=45,S17,IF($Q$5=46,S17,IF($Q$5=47,S17,IF($Q$5=48,S17,IF($Q$5=49,S17,IF($Q$5=50,S17,IF($Q$5=51,S17,IF($Q$5=52,S17,IF($Q$5=53,S17,IF($Q$5=54,S17,0))))))))))))))))))))))))))))))))))))))))))</f>
        <v>B8</v>
      </c>
      <c r="W15" s="174" t="str">
        <f>IF($Q$5=18,T10,IF($Q$5=22,S17,IF($Q$5=23,T16,IF($Q$5=24,T17,IF($Q$5=25,0,IF($Q$5=26,T11,IF($Q$5=27,S17,IF($Q$5=28,T17,IF($Q$5=29,T17,IF($Q$5=30,T17,IF($Q$5=31,S20,IF($Q$5=32,T13,IF($Q$5=33,T13,IF($Q$5=34,T13,IF($Q$5=35,T13,IF($Q$5=36,T18,IF($Q$5=37,T18,IF($Q$5=38,T18,IF($Q$5=39,S23,IF($Q$5=40,T18,IF($Q$5=41,T18,IF($Q$5=42,T18,IF($Q$5=43,T18,IF($Q$5=44,T18,IF($Q$5=45,T18,IF($Q$5=46,T18,IF($Q$5=47,T18,IF($Q$5=48,T18,IF($Q$5=49,T18,IF($Q$5=50,T18,IF($Q$5=51,T18,IF($Q$5=52,T18,IF($Q$5=53,T18,IF($Q$5=54,T18,0))))))))))))))))))))))))))))))))))</f>
        <v>C9</v>
      </c>
      <c r="X15" s="23"/>
      <c r="Y15" s="447"/>
      <c r="Z15" s="14" t="str">
        <f>+O11</f>
        <v>A2</v>
      </c>
      <c r="AA15" s="34">
        <v>10</v>
      </c>
      <c r="AB15" s="30">
        <f>IF(AA11+AA15=0,0,IF(AA11=AA15,2,IF(AA11&lt;AA15,3,1)))</f>
        <v>3</v>
      </c>
      <c r="AC15" s="15">
        <f>AA15-AA11</f>
        <v>2</v>
      </c>
      <c r="AD15" s="24"/>
      <c r="AE15" s="14" t="str">
        <f>+R11</f>
        <v>A3</v>
      </c>
      <c r="AF15" s="127">
        <v>9</v>
      </c>
      <c r="AG15" s="30">
        <f>IF(AF11+AF15=0,0,IF(AF11=AF15,2,IF(AF11&lt;AF15,3,1)))</f>
        <v>3</v>
      </c>
      <c r="AH15" s="15">
        <f>AF15-AF11</f>
        <v>4</v>
      </c>
      <c r="AI15" s="24"/>
      <c r="AJ15" s="14" t="str">
        <f>+U11</f>
        <v>A4</v>
      </c>
      <c r="AK15" s="37">
        <v>2</v>
      </c>
      <c r="AL15" s="30">
        <f>IF(AK11+AK15=0,0,IF(AK11=AK15,2,IF(AK11&lt;AK15,3,1)))</f>
        <v>1</v>
      </c>
      <c r="AM15" s="15">
        <f>AK15-AK11</f>
        <v>-11</v>
      </c>
      <c r="AN15" s="23"/>
      <c r="AO15" s="54">
        <v>7</v>
      </c>
      <c r="AP15" s="321" t="str">
        <f>+Inscrits!B9</f>
        <v>A7</v>
      </c>
      <c r="AQ15" s="286" t="str">
        <f t="shared" si="3"/>
        <v>0</v>
      </c>
      <c r="AR15" s="99" t="str">
        <f t="shared" si="4"/>
        <v>0</v>
      </c>
      <c r="AS15" s="219" t="str">
        <f t="shared" si="5"/>
        <v>0</v>
      </c>
      <c r="AT15" s="328">
        <f t="shared" si="6"/>
        <v>3</v>
      </c>
      <c r="AU15" s="329">
        <f t="shared" si="7"/>
        <v>1</v>
      </c>
      <c r="AV15" s="330">
        <f t="shared" si="8"/>
        <v>8</v>
      </c>
      <c r="AW15" s="286">
        <f t="shared" si="9"/>
        <v>3</v>
      </c>
      <c r="AX15" s="99">
        <f t="shared" si="10"/>
        <v>3</v>
      </c>
      <c r="AY15" s="291">
        <f t="shared" si="11"/>
        <v>9</v>
      </c>
      <c r="AZ15" s="286">
        <f t="shared" si="17"/>
        <v>6</v>
      </c>
      <c r="BA15" s="99">
        <f t="shared" si="12"/>
        <v>4</v>
      </c>
      <c r="BB15" s="291">
        <f t="shared" si="13"/>
        <v>17</v>
      </c>
      <c r="BC15" s="294">
        <f t="shared" si="14"/>
        <v>0</v>
      </c>
      <c r="BD15" s="7">
        <f t="shared" si="15"/>
        <v>4</v>
      </c>
      <c r="BE15" s="218">
        <f t="shared" si="16"/>
        <v>6.9583001500000004</v>
      </c>
      <c r="BF15" s="99">
        <f>IF(AP15="","",SMALL(BE$9:BE$62,ROWS(AZ$9:AZ15)))</f>
        <v>6.9583001500000004</v>
      </c>
      <c r="BG15" s="88"/>
      <c r="BH15" s="95" t="str">
        <f>IF(OR(AP15="",AZ15=""),"",INDEX($AP$9:$AP$63,MATCH(BF15,$BE$9:BE$62,0)))</f>
        <v>A7</v>
      </c>
      <c r="BI15" s="294">
        <f t="shared" si="0"/>
        <v>6</v>
      </c>
      <c r="BJ15" s="7">
        <f t="shared" si="1"/>
        <v>4</v>
      </c>
      <c r="BK15" s="7">
        <f t="shared" si="2"/>
        <v>17</v>
      </c>
      <c r="BL15" s="280">
        <f>IF(BF15="","",IF(AND(BI14=BI15,BJ14=BJ15,BK14=BK15),BL14,$BL$9+6))</f>
        <v>7</v>
      </c>
      <c r="BM15" s="29"/>
      <c r="BN15" s="3"/>
    </row>
    <row r="16" spans="1:66" ht="21" thickBot="1">
      <c r="A16" s="131">
        <v>7</v>
      </c>
      <c r="B16" s="393" t="s">
        <v>72</v>
      </c>
      <c r="C16" s="272">
        <f>IF($Q$5&gt;=19,7,0)</f>
        <v>7</v>
      </c>
      <c r="D16" s="395" t="s">
        <v>90</v>
      </c>
      <c r="E16" s="272">
        <f>IF($Q$5&gt;=20,7,0)</f>
        <v>7</v>
      </c>
      <c r="F16" s="396" t="s">
        <v>108</v>
      </c>
      <c r="G16" s="272">
        <f>IF($Q$5&gt;=21,7,0)</f>
        <v>7</v>
      </c>
      <c r="H16" s="23"/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M16" s="155"/>
      <c r="N16" s="82">
        <v>4</v>
      </c>
      <c r="O16" s="138" t="str">
        <f>IF($Q$5=19,J16,IF($Q$5=20,J16,IF($Q$5=21,J16,IF($Q$5=22,J16,IF($Q$5=23,J16,IF(Q$5=24,J16,IF($Q$5=25,J16,IF($Q$5=26,J16,IF(Q$5=27,J16,IF($Q$5=28,J16,IF($Q$5=29,J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</f>
        <v>A7</v>
      </c>
      <c r="P16" s="139" t="str">
        <f>IF($Q$5=19,L15,IF($Q$5=20,L14,IF($Q$5=21,L15,IF($Q$5=22,K16,IF($Q$5=23,K16,IF($Q$5=24,K16,IF($Q$5=25,K16,IF($Q$5=26,K16,IF($Q$5=27,K16,IF($Q$5=28,K16,IF($Q$5=29,K16,IF($Q$5=30,K16,IF($Q$5=31,K16,IF($Q$5=32,K16,IF($Q$5=33,K16,IF($Q$5=34,K16,IF($Q$5=35,K16,IF($Q$5=36,K16,IF($Q$5=37,K16,IF($Q$5=38,K16,IF($Q$5=39,K16,IF($Q$5=40,K16,IF($Q$5=41,K16,IF($Q$5=42,K16,IF($Q$5=43,K16,IF($Q$5=44,K16,IF($Q$5=45,K16,IF($Q$5=46,K16,IF($Q$5=47,K16,IF($Q$5=48,K16,IF($Q$5=49,K16,IF($Q$5=50,K16,IF($Q$5=51,K16,IF($Q$5=52,I16,IF($Q$5=53,K16,IF($Q$5=54,K16,0))))))))))))))))))))))))))))))))))))</f>
        <v>B7</v>
      </c>
      <c r="Q16" s="153" t="str">
        <f>IF($Q$5=23,L16,IF($Q$5=24,L16,IF($Q$5=27,L16,IF($Q$5=28,L16,IF($Q$5=29,L16,IF($Q$5=30,L16,IF($Q$5=31,L16,IF($Q$5=32,L16,IF($Q$5=33,L16,IF($Q$5=34,L16,IF($Q$5=35,L16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</f>
        <v>C7</v>
      </c>
      <c r="R16" s="165" t="str">
        <f>IF($Q$5=19,J16,IF($Q$5=20,J16,IF($Q$5=21,J16,IF($Q$5=22,J17,IF($Q$5=23,J17,IF($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S16" s="157" t="str">
        <f>IF($Q$5=19,P16,IF($Q$5=20,L10,IF($Q$5=21,L11,IF($Q$5=22,K10,IF($Q$5=23,D11,IF($Q$5=24,K15,IF($Q$5=25,K10,IF($Q$5=26,K15,IF($Q$5=27,K17,IF(Q$5=28,K15,IF($Q$5=29,K17,IF($Q$5=30,K17,IF($Q$5=31,P18,IF($Q$5=32,K15,IF($Q$5=33,K15,IF($Q$5=34,K15,IF($Q$5=35,K15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))))))</f>
        <v>B8</v>
      </c>
      <c r="T16" s="179" t="str">
        <f>IF($Q$5=22,0,IF($Q$5=23,L10,IF($Q$5=24,L10,IF($Q$5=26,0,IF($Q$5=27,P18,IF($Q$5=28,L17,IF($Q$5=29,L17,IF($Q$5=30,L17,IF($Q$5=31,L15,IF($Q$5=32,L10,IF($Q$5=33,L10,IF($Q$5=34,L10,IF($Q$5=35,L10,IF($Q$5=36,L19,IF($Q$5=37,P23,IF($Q$5=38,L19,IF($Q$5=39,L19,IF($Q$5=40,L19,IF($Q$5=41,L19,IF($Q$5=42,L19,IF($Q$5=43,L19,IF($Q$5=44,L19,IF($Q$5=45,L19,IF($Q$5=46,L19,IF($Q$5=47,L19,IF($Q$5=48,L19,IF($Q$5=49,L19,IF($Q$5=50,L19,IF($Q$5=51,L19,IF($Q$5=52,L19,IF($Q$5=53,L19,IF($Q$5=54,L19,0))))))))))))))))))))))))))))))))</f>
        <v>C8</v>
      </c>
      <c r="U16" s="165" t="str">
        <f>IF($Q$5=19,R16,IF($Q$5=20,R16,IF($Q$5=21,R16,IF($Q$5=22,R14,IF($Q$5=23,R16,IF($Q$5=24,R14,IF($Q$5=25,R14,IF($Q$5=26,R14,IF($Q$5=27,R14,IF($Q$5=28,R14,IF($Q$5=29,O15,IF($Q$5=30,O15,IF($Q$5=31,R16,IF($Q$5=32,R15,IF($Q$5=33,O16,IF($Q$5=34,O16,IF($Q$5=35,R15,IF($Q$5=36,O18,IF($Q$5=37,O18,IF($Q$5=38,O18,IF($Q$5=39,R17,IF($Q$5=40,O18,IF($Q$5=41,O18,IF($Q$5=42,O18,IF($Q$5=43,O18,IF($Q$5=44,O18,IF($Q$5=45,O18,IF($Q$5=46,O18,IF($Q$5=47,O18,IF($Q$5=48,O18,IF($Q$5=49,R17,IF($Q$5=50,O18,IF($Q$5=51,O18,IF($Q$5=52,O18,IF($Q$5=53,O18,IF($Q$5=54,O18,0))))))))))))))))))))))))))))))))))))</f>
        <v>A6</v>
      </c>
      <c r="V16" s="163" t="str">
        <f>IF($Q$5=19,S15,IF($Q$5=20,S17,IF($Q$5=21,S15,IF($Q$5=22,S12,IF($Q$5=23,S15,IF($Q$5=24,S12,IF($Q$5=25,S16,IF($Q$5=26,S19,IF($Q$5=27,T11,IF($Q$5=28,S19,IF($Q$5=29,S19,IF($Q$5=30,S19,IF($Q$5=31,R21,IF($Q$5=32,S20,IF($Q$5=33,S18,IF($Q$5=34,S18,IF($Q$5=35,S18,IF($Q$5=36,S18,IF($Q$5=37,S18,IF($Q$5=38,S18,IF($Q$5=39,S18,IF($Q$5=40,S18,IF($Q$5=41,S18,IF($Q$5=42,S18,IF($Q$5=43,S18,IF($Q$5=44,S18,IF($Q$5=45,S18,IF($Q$5=46,S18,IF($Q$5=47,S18,IF($Q$5=48,S18,IF($Q$5=49,S18,IF($Q$5=50,S18,IF($Q$5=51,S18,IF($Q$5=52,S18,IF($Q$5=53,S18,IF($Q$5=54,S18,0))))))))))))))))))))))))))))))))))))</f>
        <v>B9</v>
      </c>
      <c r="W16" s="173" t="str">
        <f>IF($Q$5=23,T10,IF($Q$5=24,T11,IF($Q$5=27,S18,IF($Q$5=28,T11,IF($Q$5=29,T12,IF($Q$5=30,T11,IF($Q$5=31,S18,IF($Q$5=32,T16,IF($Q$5=33,T16,IF($Q$5=34,T16,IF($Q$5=35,T19,IF($Q$5=36,T19,IF($Q$5=37,S21,IF($Q$5=38,T19,IF($Q$5=39,S22,IF($Q$5=40,T19,IF($Q$5=41,T19,IF($Q$5=42,T19,IF($Q$5=43,T19,IF($Q$5=44,T19,IF($Q$5=45,T19,IF($Q$5=46,T19,IF($Q$5=47,T19,IF($Q$5=48,T19,IF($Q$5=49,T19,IF($Q$5=50,T19,IF($Q$5=51,T19,IF($Q$5=52,T19,IF($Q$5=53,T19,IF($Q$5=54,T19,0))))))))))))))))))))))))))))))</f>
        <v>C1</v>
      </c>
      <c r="X16" s="23"/>
      <c r="Y16" s="447"/>
      <c r="Z16" s="14" t="str">
        <f>+P11</f>
        <v>B2</v>
      </c>
      <c r="AA16" s="69">
        <f>IF(ISTEXT(Z16),AA15,0)</f>
        <v>10</v>
      </c>
      <c r="AB16" s="18">
        <f>IF(ISTEXT(Z16),AB15,0)</f>
        <v>3</v>
      </c>
      <c r="AC16" s="62">
        <f>IF(ISTEXT(Z16),AC15,0)</f>
        <v>2</v>
      </c>
      <c r="AD16" s="11"/>
      <c r="AE16" s="14" t="str">
        <f>+S11</f>
        <v>B5</v>
      </c>
      <c r="AF16" s="18">
        <f>IF(ISTEXT(AE16),AF15,0)</f>
        <v>9</v>
      </c>
      <c r="AG16" s="18">
        <f>IF(ISTEXT(AE16),AG15,0)</f>
        <v>3</v>
      </c>
      <c r="AH16" s="62">
        <f>IF(ISTEXT(AE16),AH15,0)</f>
        <v>4</v>
      </c>
      <c r="AI16" s="11"/>
      <c r="AJ16" s="14" t="str">
        <f>+V11</f>
        <v>B5</v>
      </c>
      <c r="AK16" s="18">
        <f>IF(ISTEXT(AJ16),AK15,0)</f>
        <v>2</v>
      </c>
      <c r="AL16" s="18">
        <f>IF(ISTEXT(AJ16),AL15,0)</f>
        <v>1</v>
      </c>
      <c r="AM16" s="62">
        <f>IF(ISTEXT(AJ16),AM15,0)</f>
        <v>-11</v>
      </c>
      <c r="AN16" s="23"/>
      <c r="AO16" s="54">
        <v>8</v>
      </c>
      <c r="AP16" s="321" t="str">
        <f>+Inscrits!B10</f>
        <v>A8</v>
      </c>
      <c r="AQ16" s="286" t="str">
        <f t="shared" si="3"/>
        <v>0</v>
      </c>
      <c r="AR16" s="99" t="str">
        <f t="shared" si="4"/>
        <v>0</v>
      </c>
      <c r="AS16" s="219" t="str">
        <f t="shared" si="5"/>
        <v>0</v>
      </c>
      <c r="AT16" s="328" t="str">
        <f t="shared" si="6"/>
        <v>0</v>
      </c>
      <c r="AU16" s="329" t="str">
        <f t="shared" si="7"/>
        <v>0</v>
      </c>
      <c r="AV16" s="330" t="str">
        <f t="shared" si="8"/>
        <v>0</v>
      </c>
      <c r="AW16" s="286" t="str">
        <f t="shared" si="9"/>
        <v>0</v>
      </c>
      <c r="AX16" s="99" t="str">
        <f t="shared" si="10"/>
        <v>0</v>
      </c>
      <c r="AY16" s="291" t="str">
        <f t="shared" si="11"/>
        <v>0</v>
      </c>
      <c r="AZ16" s="286">
        <f t="shared" si="17"/>
        <v>0</v>
      </c>
      <c r="BA16" s="99">
        <f t="shared" si="12"/>
        <v>0</v>
      </c>
      <c r="BB16" s="291">
        <f t="shared" si="13"/>
        <v>0</v>
      </c>
      <c r="BC16" s="294">
        <f t="shared" si="14"/>
        <v>0</v>
      </c>
      <c r="BD16" s="7">
        <f t="shared" si="15"/>
        <v>0</v>
      </c>
      <c r="BE16" s="218">
        <f t="shared" si="16"/>
        <v>25.000000159999999</v>
      </c>
      <c r="BF16" s="99">
        <f>IF(AP16="","",SMALL(BE$9:BE$62,ROWS(AZ$9:AZ16)))</f>
        <v>6.9584002800000002</v>
      </c>
      <c r="BG16" s="88"/>
      <c r="BH16" s="95" t="str">
        <f>IF(OR(AP16="",AZ16=""),"",INDEX($AP$9:$AP$63,MATCH(BF16,$BE$9:BE$62,0)))</f>
        <v>B2</v>
      </c>
      <c r="BI16" s="294">
        <f t="shared" si="0"/>
        <v>6</v>
      </c>
      <c r="BJ16" s="7">
        <f t="shared" si="1"/>
        <v>4</v>
      </c>
      <c r="BK16" s="7">
        <f t="shared" si="2"/>
        <v>16</v>
      </c>
      <c r="BL16" s="280">
        <f>IF(BF16="","",IF(AND(BI15=BI16,BJ15=BJ16,BK15=BK16),BL15,$BL$9+7))</f>
        <v>8</v>
      </c>
      <c r="BM16" s="29"/>
      <c r="BN16" s="3"/>
    </row>
    <row r="17" spans="1:66" ht="21" thickBot="1">
      <c r="A17" s="131">
        <v>8</v>
      </c>
      <c r="B17" s="393" t="s">
        <v>73</v>
      </c>
      <c r="C17" s="272">
        <f>IF($Q$5&gt;=22,8,0)</f>
        <v>8</v>
      </c>
      <c r="D17" s="395" t="s">
        <v>91</v>
      </c>
      <c r="E17" s="272">
        <f>IF($Q$5&gt;=23,8,0)</f>
        <v>8</v>
      </c>
      <c r="F17" s="396" t="s">
        <v>109</v>
      </c>
      <c r="G17" s="272">
        <f>IF($Q$5&gt;=24,8,0)</f>
        <v>8</v>
      </c>
      <c r="H17" s="23"/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M17" s="155"/>
      <c r="N17" s="52" t="s">
        <v>5</v>
      </c>
      <c r="O17" s="145" t="str">
        <f>IF($Q$5=19,K15,IF($Q$5=20,K16,IF($Q$5=21,K16,IF($Q$5=22,J17,IF($Q$5=23,J17,IF(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P17" s="149" t="str">
        <f>IF($Q$5=19,L14,IF($Q$5=20,L15,IF($Q$5=21,L16,IF(Q$5=22,L16,IF($Q$5=23,K17,IF($Q$5=24,K17,IF($Q$5=25,L15,IF($Q$5=26,K17,IF($Q$5=27,K17,IF($Q$5=28,K17,IF($Q$5=29,K17,IF($Q$5=30,K17,IF($Q$5=31,K17,IF($Q$5=32,K17,IF($Q$5=33,K17,IF($Q$5=34,K17,IF($Q$5=35,K17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</f>
        <v>B8</v>
      </c>
      <c r="Q17" s="152" t="str">
        <f>IF($Q$5=24,L17,IF($Q$5=28,L17,IF($Q$5=29,L17,IF($Q$5=30,L17,IF($Q$5=31,0,IF($Q$5=32,L17,IF($Q$5=33,L17,IF($Q$5=34,L17,IF($Q$5=35,L17,IF($Q$5=36,L17,IF($Q$5=37,L17,IF($Q$5=38,L17,IF($Q$5=39,L17,IF(Q$5=40,L17,IF($Q$5=41,L17,IF($Q$5=42,L17,IF($Q$5=43,L17,IF($Q$5=44,L17,IF($Q$5=45,L17,IF($Q$5=46,L17,IF($Q$5=47,L17,IF($Q$5=48,L17,IF($Q$5=49,L17,IF($Q$5=50,L17,IF($Q$5=51,L17,IF($Q$5=52,L17,IF($Q$5=53,L17,IF($Q$5=54,L17,0))))))))))))))))))))))))))))</f>
        <v>C8</v>
      </c>
      <c r="R17" s="166" t="str">
        <f>IF($Q$5=19,K15,IF($Q$5=20,O17,IF($Q$5=21,O17,IF($Q$5=22,J10,IF($Q$5=23,J10,IF($Q$5=24,J10,IF($Q$5=25,J18,IF($Q$5=26,J18,IF($Q$5=27,J18,IF($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))))))</f>
        <v>A9</v>
      </c>
      <c r="S17" s="162" t="str">
        <f>IF($Q$5=19,L12,IF($Q$5=20,K15,IF($Q$5=21,L12,IF($Q$5=22,L11,IF($Q$5=23,K12,IF($Q$5=24,K11,IF($Q$5=25,L10,IF($Q$5=26,L10,IF($Q$5=27,L10,IF($Q$5=28,K10,IF($Q$5=29,K19,IF($Q$5=30,K19,IF(Q$5=31,P16,IF($Q$5=32,K16,IF($Q$5=33,K16,IF($Q$5=34,K16,IF($Q$5=35,K16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))))))</f>
        <v>B10</v>
      </c>
      <c r="T17" s="181" t="str">
        <f>IF($Q$5=24,L17,IF($Q$5=27,0,IF($Q$5=28,P19,IF($Q$6=29,L18,IF($Q$5=29,L18,IF($Q$5=30,L18,IF($Q$5=32,L17,IF($Q$5=33,L17,IF($Q$5=34,L17,IF($Q$5=35,L17,IF($Q$5=36,L20,IF($Q$5=37,P22,IF($Q$5=38,P22,IF($Q$5=39,L20,IF($Q$5=40,L20,IF($Q$5=41,L20,IF($Q$5=42,L20,IF($Q$5=43,L20,IF($Q$5=44,L20,IF($Q$5=45,L20,IF($Q$5=46,L20,IF($Q$5=47,L20,IF($Q$5=48,L20,IF($Q$5=49,L20,IF($Q$5=50,L20,IF($Q$5=51,L20,IF($Q$5=52,L20,IF($Q$5=53,L20,IF($Q$5=54,L20,0)))))))))))))))))))))))))))))</f>
        <v>C9</v>
      </c>
      <c r="U17" s="209" t="str">
        <f>IF($Q$5=19,R17,IF($Q$5=20,R17,IF($Q$5=21,K16,IF($Q$5=22,R16,IF($Q$5=23,R10,IF($Q$5=24,R16,IF($Q$5=25,R16,IF($Q$5=26,R16,IF($Q$5=27,R16,IF($Q$5=28,R17,IF($Q$5=29,O18,IF($Q$5=30,O18,IF($Q$5=31,R17,IF($Q$5=32,O18,IF($Q$5=33,R17,IF($Q$5=34,O18,IF($Q$5=35,R17,IF($Q$5=36,R18,IF($Q$5=37,O19,IF($Q$5=38,O19,IF($Q$5=39,O19,IF($Q$5=40,R18,IF($Q$5=41,O19,IF($Q$5=42,R18,IF($Q$5=43,R18,IF($Q$5=44,O19,IF($Q$5=45,R18,IF($Q$5=46,R18,IF($Q$5=47,R18,IF($Q$5=48,R18,IF($Q$5=49,R18,IF($Q$5=50,R18,IF($Q$5=51,R18:R18,IF($Q$5=52,R18,IF($Q$5=53,R18,IF($Q$5=54,O19,0))))))))))))))))))))))))))))))))))))</f>
        <v>A9</v>
      </c>
      <c r="V17" s="159" t="str">
        <f>IF($Q$5=19,T10,IF($Q$5=20,T10,IF($Q$5=21,S16,IF($Q$5=22,T10,IF($Q$5=23,S12,IF($Q$5=24,S17,IF($Q$5=25,T10,IF($Q$5=26,S12,IF($Q$5=27,S12,IF($Q$5=28,S17,IF($Q$5=29,S18,IF($Q$5=30,S17,IF($Q$5=31,S17,IF($Q$5=32,S12,IF($Q$5=33,S12,IF($Q$5=34,S12,IF($Q$5=35,S12,IF($Q$5=36,S19,IF($Q$5=37,S19,IF($Q$5=38,S19,IF($Q$5=39,S19,IF($Q$5=40,S19,IF($Q$5=41,S19,IF($Q$5=42,S19,IF($Q$5=43,S19,IF($Q$5=44,S19,IF($Q$5=45,S19,IF($Q$5=46,S19,IF($Q$5=47,S19,IF($Q$5=48,S19,IF($Q$5=49,S19,IF($Q$5=50,S19,IF($Q$5=51,S19,IF($Q$5=52,S19,IF($Q$5=53,S19,IF($Q$5=54,S19,0))))))))))))))))))))))))))))))))))))</f>
        <v>B10</v>
      </c>
      <c r="W17" s="175" t="str">
        <f>IF($Q$5=24,T10,IF($Q$5=27,0,IF($Q$5=28,S18,IF($Q$5=29,T18,IF($Q$5=30,T18,IF($Q$5=32,T17,IF($Q$5=33,T17,IF($Q$5=34,T17,IF($Q$5=35,T17,IF($Q$5=36,T20,IF($Q$5=37,S22,IF($Q$5=38,S22,IF($Q$5=39,T18,IF($Q$5=40,T20,IF($Q$5=41,T20,IF($Q$5=42,T20,IF($Q$5=43,T20,IF($Q$5=44,T20,IF($Q$5=45,T20,IF($Q$5=46,T20,IF($Q$5=47,T20,IF($Q$5=48,T20,IF($Q$5=49,T20,IF($Q$5=50,T20,IF($Q$5=51,T20,IF($Q$5=52,T20,IF($Q$5=53,T20,IF($Q$5=54,T20,0))))))))))))))))))))))))))))</f>
        <v>C4</v>
      </c>
      <c r="X17" s="23"/>
      <c r="Y17" s="448"/>
      <c r="Z17" s="16" t="str">
        <f>+Q11</f>
        <v>C2</v>
      </c>
      <c r="AA17" s="69">
        <f>IF(ISTEXT(Z17),AA15,0)</f>
        <v>10</v>
      </c>
      <c r="AB17" s="18">
        <f>IF(ISTEXT(Z17),AB15,0)</f>
        <v>3</v>
      </c>
      <c r="AC17" s="62">
        <f>IF(ISTEXT(Z17),AC15,0)</f>
        <v>2</v>
      </c>
      <c r="AD17" s="11"/>
      <c r="AE17" s="16" t="str">
        <f>+T11</f>
        <v>C1</v>
      </c>
      <c r="AF17" s="18">
        <f>IF(ISTEXT(AE17),AF15,0)</f>
        <v>9</v>
      </c>
      <c r="AG17" s="18">
        <f>IF(ISTEXT(AE17),AG15,0)</f>
        <v>3</v>
      </c>
      <c r="AH17" s="62">
        <f>IF(ISTEXT(AE17),AH15,0)</f>
        <v>4</v>
      </c>
      <c r="AI17" s="11"/>
      <c r="AJ17" s="16" t="str">
        <f>+W11</f>
        <v>C6</v>
      </c>
      <c r="AK17" s="18">
        <f>IF(ISTEXT(AJ17),AK15,0)</f>
        <v>2</v>
      </c>
      <c r="AL17" s="18">
        <f>IF(ISTEXT(AJ17),AL15,0)</f>
        <v>1</v>
      </c>
      <c r="AM17" s="62">
        <f>IF(ISTEXT(AJ17),AM15,0)</f>
        <v>-11</v>
      </c>
      <c r="AN17" s="23"/>
      <c r="AO17" s="54">
        <v>9</v>
      </c>
      <c r="AP17" s="321" t="str">
        <f>+Inscrits!B11</f>
        <v>A9</v>
      </c>
      <c r="AQ17" s="286" t="str">
        <f t="shared" si="3"/>
        <v>0</v>
      </c>
      <c r="AR17" s="99" t="str">
        <f t="shared" si="4"/>
        <v>0</v>
      </c>
      <c r="AS17" s="219" t="str">
        <f t="shared" si="5"/>
        <v>0</v>
      </c>
      <c r="AT17" s="328" t="str">
        <f t="shared" si="6"/>
        <v>0</v>
      </c>
      <c r="AU17" s="329" t="str">
        <f t="shared" si="7"/>
        <v>0</v>
      </c>
      <c r="AV17" s="330" t="str">
        <f t="shared" si="8"/>
        <v>0</v>
      </c>
      <c r="AW17" s="286" t="str">
        <f t="shared" si="9"/>
        <v>0</v>
      </c>
      <c r="AX17" s="99" t="str">
        <f t="shared" si="10"/>
        <v>0</v>
      </c>
      <c r="AY17" s="291" t="str">
        <f t="shared" si="11"/>
        <v>0</v>
      </c>
      <c r="AZ17" s="286">
        <f t="shared" si="17"/>
        <v>0</v>
      </c>
      <c r="BA17" s="99">
        <f t="shared" si="12"/>
        <v>0</v>
      </c>
      <c r="BB17" s="291">
        <f t="shared" si="13"/>
        <v>0</v>
      </c>
      <c r="BC17" s="294">
        <f t="shared" si="14"/>
        <v>0</v>
      </c>
      <c r="BD17" s="7">
        <f t="shared" si="15"/>
        <v>0</v>
      </c>
      <c r="BE17" s="218">
        <f t="shared" si="16"/>
        <v>25.00000017</v>
      </c>
      <c r="BF17" s="99">
        <f>IF(AP17="","",SMALL(BE$9:BE$62,ROWS(AZ$9:AZ17)))</f>
        <v>8.9375002899999991</v>
      </c>
      <c r="BG17" s="88"/>
      <c r="BH17" s="95" t="str">
        <f>IF(OR(AP17="",AZ17=""),"",INDEX($AP$9:$AP$63,MATCH(BF17,$BE$9:BE$62,0)))</f>
        <v>B3</v>
      </c>
      <c r="BI17" s="294">
        <f t="shared" si="0"/>
        <v>5</v>
      </c>
      <c r="BJ17" s="7">
        <f t="shared" si="1"/>
        <v>6</v>
      </c>
      <c r="BK17" s="7">
        <f t="shared" si="2"/>
        <v>25</v>
      </c>
      <c r="BL17" s="280">
        <f>IF(BF17="","",IF(AND(BI16=BI17,BJ16=BJ17,BK16=BK17),BL16,$BL$9+8))</f>
        <v>9</v>
      </c>
      <c r="BM17" s="29"/>
      <c r="BN17" s="3"/>
    </row>
    <row r="18" spans="1:66" ht="21" thickBot="1">
      <c r="A18" s="131">
        <v>9</v>
      </c>
      <c r="B18" s="393" t="s">
        <v>74</v>
      </c>
      <c r="C18" s="272">
        <f>IF($Q$5&gt;=25,9,0)</f>
        <v>9</v>
      </c>
      <c r="D18" s="395" t="s">
        <v>92</v>
      </c>
      <c r="E18" s="272">
        <f>IF($Q$5&gt;=26,9,0)</f>
        <v>9</v>
      </c>
      <c r="F18" s="396" t="s">
        <v>110</v>
      </c>
      <c r="G18" s="272">
        <f>IF($Q$5&gt;=27,9,0)</f>
        <v>9</v>
      </c>
      <c r="H18" s="23"/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M18" s="155"/>
      <c r="N18" s="82">
        <v>5</v>
      </c>
      <c r="O18" s="138" t="str">
        <f>IF($Q$5=25,J18,IF($Q$5=26,J18,IF($Q$5=27,J18,IF(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</f>
        <v>A9</v>
      </c>
      <c r="P18" s="150" t="str">
        <f>IF($Q$5=25,L16,IF($Q$5=26,L16,IF($Q$5=27,L17,IF($Q$5=28,K18,IF($Q$5=29,K18,IF($Q$5=30,K18,IF($Q$5=31,K18,IF($Q$5=32,K19,IF($Q$5=33,K18,IF($Q$5=34,K18,IF($Q$5=35,K18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</f>
        <v>B9</v>
      </c>
      <c r="Q18" s="153" t="str">
        <f>IF($Q$5=29,L18,IF($Q$5=30,L18,IF($Q$5=33,L18,IF($Q$5=34,L18,IF($Q$5=35,L18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</f>
        <v>C9</v>
      </c>
      <c r="R18" s="167" t="str">
        <f>IF($Q$5=25,O19,IF($Q$5=26,O19,IF($Q$5=27,J10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S18" s="163" t="str">
        <f>IF($Q$5=25,L11,IF($Q$5=26,L11,IF(Q$5=27,Q11,IF($Q$5=28,L11,IF($Q$5=29,K10,IF($Q$5=30,K10,IF($Q$5=31,P21,IF($Q$5=32,P20,IF($Q$5=33,K10,IF($Q$5=34,K10,IF($Q$5=35,K10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))))))</f>
        <v>B1</v>
      </c>
      <c r="T18" s="182" t="str">
        <f>IF($Q$5=27,0,IF($Q$5=29,L11,IF($Q$5=30,L13,IF(J$5=32,0,IF($Q$5=33,L18,IF($Q$5=34,P21,IF($Q$5=35,L20,IF($Q$5=36,L21,IF($Q$5=37,P21,IF($Q$5=38,P23,IF($Q$5=39,L10,IF($Q$5=40,L21,IF($Q$5=41,L21,IF($Q$5=42,L21,IF($Q$5=43,P25,IF($Q$5=44,L21,IF($Q$5=45,L21,IF($Q$5=46,L21,IF($Q$5=47,L21,IF($Q$5=48,L21,IF($Q$5=49,L21,IF($Q$5=50,L21,IF($Q$5=51,L21,IF($Q$5=52,L21,IF($Q$5=53,L21,IF($Q$5=54,L21,0))))))))))))))))))))))))))</f>
        <v>C4</v>
      </c>
      <c r="U18" s="160" t="str">
        <f>IF($Q$5=25,R17,IF($Q$5=26,R17,IF($Q$5=27,R17,IF($Q$5=28,O17,IF($Q$5=29,O17,IF($Q$5=30,O17,IF($Q$5=31,R10,IF($Q$5=32,O19,IF($Q$5=33,O19,IF($Q$5=34,O20,IF($Q$5=35,R19,IF($Q$5=36,O20,IF($Q$5=37,R19,IF($Q$5=38,R19,IF($Q$5=39,O20,IF($Q$5=40,O20,IF($Q$5=41,O20,IF($Q$5=42,O20,IF($Q$5=43,O20,IF($Q$5=44,O20,IF($Q$5=45,O20,IF($Q$5=46,O20,IF($Q$5=47,O20,IF($Q$5=48,O20,IF($Q$5=49,O20,IF($Q$5=50,O20,IF($Q$5=51,O20,IF($Q$5=52,O20,IF($Q$5=53,O20,IF($Q$5=54,O20,0))))))))))))))))))))))))))))))</f>
        <v>A8</v>
      </c>
      <c r="V18" s="157" t="str">
        <f>IF($Q$5=25,T11,IF($Q$5=26,S18,IF($Q$5=27,R19,IF($Q$5=28,S12,IF($Q$5=29,S17,IF($Q$5=30,S18,IF($Q$5=31,S12,IF($Q$5=32,S13,IF($Q$5=33,S13,IF($Q$5=34,S13,IF($Q$5=35,S13,IF($Q$5=36,S20,IF($Q$5=37,S20,IF($Q$5=38,S20,IF($Q$5=39,S11,IF($Q$5=40,S20,IF($Q$5=41,S20,IF($Q$5=42,S20,IF($Q$5=43,S20,IF($Q$5=44,S20,IF($Q$5=45,S20,IF($Q$5=46,S20,IF($Q$5=47,S20,IF($Q$5=48,S20,IF($Q$5=49,S20,IF($Q$5=50,S20,IF($Q$5=51,S20,IF($Q$5=52,S20,IF($Q$5=53,S20,IF($Q$5=54,S20,0))))))))))))))))))))))))))))))</f>
        <v>B1</v>
      </c>
      <c r="W18" s="172" t="str">
        <f>IF($Q$5=29,T10,IF($Q$5=30,Q19,IF($Q$5=32,0,IF($Q$5=33,S20,IF($Q$5=34,T15,IF($Q$5=35,T15,IF($Q$5=36,T21,IF($Q$5=37,S23,IF($Q$5=38,S23,IF($Q$5=39,T19,IF($Q$5=40,T21,IF($Q$5=41,T21,IF($Q$5=42,T21,IF($Q$5=43,S25,IF($Q$5=44,T21,IF($Q$5=45,T21,IF($Q$5=46,T21,IF($Q$5=47,T21,IF($Q$5=48,T21,IF($Q$5=49,T21,IF($Q$5=50,T21,IF($Q$5=51,T21,IF($Q$5=52,T21,IF($Q$5=53,T21,IF($Q$5=54,T21,0)))))))))))))))))))))))))</f>
        <v>C10</v>
      </c>
      <c r="X18" s="23"/>
      <c r="Y18" s="128"/>
      <c r="Z18" s="70"/>
      <c r="AA18" s="231"/>
      <c r="AB18" s="70"/>
      <c r="AC18" s="70"/>
      <c r="AD18" s="231"/>
      <c r="AE18" s="70"/>
      <c r="AF18" s="231"/>
      <c r="AG18" s="70"/>
      <c r="AH18" s="70"/>
      <c r="AI18" s="231"/>
      <c r="AJ18" s="70"/>
      <c r="AK18" s="231"/>
      <c r="AL18" s="70"/>
      <c r="AM18" s="70"/>
      <c r="AN18" s="23"/>
      <c r="AO18" s="54">
        <v>10</v>
      </c>
      <c r="AP18" s="321" t="str">
        <f>+Inscrits!B12</f>
        <v>A10</v>
      </c>
      <c r="AQ18" s="286" t="str">
        <f t="shared" si="3"/>
        <v>0</v>
      </c>
      <c r="AR18" s="99" t="str">
        <f t="shared" si="4"/>
        <v>0</v>
      </c>
      <c r="AS18" s="219" t="str">
        <f t="shared" si="5"/>
        <v>0</v>
      </c>
      <c r="AT18" s="328" t="str">
        <f t="shared" si="6"/>
        <v>0</v>
      </c>
      <c r="AU18" s="329" t="str">
        <f t="shared" si="7"/>
        <v>0</v>
      </c>
      <c r="AV18" s="330" t="str">
        <f t="shared" si="8"/>
        <v>0</v>
      </c>
      <c r="AW18" s="286" t="str">
        <f t="shared" si="9"/>
        <v>0</v>
      </c>
      <c r="AX18" s="99" t="str">
        <f t="shared" si="10"/>
        <v>0</v>
      </c>
      <c r="AY18" s="291" t="str">
        <f t="shared" si="11"/>
        <v>0</v>
      </c>
      <c r="AZ18" s="286">
        <f t="shared" si="17"/>
        <v>0</v>
      </c>
      <c r="BA18" s="99">
        <f t="shared" si="12"/>
        <v>0</v>
      </c>
      <c r="BB18" s="291">
        <f t="shared" si="13"/>
        <v>0</v>
      </c>
      <c r="BC18" s="294">
        <f t="shared" si="14"/>
        <v>0</v>
      </c>
      <c r="BD18" s="7">
        <f t="shared" si="15"/>
        <v>0</v>
      </c>
      <c r="BE18" s="218">
        <f t="shared" si="16"/>
        <v>25.000000180000001</v>
      </c>
      <c r="BF18" s="99">
        <f>IF(AP18="","",SMALL(BE$9:BE$62,ROWS(AZ$9:AZ18)))</f>
        <v>8.9478001299999992</v>
      </c>
      <c r="BG18" s="88"/>
      <c r="BH18" s="95" t="str">
        <f>IF(OR(AP18="",AZ18=""),"",INDEX($AP$9:$AP$63,MATCH(BF18,$BE$9:BE$62,0)))</f>
        <v>A5</v>
      </c>
      <c r="BI18" s="294">
        <f t="shared" si="0"/>
        <v>5</v>
      </c>
      <c r="BJ18" s="7">
        <f t="shared" si="1"/>
        <v>5</v>
      </c>
      <c r="BK18" s="7">
        <f t="shared" si="2"/>
        <v>22</v>
      </c>
      <c r="BL18" s="280">
        <f>IF(BF18="","",IF(AND(BI17=BI18,BJ17=BJ18,BK17=BK18),BL17,$BL$9+9))</f>
        <v>10</v>
      </c>
      <c r="BM18" s="29"/>
      <c r="BN18" s="3"/>
    </row>
    <row r="19" spans="1:66" ht="21" thickBot="1">
      <c r="A19" s="131">
        <v>10</v>
      </c>
      <c r="B19" s="393" t="s">
        <v>75</v>
      </c>
      <c r="C19" s="272">
        <f>IF($Q$5&gt;=28,10,0)</f>
        <v>10</v>
      </c>
      <c r="D19" s="395" t="s">
        <v>93</v>
      </c>
      <c r="E19" s="272">
        <f>IF($Q$5&gt;=29,10,0)</f>
        <v>10</v>
      </c>
      <c r="F19" s="396" t="s">
        <v>111</v>
      </c>
      <c r="G19" s="272">
        <f>IF($Q$5&gt;=30,10,0)</f>
        <v>10</v>
      </c>
      <c r="H19" s="23"/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M19" s="155"/>
      <c r="N19" s="3" t="s">
        <v>5</v>
      </c>
      <c r="O19" s="141" t="str">
        <f>IF($Q$5=25,K17,IF($Q$5=26,K18,IF($Q$5=27,K18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P19" s="149" t="str">
        <f>IF($Q$5=25,L17,IF($Q$5=26,L17,IF($Q$5=27,L18,IF($Q$5=28,L18,IF($Q$5=29,K19,IF($Q$5=30,K19,IF($Q$5=31,L17,IF($Q$5=32,K18,IF($Q$5=33,K19,IF($Q$5=34,K19,IF($Q$5=35,K19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</f>
        <v>B10</v>
      </c>
      <c r="Q19" s="152" t="str">
        <f>IF($Q$5=30,L19,IF($Q$5=34,L19,IF($Q$5=35,L19,IF($Q$5=36,L19,IF($Q$5=38,L19,IF($Q$5=39,L19,IF($Q$5=40,L19,IF($Q$5=41,L19,IF($Q$5=42,L19,IF($Q$5=43,L19,IF($Q$5=44,L19,IF($Q$5=45,L19,IF($Q$5=46,L19,IF($Q$5=47,L19,IF($Q$5=48,L19,IF($Q$5=49,L19,IF($Q$5=50,L19,IF($Q$5=51,L19,IF($Q$5=52,L19,IF($Q$5=53,L19,IF($Q$5=54,L19,0)))))))))))))))))))))</f>
        <v>C10</v>
      </c>
      <c r="R19" s="168" t="str">
        <f>IF($Q$5=25,J10,IF($Q$5=26,J10,IF($Q$5=27,K10,IF($Q$5=28,J10,IF($Q$5=29,J10,IF($Q$5=30,J10,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))))))</f>
        <v>A1</v>
      </c>
      <c r="S19" s="159" t="str">
        <f>IF($Q$5=25,P18,IF($Q$5=26,K10,IF($Q$5=27,O19,IF($Q$5=28,K18,IF($Q$5=29,K18,IF($Q$5=30,K18,IF($Q$5=31,P19,IF($Q$5=32,P21,IF($Q$5=33,K19,IF($Q$5=34,K19,IF($Q$5=35,K19,IF($Q$5=36,K21,IF($Q$5=37,P11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))))))</f>
        <v>B9</v>
      </c>
      <c r="T19" s="183" t="str">
        <f>IF($Q$5=30,L19,IF($Q$5=34,L18,IF($Q$5=35,L18,IF($Q$5=36,L10,IF($Q$5=38,L10,IF($Q$5=39,L11,IF($Q$5=40,P23,IF($Q$5=41,L22,IF($Q$5=42,L22,IF($Q$5=43,P23,IF($Q$5=44,P24,IF($Q$5=45,L22,IF($Q$5=46,L22,IF($Q$5=47,L22,IF($Q$5=48,L22,IF($Q$5=49,L22,IF($Q$5=50,L22,IF($Q$5=51,L22,IF($Q$5=52,L22,IF($Q$5=53,L22,IF($Q$5=54,L22,0)))))))))))))))))))))</f>
        <v>C10</v>
      </c>
      <c r="U19" s="185" t="str">
        <f>IF($Q$5=25,O19,IF($Q$5=26,R18,IF($Q$5=27,S19,IF($Q$5=28,R18,IF($Q$5=29,O19,IF($Q$5=30,O19,IF($Q$5=31,R18,IF($Q$5=32,R10,IF($Q$5=33,O11,IF($Q$5=34,R10,IF($Q$5=35,R10,IF($Q$5=36,O21,IF($Q$5=37,R20,IF($Q$5=38,R20,IF($Q$5=39,O21,IF($Q$5=40,O21,IF($Q$5=41,O21,IF($Q$5=42,O21,IF($Q$5=43,R20,IF($Q$5=44,O21,IF($Q$5=45,R20,IF($Q$5=46,O21,IF($Q$5=47,O21,IF($Q$5=48,O21,IF($Q$5=49,O21,IF($Q$5=50,O21,IF($Q$5=51,O21,IF($Q$5=52,O21,IF($Q$5=53,O21,IF($Q$5=54,O21,0))))))))))))))))))))))))))))))</f>
        <v>A10</v>
      </c>
      <c r="V19" s="162" t="str">
        <f>IF($Q$5=25,S12,IF($Q$5=26,T10,IF($Q$5=27,T10,IF($Q$5=28,T10,IF($Q$5=29,S12,IF($Q$5=30,S12,IF($Q$5=31,T16,IF($Q$5=32,S14,IF($Q$5=33,S14,IF($Q$5=34,S20,IF($Q$5=35,S20,IF($Q$5=36,S21,IF($Q$5=37,S11,IF($Q$5=38,S21,IF($Q$5=39,S20,IF($Q$5=40,S21,IF($Q$5=41,S21,IF($Q$5=42,S21,IF($Q$5=43,S11,IF($Q$5=44,S21,IF($Q$5=45,S21,IF($Q$5=46,S21,IF($Q$5=47,S21,IF($Q$5=48,S21,IF($Q$5=49,S21,IF($Q$5=50,S21,IF($Q$5=51,S21,IF($Q$5=52,S21,IF($Q$5=53,S21,IF($Q$5=54,S21,0))))))))))))))))))))))))))))))</f>
        <v>B2</v>
      </c>
      <c r="W19" s="174" t="str">
        <f>IF($Q$5=30,T10,IF($Q$5=35,T16,IF($Q$5=36,T10,IF($Q$5=38,T10,IF($Q$5=39,T20,IF($Q$5=34,S21,IF($Q$5=40,S23,IF($Q$5=41,T22,IF($Q$5=42,T22,IF($Q$5=43,S23,IF($Q$5=44,S23,IF($Q$5=45,T22,IF($Q$5=46,T22,IF($Q$5=47,T22,IF($Q$5=48,T22,IF($Q$5=49,T22,IF($Q$5=50,T22,IF($Q$5=51,S27,IF($Q$5=52,T22,IF($Q$5=53,T22,IF($Q$5=54,T22,0)))))))))))))))))))))</f>
        <v>C3</v>
      </c>
      <c r="X19" s="23"/>
      <c r="Y19" s="446">
        <v>2</v>
      </c>
      <c r="Z19" s="12" t="str">
        <f>+O12</f>
        <v>A3</v>
      </c>
      <c r="AA19" s="33">
        <v>8</v>
      </c>
      <c r="AB19" s="48">
        <f>IF(AA19+AA23=0,0,IF(AA19=AA23,2,IF(AA19&gt;AA23,3,1)))</f>
        <v>1</v>
      </c>
      <c r="AC19" s="13">
        <f>AA19-AA23</f>
        <v>-3</v>
      </c>
      <c r="AD19" s="24"/>
      <c r="AE19" s="12" t="str">
        <f>+R12</f>
        <v>A4</v>
      </c>
      <c r="AF19" s="126">
        <v>6</v>
      </c>
      <c r="AG19" s="48">
        <f>IF(AF19+AF23=0,0,IF(AF19=AF23,2,IF(AF19&gt;AF23,3,1)))</f>
        <v>3</v>
      </c>
      <c r="AH19" s="13">
        <f>AF19-AF23</f>
        <v>2</v>
      </c>
      <c r="AI19" s="24"/>
      <c r="AJ19" s="12" t="str">
        <f>+U12</f>
        <v>A3</v>
      </c>
      <c r="AK19" s="36">
        <v>10</v>
      </c>
      <c r="AL19" s="48">
        <f>IF(AK19+AK23=0,0,IF(AK19=AK23,2,IF(AK19&gt;AK23,3,1)))</f>
        <v>3</v>
      </c>
      <c r="AM19" s="13">
        <f>AK19-AK23</f>
        <v>5</v>
      </c>
      <c r="AN19" s="23"/>
      <c r="AO19" s="54">
        <v>11</v>
      </c>
      <c r="AP19" s="321" t="str">
        <f>+Inscrits!B13</f>
        <v>A11</v>
      </c>
      <c r="AQ19" s="286" t="str">
        <f t="shared" si="3"/>
        <v xml:space="preserve"> </v>
      </c>
      <c r="AR19" s="99" t="str">
        <f t="shared" si="4"/>
        <v xml:space="preserve"> </v>
      </c>
      <c r="AS19" s="219" t="str">
        <f t="shared" si="5"/>
        <v xml:space="preserve"> </v>
      </c>
      <c r="AT19" s="328" t="str">
        <f t="shared" si="6"/>
        <v xml:space="preserve"> </v>
      </c>
      <c r="AU19" s="329" t="str">
        <f t="shared" si="7"/>
        <v xml:space="preserve"> </v>
      </c>
      <c r="AV19" s="330" t="str">
        <f t="shared" si="8"/>
        <v xml:space="preserve"> </v>
      </c>
      <c r="AW19" s="286" t="str">
        <f t="shared" si="9"/>
        <v xml:space="preserve"> </v>
      </c>
      <c r="AX19" s="99" t="str">
        <f t="shared" si="10"/>
        <v xml:space="preserve"> </v>
      </c>
      <c r="AY19" s="291" t="str">
        <f t="shared" si="11"/>
        <v xml:space="preserve"> </v>
      </c>
      <c r="AZ19" s="286">
        <f t="shared" si="17"/>
        <v>0</v>
      </c>
      <c r="BA19" s="99">
        <f t="shared" si="12"/>
        <v>0</v>
      </c>
      <c r="BB19" s="291">
        <f t="shared" si="13"/>
        <v>0</v>
      </c>
      <c r="BC19" s="294">
        <f t="shared" si="14"/>
        <v>0</v>
      </c>
      <c r="BD19" s="7">
        <f t="shared" si="15"/>
        <v>0</v>
      </c>
      <c r="BE19" s="218">
        <f t="shared" si="16"/>
        <v>25.000000190000002</v>
      </c>
      <c r="BF19" s="99">
        <f>IF(AP19="","",SMALL(BE$9:BE$62,ROWS(AZ$9:AZ19)))</f>
        <v>9.0479000999999997</v>
      </c>
      <c r="BG19" s="88"/>
      <c r="BH19" s="95" t="str">
        <f>IF(OR(AP19="",AZ19=""),"",INDEX($AP$9:$AP$63,MATCH(BF19,$BE$9:BE$62,0)))</f>
        <v>A2</v>
      </c>
      <c r="BI19" s="294">
        <f t="shared" si="0"/>
        <v>5</v>
      </c>
      <c r="BJ19" s="7">
        <f t="shared" si="1"/>
        <v>-5</v>
      </c>
      <c r="BK19" s="7">
        <f t="shared" si="2"/>
        <v>21</v>
      </c>
      <c r="BL19" s="280">
        <f>IF(BF19="","",IF(AND(BI18=BI19,BJ18=BJ19,BK18=BK19),BL18,$BL$9+10))</f>
        <v>11</v>
      </c>
      <c r="BM19" s="29"/>
      <c r="BN19" s="3"/>
    </row>
    <row r="20" spans="1:66" ht="21" thickBot="1">
      <c r="A20" s="131">
        <v>11</v>
      </c>
      <c r="B20" s="393" t="s">
        <v>76</v>
      </c>
      <c r="C20" s="272">
        <f>IF($Q$5&gt;=31,11,0)</f>
        <v>0</v>
      </c>
      <c r="D20" s="398"/>
      <c r="E20" s="272">
        <f>IF($Q$5&gt;=32,11,0)</f>
        <v>0</v>
      </c>
      <c r="F20" s="396"/>
      <c r="G20" s="272">
        <f>IF($Q$5&gt;=33,11,0)</f>
        <v>0</v>
      </c>
      <c r="H20" s="23"/>
      <c r="I20" s="196">
        <v>11</v>
      </c>
      <c r="J20" s="204" t="str">
        <f>IF(ISNA(MATCH(I20,$C$10:$C$27,0)),"",INDEX(B$10:$B$27,MATCH(I20,$C$10:$C$27,0)))</f>
        <v/>
      </c>
      <c r="K20" s="137" t="str">
        <f>IF(ISNA(MATCH(I20,$E$10:$E$27,0)),"",INDEX($D$10:D$27,MATCH(I20,$E$10:$E$27,0)))</f>
        <v/>
      </c>
      <c r="L20" s="188" t="str">
        <f>IF(ISNA(MATCH(I20,$G$10:$G$27,0)),"",INDEX($F$10:F$27,MATCH(I20,$G$10:$G$27,0)))</f>
        <v/>
      </c>
      <c r="M20" s="155"/>
      <c r="N20" s="3">
        <v>6</v>
      </c>
      <c r="O20" s="138">
        <f>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</f>
        <v>0</v>
      </c>
      <c r="P20" s="150">
        <f>IF($Q$5=31,L18,IF($Q$5=32,L18,IF($Q$5=33,L19,IF($Q$5=34,K20,IF($Q$5=35,K20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</f>
        <v>0</v>
      </c>
      <c r="Q20" s="153">
        <f>IF($Q$5=35,L20,IF($Q$5=36,L20,IF($Q$5=39,L20,IF($Q$5=40,L20,IF($Q$5=41,L20,IF($Q$5=42,L20,IF($Q$5=43,L20,IF($Q$5=44,L20,IF($Q$5=45,L20,IF($Q$5=46,L20,IF($Q$5=47,L20,IF($Q$5=48,L20,IF($Q$5=49,L20,IF($Q$5=50,L20,IF($Q$5=51,L20,IF($Q$5=52,L20,IF($Q$5=53,L20,IF($Q$5=54,L20,0))))))))))))))))))</f>
        <v>0</v>
      </c>
      <c r="R20" s="165">
        <f>IF($Q$5=31,J10,IF($Q$5=32,K20,IF($Q$5=33,J10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0</v>
      </c>
      <c r="S20" s="157">
        <f>IF($Q$5=31,P20,IF($Q$5=32,K10,IF($Q$5=33,P21,IF($Q$5=34,K20,IF($Q$5=35,K20,IF($Q$5=36,K10,IF($Q$5=37,K10,IF($Q$5=38,P11,IF($Q$5=39,K10,IF($Q$5=40,K22,IF($Q$5=41,K22,IF($Q$5=42,K22,IF($Q$5=43,K22,IF($Q$5=44,K22,IF($Q$5=45,K22,IF($Q$5=46,K22,IF($Q$5=47,K22,IF($Q$5=48,K22,IF($Q$5=49,K22,IF($Q$5=50,K22,IF($Q$5=51,K22,IF($Q$5=52,K22,IF($Q$5=53,K22,IF($Q$5=54,K22,0))))))))))))))))))))))))</f>
        <v>0</v>
      </c>
      <c r="T20" s="179">
        <f>IF($Q$5=35,L19,IF($Q$5=36,L11,IF($Q$5=39,L12,IF($Q$5=40,L10,IF($Q$5=41,L10,IF($Q$5=42,L23,IF($Q$5=43,P24,IF($Q$5=44,P25,IF($Q$5=45,P24,IF($Q$5=46,L23,IF($Q$5=47,L23,IF($Q$5=48,L23,IF($Q$5=49,L10,IF($Q$5=50,L23,IF($Q$5=51,L23,IF($Q$5=52,L23,IF($Q$5=53,L23,IF($Q$5=54,L23,0))))))))))))))))))</f>
        <v>0</v>
      </c>
      <c r="U20" s="165">
        <f>IF($Q$5=30,0,IF($Q$5=31,R19,IF($Q$5=32,R19,IF($Q$5=33,R19,IF($Q$5=34,R18,IF($Q$5=35,R18,IF($Q$5=36,O10,IF($Q$5=37,R21,IF($Q$5=38,R21,IF($Q$5=39,O22,IF($Q$5=40,R21,IF($Q$5=41,O22,IF($Q$5=42,O22,IF($Q$5=43,R21,IF($Q$5=44,R21,IF($Q$5=45,O22,IF($Q$5=46,O22,IF($Q$5=47,O22,IF($Q$5=48,O22,IF($Q$5=49,O22,IF($Q$5=50,O22,IF($Q$5=51,R21,IF($Q$5=52,O22,IF($Q$5=53,O22,IF($Q$5=54,O22,0)))))))))))))))))))))))))</f>
        <v>0</v>
      </c>
      <c r="V20" s="163">
        <f>IF($Q$5=31,T10,IF($Q$5=32,S18,IF($Q$5=33,T18,IF($Q$5=34,S14,IF($Q$5=35,S21,IF($Q$5=36,S10,IF($Q$5=37,S10,IF($Q$5=38,S11,IF($Q$5=39,S21,IF($Q$5=40,S22,IF($Q$5=41,S22,IF($Q$5=42,S22,IF($Q$5=43,S22,IF($Q$5=44,S22,IF($Q$5=45,S22,IF($Q$5=46,S22,IF($Q$5=47,S22,IF($Q$5=48,S22,IF($Q$5=49,S22,IF($Q$5=50,S22,IF($Q$5=51,S22,IF($Q$5=52,S22,IF($Q$5=53,S22,IF($Q$5=54,S22,0))))))))))))))))))))))))</f>
        <v>0</v>
      </c>
      <c r="W20" s="173">
        <f>IF($Q$5=35,T18,IF($Q$5=36,T11,IF($Q$5=39,T10,IF($Q$5=40,T10,IF($Q$5=41,T10,IF($Q$5=42,T23,IF($Q$5=43,S24,IF($Q$5=44,S24,IF($Q$5=45,S24,IF($Q$5=46,T23,IF($Q$5=47,T23,IF($Q$5=48,T23,IF($Q$5=49,T10,IF($Q$5=50,T23,IF($Q$5=51,S26,IF($Q$5=52,S27,IF($Q$5=53,T23,IF($Q$5=54,T23,0))))))))))))))))))</f>
        <v>0</v>
      </c>
      <c r="X20" s="23"/>
      <c r="Y20" s="447"/>
      <c r="Z20" s="14" t="str">
        <f>+P12</f>
        <v>B3</v>
      </c>
      <c r="AA20" s="18">
        <f>IF(ISTEXT(Z20),AA19,0)</f>
        <v>8</v>
      </c>
      <c r="AB20" s="18">
        <f>IF(ISTEXT(Z20),AB19,0)</f>
        <v>1</v>
      </c>
      <c r="AC20" s="62">
        <f>IF(ISTEXT(Z20),AC19,0)</f>
        <v>-3</v>
      </c>
      <c r="AD20" s="11"/>
      <c r="AE20" s="14" t="str">
        <f>+S12</f>
        <v>B2</v>
      </c>
      <c r="AF20" s="18">
        <f>IF(ISTEXT(AE20),AF19,0)</f>
        <v>6</v>
      </c>
      <c r="AG20" s="59">
        <f>IF(ISTEXT(AE20),AG19,0)</f>
        <v>3</v>
      </c>
      <c r="AH20" s="62">
        <f>IF(ISTEXT(AE20),AH19,0)</f>
        <v>2</v>
      </c>
      <c r="AI20" s="11"/>
      <c r="AJ20" s="14" t="str">
        <f>+V12</f>
        <v>B4</v>
      </c>
      <c r="AK20" s="18">
        <f>IF(ISTEXT(AJ20),AK19,0)</f>
        <v>10</v>
      </c>
      <c r="AL20" s="59">
        <f>IF(ISTEXT(AJ20),AL19,0)</f>
        <v>3</v>
      </c>
      <c r="AM20" s="62">
        <f>IF(ISTEXT(AJ20),AM19,0)</f>
        <v>5</v>
      </c>
      <c r="AN20" s="23"/>
      <c r="AO20" s="54">
        <v>12</v>
      </c>
      <c r="AP20" s="321" t="str">
        <f>+Inscrits!B14</f>
        <v>A12</v>
      </c>
      <c r="AQ20" s="286" t="str">
        <f t="shared" si="3"/>
        <v xml:space="preserve"> </v>
      </c>
      <c r="AR20" s="99" t="str">
        <f t="shared" si="4"/>
        <v xml:space="preserve"> </v>
      </c>
      <c r="AS20" s="219" t="str">
        <f t="shared" si="5"/>
        <v xml:space="preserve"> </v>
      </c>
      <c r="AT20" s="328" t="str">
        <f t="shared" si="6"/>
        <v xml:space="preserve"> </v>
      </c>
      <c r="AU20" s="329" t="str">
        <f t="shared" si="7"/>
        <v xml:space="preserve"> </v>
      </c>
      <c r="AV20" s="330" t="str">
        <f t="shared" si="8"/>
        <v xml:space="preserve"> </v>
      </c>
      <c r="AW20" s="286" t="str">
        <f t="shared" si="9"/>
        <v xml:space="preserve"> </v>
      </c>
      <c r="AX20" s="99" t="str">
        <f t="shared" si="10"/>
        <v xml:space="preserve"> </v>
      </c>
      <c r="AY20" s="291" t="str">
        <f t="shared" si="11"/>
        <v xml:space="preserve"> </v>
      </c>
      <c r="AZ20" s="286">
        <f t="shared" si="17"/>
        <v>0</v>
      </c>
      <c r="BA20" s="99">
        <f t="shared" si="12"/>
        <v>0</v>
      </c>
      <c r="BB20" s="291">
        <f t="shared" si="13"/>
        <v>0</v>
      </c>
      <c r="BC20" s="294">
        <f t="shared" si="14"/>
        <v>0</v>
      </c>
      <c r="BD20" s="7">
        <f t="shared" si="15"/>
        <v>0</v>
      </c>
      <c r="BE20" s="218">
        <f t="shared" si="16"/>
        <v>25.000000199999999</v>
      </c>
      <c r="BF20" s="99">
        <f>IF(AP20="","",SMALL(BE$9:BE$62,ROWS(AZ$9:AZ20)))</f>
        <v>11.90790009</v>
      </c>
      <c r="BG20" s="88"/>
      <c r="BH20" s="95" t="str">
        <f>IF(OR(AP20="",AZ20=""),"",INDEX($AP$9:$AP$63,MATCH(BF20,$BE$9:BE$62,0)))</f>
        <v>A1</v>
      </c>
      <c r="BI20" s="294">
        <f t="shared" si="0"/>
        <v>4</v>
      </c>
      <c r="BJ20" s="7">
        <f t="shared" si="1"/>
        <v>9</v>
      </c>
      <c r="BK20" s="7">
        <f t="shared" si="2"/>
        <v>21</v>
      </c>
      <c r="BL20" s="280">
        <f>IF(BF20="","",IF(AND(BI19=BI20,BJ19=BJ20,BK19=BK20),BL19,$BL$9+11))</f>
        <v>12</v>
      </c>
      <c r="BM20" s="29"/>
      <c r="BN20" s="3"/>
    </row>
    <row r="21" spans="1:66" ht="21" thickBot="1">
      <c r="A21" s="131">
        <v>12</v>
      </c>
      <c r="B21" s="393"/>
      <c r="C21" s="272">
        <f>IF($Q$5&gt;=34,12,0)</f>
        <v>0</v>
      </c>
      <c r="D21" s="393"/>
      <c r="E21" s="272">
        <f>IF($Q$5&gt;=35,12,0)</f>
        <v>0</v>
      </c>
      <c r="F21" s="396"/>
      <c r="G21" s="272">
        <f>IF($Q$5&gt;=36,12,0)</f>
        <v>0</v>
      </c>
      <c r="H21" s="23"/>
      <c r="I21" s="196">
        <v>12</v>
      </c>
      <c r="J21" s="204" t="str">
        <f>IF(ISNA(MATCH(I21,$C$10:$C$27,0)),"",INDEX(B$10:$B$27,MATCH(I21,$C$10:$C$27,0)))</f>
        <v/>
      </c>
      <c r="K21" s="137" t="str">
        <f>IF(ISNA(MATCH(I21,$E$10:$E$27,0)),"",INDEX($D$10:D$27,MATCH(I21,$E$10:$E$27,0)))</f>
        <v/>
      </c>
      <c r="L21" s="188" t="str">
        <f>IF(ISNA(MATCH(I21,$G$10:$G$27,0)),"",INDEX($F$10:F$27,MATCH(I21,$G$10:$G$27,0)))</f>
        <v/>
      </c>
      <c r="M21" s="155"/>
      <c r="N21" s="52" t="s">
        <v>5</v>
      </c>
      <c r="O21" s="141">
        <f>IF($Q$5=31,K19,IF($Q$5=32,K20,IF($Q$5=33,K20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0</v>
      </c>
      <c r="P21" s="149">
        <f>IF($Q$5=31,L19,IF($Q$5=32,L19,IF($Q$5=33,L20,IF($Q$5=34,L20,IF($Q$5=35,K21,IF($Q$5=36,K21,IF($Q$5=37,L21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</f>
        <v>0</v>
      </c>
      <c r="Q21" s="152">
        <f>IF($Q$5=36,L21,IF($Q$5=40,L21,IF($Q$5=41,L21,IF($Q$5=42,L21,IF($Q$5=43,0,IF($Q$5=44,L21,IF($Q$5=45,L21,IF($Q$5=46,L21,IF($Q$5=47,L21,IF($Q$5=48,L21,IF($Q$5=49,L21,IF($Q$5=50,L21,IF($Q$5=51,L21,IF($Q$5=52,L21,IF($Q$5=53,L21,IF($Q$5=54,L21,0))))))))))))))))</f>
        <v>0</v>
      </c>
      <c r="R21" s="169">
        <f>IF($Q$5=31,K11,IF($Q$5=32,J10,IF($Q$5=33,O21,IF($Q$5=34,J10,IF($Q$5=35,J10,IF($Q$5=36,J10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)))))</f>
        <v>0</v>
      </c>
      <c r="S21" s="162">
        <f>IF($Q$5=31,O21,IF($Q$5=32,P18,IF($Q$5=33,P20,IF($Q$5=34,L19,IF($Q$5=35,K21,IF($Q$5=36,K11,IF($Q$5=37,L10,IF($Q$5=38,K10,IF($Q$5=39,K11,IF($Q$5=40,K10,IF($Q$5=41,K23,IF($Q$5=42,K23,IF($Q$5=43,P11,IF($Q$5=44,K23,IF($Q$5=45,K23,IF($Q$5=46,K23,IF($Q$5=47,K23,IF($Q$5=48,K23,IF($Q$5=49,K23,IF($Q$5=50,K23,IF($Q$5=51,K23,IF($Q$5=52,K23,IF($Q$5=53,K23,IF($Q$5=54,K23,0))))))))))))))))))))))))</f>
        <v>0</v>
      </c>
      <c r="T21" s="181">
        <f>IF($Q$5=36,L12,IF($Q$5=40,L11,IF($Q$5=41,L11,IF($Q$5=42,L10,IF($Q$5=43,0,IF($Q$5=44,L10,IF($Q$5=45,P25,IF($Q$5=46,P25,IF($Q$5=47,L24,IF($Q$5=48,L24,IF($Q$5=49,L11,IF($Q$5=50,P26,IF($Q$5=51,L24,IF($Q$5=52,L24,IF($Q$5=53,L24,IF($Q$5=54,L24,0))))))))))))))))</f>
        <v>0</v>
      </c>
      <c r="U21" s="184">
        <f>IF($Q$5=31,S21,IF($Q$5=32,R20,IF($Q$5=33,R21,IF($Q$5=34,R20,IF($Q$5=35,R20,IF($Q$5=36,O11,IF($Q$5=37,R22,IF($Q$5=38,R22,IF($Q$5=39,O10,IF($Q$5=40,R22,IF($Q$5=41,R22,IF($Q$5=42,O23,IF($Q$5=43,R22,IF($Q$5=44,O23,IF($Q$5=45,R22,IF($Q$5=46,O23,IF($Q$5=47,O23,IF($Q$5=48,R22,IF($Q$5=49,R22,IF($Q$5=50,O23,IF($Q$5=51,R22,IF($Q$5=52,R22,IF($Q$5=53,O23,IF($Q$5=54,O23,0))))))))))))))))))))))))</f>
        <v>0</v>
      </c>
      <c r="V21" s="162">
        <f>IF($Q$5=31,S15,IF($Q$5=32,S19,IF($Q$5=33,S21,IF($Q$5=34,T19,IF($Q$5=35,S14,IF($Q$5=36,S11,IF($Q$5=37,T10,IF($Q$5=38,S10,IF($Q$5=39,S10,IF($Q$5=40,S10,IF($Q$5=41,S23,IF($Q$5=42,S23,IF($Q$5=43,S21,IF($Q$5=44,S11,IF($Q$5=45,S23,IF($Q$5=46,S23,IF($Q$5=47,S23,IF($Q$5=48,S23,IF($Q$5=49,S23,IF($Q$5=50,S23,IF($Q$5=51,S23,IF($Q$5=52,S23,IF($Q$5=53,S23,IF($Q$5=54,S23,0))))))))))))))))))))))))</f>
        <v>0</v>
      </c>
      <c r="W21" s="174">
        <f>IF($Q$5=36,T12,IF($Q$5=39,0,IF($Q$5=40,T11,IF($Q$5=41,T11,IF($Q$5=42,T10,IF($Q$5=43,0,IF($Q$5=44,T10,IF($Q$5=45,S25,IF($Q$5=46,S25,IF($Q$5=47,T24,IF($Q$5=48,T24,IF($Q$5=49,T11,IF($Q$5=50,S26,IF($Q$5=51,T22,IF($Q$5=52,T23,IF($Q$5=53,T24,IF($Q$5=54,T24,0)))))))))))))))))</f>
        <v>0</v>
      </c>
      <c r="X21" s="23"/>
      <c r="Y21" s="447"/>
      <c r="Z21" s="14" t="str">
        <f>+Q12</f>
        <v>C3</v>
      </c>
      <c r="AA21" s="67">
        <f>IF(ISTEXT(Z21),AA19,0)</f>
        <v>8</v>
      </c>
      <c r="AB21" s="67">
        <f>IF(ISTEXT(Z21),AB19,0)</f>
        <v>1</v>
      </c>
      <c r="AC21" s="68">
        <f>IF(ISTEXT(Z21),AC19,0)</f>
        <v>-3</v>
      </c>
      <c r="AD21" s="11"/>
      <c r="AE21" s="14" t="str">
        <f>+T12</f>
        <v>C5</v>
      </c>
      <c r="AF21" s="67">
        <f>IF(ISTEXT(AE21),AF19,0)</f>
        <v>6</v>
      </c>
      <c r="AG21" s="64">
        <f>IF(ISTEXT(AE21),AG19,0)</f>
        <v>3</v>
      </c>
      <c r="AH21" s="68">
        <f>IF(ISTEXT(AE21),AH19,0)</f>
        <v>2</v>
      </c>
      <c r="AI21" s="11"/>
      <c r="AJ21" s="14" t="str">
        <f>+W12</f>
        <v>C2</v>
      </c>
      <c r="AK21" s="67">
        <f>IF(ISTEXT(AJ21),AK19,0)</f>
        <v>10</v>
      </c>
      <c r="AL21" s="64">
        <f>IF(ISTEXT(AJ21),AL19,0)</f>
        <v>3</v>
      </c>
      <c r="AM21" s="68">
        <f>IF(ISTEXT(AJ21),AM19,0)</f>
        <v>5</v>
      </c>
      <c r="AN21" s="23"/>
      <c r="AO21" s="54">
        <v>13</v>
      </c>
      <c r="AP21" s="321" t="str">
        <f>+Inscrits!B15</f>
        <v>A13</v>
      </c>
      <c r="AQ21" s="286" t="str">
        <f t="shared" si="3"/>
        <v xml:space="preserve"> </v>
      </c>
      <c r="AR21" s="99" t="str">
        <f t="shared" si="4"/>
        <v xml:space="preserve"> </v>
      </c>
      <c r="AS21" s="219" t="str">
        <f t="shared" si="5"/>
        <v xml:space="preserve"> </v>
      </c>
      <c r="AT21" s="328" t="str">
        <f t="shared" si="6"/>
        <v xml:space="preserve"> </v>
      </c>
      <c r="AU21" s="329" t="str">
        <f t="shared" si="7"/>
        <v xml:space="preserve"> </v>
      </c>
      <c r="AV21" s="330" t="str">
        <f t="shared" si="8"/>
        <v xml:space="preserve"> </v>
      </c>
      <c r="AW21" s="286" t="str">
        <f t="shared" si="9"/>
        <v xml:space="preserve"> </v>
      </c>
      <c r="AX21" s="99" t="str">
        <f t="shared" si="10"/>
        <v xml:space="preserve"> </v>
      </c>
      <c r="AY21" s="291" t="str">
        <f t="shared" si="11"/>
        <v xml:space="preserve"> </v>
      </c>
      <c r="AZ21" s="286">
        <f t="shared" si="17"/>
        <v>0</v>
      </c>
      <c r="BA21" s="99">
        <f t="shared" si="12"/>
        <v>0</v>
      </c>
      <c r="BB21" s="291">
        <f t="shared" si="13"/>
        <v>0</v>
      </c>
      <c r="BC21" s="294">
        <f t="shared" si="14"/>
        <v>0</v>
      </c>
      <c r="BD21" s="7">
        <f t="shared" si="15"/>
        <v>0</v>
      </c>
      <c r="BE21" s="218">
        <f t="shared" si="16"/>
        <v>25.00000021</v>
      </c>
      <c r="BF21" s="99">
        <f>IF(AP21="","",SMALL(BE$9:BE$62,ROWS(AZ$9:AZ21)))</f>
        <v>11.978300450000001</v>
      </c>
      <c r="BG21" s="88"/>
      <c r="BH21" s="95" t="str">
        <f>IF(OR(AP21="",AZ21=""),"",INDEX($AP$9:$AP$63,MATCH(BF21,$BE$9:BE$62,0)))</f>
        <v>C1</v>
      </c>
      <c r="BI21" s="294">
        <f t="shared" si="0"/>
        <v>4</v>
      </c>
      <c r="BJ21" s="7">
        <f t="shared" si="1"/>
        <v>2</v>
      </c>
      <c r="BK21" s="7">
        <f t="shared" si="2"/>
        <v>17</v>
      </c>
      <c r="BL21" s="280">
        <f>IF(BF21="","",IF(AND(BI20=BI21,BJ20=BJ21,BK20=BK21),BL20,$BL$9+12))</f>
        <v>13</v>
      </c>
      <c r="BM21" s="29"/>
      <c r="BN21" s="3"/>
    </row>
    <row r="22" spans="1:66" ht="20.25">
      <c r="A22" s="131">
        <v>13</v>
      </c>
      <c r="B22" s="393"/>
      <c r="C22" s="272">
        <f>IF($Q$5&gt;=37,13,0)</f>
        <v>0</v>
      </c>
      <c r="D22" s="393"/>
      <c r="E22" s="272">
        <f>IF($Q$5&gt;=38,13,0)</f>
        <v>0</v>
      </c>
      <c r="F22" s="396"/>
      <c r="G22" s="272">
        <f>IF($Q$5&gt;=39,13,0)</f>
        <v>0</v>
      </c>
      <c r="H22" s="23"/>
      <c r="I22" s="196">
        <v>13</v>
      </c>
      <c r="J22" s="204" t="str">
        <f>IF(ISNA(MATCH(I22,$C$10:$C$27,0)),"",INDEX(B$10:$B$27,MATCH(I22,$C$10:$C$27,0)))</f>
        <v/>
      </c>
      <c r="K22" s="137" t="str">
        <f>IF(ISNA(MATCH(I22,$E$10:$E$27,0)),"",INDEX($D$10:D$27,MATCH(I22,$E$10:$E$27,0)))</f>
        <v/>
      </c>
      <c r="L22" s="188" t="str">
        <f>IF(ISNA(MATCH(I22,$G$10:$G$27,0)),"",INDEX($F$10:F$27,MATCH(I22,$G$10:$G$27,0)))</f>
        <v/>
      </c>
      <c r="M22" s="155"/>
      <c r="N22" s="82">
        <v>7</v>
      </c>
      <c r="O22" s="147">
        <f>IF($Q$5=36,0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</f>
        <v>0</v>
      </c>
      <c r="P22" s="151">
        <f>IF($Q$5=36,0,IF($Q$5=37,L20,IF($Q$5=38,L20,IF($Q$5=39,L21,IF($Q$5=40,K22,IF($Q$5=41,K22,IF($Q$5=42,K22,IF($Q$5=43,K22,IF($Q$5=44,K22,IF($Q$5=45,K22,IF($Q$5=46,K22,IF($Q$5=47,K22,IF($Q$5=48,K22,IF($Q$5=49,K22,IF($Q$5=50,K22,IF($Q$5=51,K22,IF($Q$5=52,K22,IF($Q$5=53,K22,IF($Q$5=54,K22,0)))))))))))))))))))</f>
        <v>0</v>
      </c>
      <c r="Q22" s="148">
        <f>IF($Q$5=39,0,IF($Q$5=40,0,IF($Q$5=41,L22,IF($Q$5=42,L22,IF($Q$5=43,0,IF($Q$5=44,0,IF($Q$5=45,L22,IF($Q$5=46,L22,IF($Q$5=47,L22,IF($Q$5=48,L22,IF($Q$5=49,L22,IF($Q$5=50,L22,IF($Q$5=51,L22,IF($Q$5=52,L22,IF($Q$5=53,L22,IF($Q$5=54,L22,0))))))))))))))))</f>
        <v>0</v>
      </c>
      <c r="R22" s="165">
        <f>IF($Q$5=33,0,IF($Q$5=34,0,IF($Q$5=35,0,IF($Q$5=36,0,IF($Q$5=37,J10,IF($Q$5=38,J10,IF($Q$5=39,J10,IF($Q$5=40,J23,IF($Q$5=41,J23,IF($Q$5=42,J23,IF($Q$5=43,J23,IF($Q$5=44,J23,IF($Q$5=45,J23,IF($Q$5=46,J23,IF($Q$5=47,J23,IF($Q$5=48,J23,IF($Q$5=49,J23,IF($Q$5=50,J23,IF($Q$5=51,J23,IF($Q$5=52,J23,IF($Q$5=53,J23,IF($Q$5=54,J23,0))))))))))))))))))))))</f>
        <v>0</v>
      </c>
      <c r="S22" s="157">
        <f>IF($Q$5=37,L11,IF($Q$5=38,L11,IF($Q$5=39,P23,IF($Q$5=40,K11,IF($Q$5=41,K10,IF($Q$5=42,K10,IF($Q$5=43,K10,IF($Q$5=44,P10,IF($Q$5=45,P11,IF($Q$5=46,K24,IF($Q$5=47,K24,IF($Q$5=48,K24,IF($Q$5=49,K24,IF($Q$5=50,K24,IF($Q$5=51,K24,IF($Q$5=52,K24,IF($Q$5=53,K24,IF($Q$5=54,K24,0))))))))))))))))))</f>
        <v>0</v>
      </c>
      <c r="T22" s="179">
        <f>IF($Q$5=41,L12,IF($Q$5=42,L11,IF($Q$5=43,0,IF($Q$5=44,0,IF($Q$5=45,L10,IF($Q$5=46,L10,IF($Q$5=47,L10,IF($Q$5=48,L25,IF($Q$5=49,L12,IF($Q$5=50,P27,IF($Q$5=51,L10,IF($Q$5=52,L25,IF($Q$5=53,L25,IF($Q$5=54,L25,0))))))))))))))</f>
        <v>0</v>
      </c>
      <c r="U22" s="167">
        <f>IF($Q$5=37,O11,IF($Q$5=38,R10,IF($Q$5=39,R10,IF($Q$5=40,R23,IF($Q$5=41,R23,IF($Q$5=42,R23,IF($Q$5=43,R23,IF($Q$5=44,O24,IF($Q$5=45,R23,IF($Q$5=46,R23,IF($Q$5=47,R23,IF($Q$5=48,R23,IF($Q$5=49,R23,IF($Q$5=50,R23,IF($Q$5=51,R23,IF($Q$5=52,R23,IF($Q$5=53,R23,IF($Q$5=54,O24,0))))))))))))))))))</f>
        <v>0</v>
      </c>
      <c r="V22" s="163">
        <f>IF($Q$5=37,T11,IF($Q$5=38,T12,IF($Q$5=39,T11,IF($Q$5=40,S11,IF($Q$5=41,S10,IF($Q$5=42,S10,IF($Q$5=43,S10,IF($Q$5=44,S25,IF($Q$5=45,S11,IF($Q$5=46,S24,IF($Q$5=47,S24,IF($Q$5=48,S24,IF($Q$5=49,S24,IF($Q$5=50,S11,IF($Q$5=51,S11,IF($Q$5=52,S24,IF($Q$5=53,S24,IF($Q$5=54,S24,0))))))))))))))))))</f>
        <v>0</v>
      </c>
      <c r="W22" s="173">
        <f>IF($Q$5=41,T12,IF($Q$5=42,T11,IF($Q$5=43,0,IF($Q$5=44,0,IF($Q$5=45,T10,IF($Q$5=46,T10,IF($Q$5=47,T10,IF($Q$5=48,T25,IF($Q$5=49,T12,IF($Q$5=50,S27,IF($Q$5=51,T23,IF($Q$5=52,T24,IF($Q$5=53,T25,IF($Q$5=54,T25,0))))))))))))))</f>
        <v>0</v>
      </c>
      <c r="X22" s="23"/>
      <c r="Y22" s="447"/>
      <c r="Z22" s="32"/>
      <c r="AA22" s="230" t="s">
        <v>5</v>
      </c>
      <c r="AB22" s="21"/>
      <c r="AC22" s="22"/>
      <c r="AD22" s="25"/>
      <c r="AE22" s="32"/>
      <c r="AF22" s="230" t="s">
        <v>5</v>
      </c>
      <c r="AG22" s="21"/>
      <c r="AH22" s="22"/>
      <c r="AI22" s="25"/>
      <c r="AJ22" s="32"/>
      <c r="AK22" s="230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 t="str">
        <f t="shared" si="3"/>
        <v xml:space="preserve"> </v>
      </c>
      <c r="AR22" s="99" t="str">
        <f t="shared" si="4"/>
        <v xml:space="preserve"> </v>
      </c>
      <c r="AS22" s="219" t="str">
        <f t="shared" si="5"/>
        <v xml:space="preserve"> </v>
      </c>
      <c r="AT22" s="328" t="str">
        <f t="shared" si="6"/>
        <v xml:space="preserve"> </v>
      </c>
      <c r="AU22" s="329" t="str">
        <f t="shared" si="7"/>
        <v xml:space="preserve"> </v>
      </c>
      <c r="AV22" s="330" t="str">
        <f t="shared" si="8"/>
        <v xml:space="preserve"> </v>
      </c>
      <c r="AW22" s="286" t="str">
        <f t="shared" si="9"/>
        <v xml:space="preserve"> </v>
      </c>
      <c r="AX22" s="99" t="str">
        <f t="shared" si="10"/>
        <v xml:space="preserve"> </v>
      </c>
      <c r="AY22" s="291" t="str">
        <f t="shared" si="11"/>
        <v xml:space="preserve"> </v>
      </c>
      <c r="AZ22" s="286">
        <f t="shared" si="17"/>
        <v>0</v>
      </c>
      <c r="BA22" s="99">
        <f t="shared" si="12"/>
        <v>0</v>
      </c>
      <c r="BB22" s="291">
        <f t="shared" si="13"/>
        <v>0</v>
      </c>
      <c r="BC22" s="294">
        <f t="shared" si="14"/>
        <v>0</v>
      </c>
      <c r="BD22" s="7">
        <f t="shared" si="15"/>
        <v>0</v>
      </c>
      <c r="BE22" s="218">
        <f t="shared" si="16"/>
        <v>25.00000022</v>
      </c>
      <c r="BF22" s="99">
        <f>IF(AP22="","",SMALL(BE$9:BE$62,ROWS(AZ$9:AZ22)))</f>
        <v>12.01860033</v>
      </c>
      <c r="BG22" s="88"/>
      <c r="BH22" s="95" t="str">
        <f>IF(OR(AP22="",AZ22=""),"",INDEX($AP$9:$AP$63,MATCH(BF22,$BE$9:BE$62,0)))</f>
        <v>B7</v>
      </c>
      <c r="BI22" s="294">
        <f t="shared" si="0"/>
        <v>4</v>
      </c>
      <c r="BJ22" s="7">
        <f t="shared" si="1"/>
        <v>-2</v>
      </c>
      <c r="BK22" s="7">
        <f t="shared" si="2"/>
        <v>14</v>
      </c>
      <c r="BL22" s="280">
        <f>IF(BF22="","",IF(AND(BI21=BI22,BJ21=BJ22,BK21=BK22),BL21,$BL$9+13))</f>
        <v>14</v>
      </c>
      <c r="BM22" s="29"/>
      <c r="BN22" s="3"/>
    </row>
    <row r="23" spans="1:66" ht="21" thickBot="1">
      <c r="A23" s="131">
        <v>14</v>
      </c>
      <c r="B23" s="393"/>
      <c r="C23" s="274">
        <f>IF($Q$5&gt;=40,14,0)</f>
        <v>0</v>
      </c>
      <c r="D23" s="393"/>
      <c r="E23" s="274">
        <f>IF($Q$5&gt;=41,14,0)</f>
        <v>0</v>
      </c>
      <c r="F23" s="396"/>
      <c r="G23" s="274">
        <f>IF($Q$5&gt;=42,14,0)</f>
        <v>0</v>
      </c>
      <c r="H23" s="23"/>
      <c r="I23" s="196">
        <v>14</v>
      </c>
      <c r="J23" s="204" t="str">
        <f>IF(ISNA(MATCH(I23,$C$10:$C$27,0)),"",INDEX(B$10:$B$27,MATCH(I23,$C$10:$C$27,0)))</f>
        <v/>
      </c>
      <c r="K23" s="137" t="str">
        <f>IF(ISNA(MATCH(I23,$E$10:$E$27,0)),"",INDEX($D$10:D$27,MATCH(I23,$E$10:$E$27,0)))</f>
        <v/>
      </c>
      <c r="L23" s="188" t="str">
        <f>IF(ISNA(MATCH(I23,$G$10:$G$27,0)),"",INDEX($F$10:F$27,MATCH(I23,$G$10:$G$27,0)))</f>
        <v/>
      </c>
      <c r="M23" s="155"/>
      <c r="N23" s="52" t="s">
        <v>5</v>
      </c>
      <c r="O23" s="141">
        <f>IF($Q$5=36,0,IF($Q$5=37,K21,IF($Q$5=38,K22,IF($Q$5=39,K22,IF($Q$5=40,J23,IF($Q$5=41,J23,IF($Q$5=42,J23,IF($Q$5=43,J23,IF($Q$5=44,J23,IF($Q$5=45,J23,IF($Q$5=46,J23,IF($Q$5=47,J23,IF($Q$5=48,J23,IF($Q$5=49,J23,IF($Q$5=50,J23,IF($Q$5=51,J23,IF($Q$5=52,J23,IF($Q$5=53,J23,IF($Q$5=54,J23,0)))))))))))))))))))</f>
        <v>0</v>
      </c>
      <c r="P23" s="149">
        <f>IF($Q$5=36,0,IF($Q$5=37,L19,IF($Q$5=38,L21,IF($Q$5=39,L22,IF($Q$5=40,L22,IF($Q$5=41,K23,IF($Q$5=42,K23,IF($Q$5=43,L22,IF($Q$5=44,K23,IF($Q$5=45,K23,IF($Q$5=46,K2:K23,IF($Q$5=47,K23,IF($Q$5=48,K23,IF($Q$5=49,K23,IF($Q$5=50,K23,IF($Q$5=51,K23,IF($Q$5=52,K23,IF($Q$5=53,K23,IF($Q$5=54,K23,0)))))))))))))))))))</f>
        <v>0</v>
      </c>
      <c r="Q23" s="143">
        <f>IF($Q$5=40,0,IF($Q$5=41,0,IF($Q$5=42,L23,IF($Q$5=43,0,IF($Q$5=44,0,IF($Q$5=45,0,IF($Q$5=46,L23,IF($Q$5=47,L23,IF($Q$5=48,L23,IF($Q$5=49,0,IF($Q$5=50,L23,IF($Q$5=51,L23,IF($Q$5=52,L23,IF($Q$5=53,L23,IF($Q$5=54,L23,0)))))))))))))))</f>
        <v>0</v>
      </c>
      <c r="R23" s="170">
        <f>IF($Q$5=37,O23,IF($Q$5=38,O23,IF($Q$5=39,O23,IF($Q$5=40,J10,IF($Q$5=41,J10,IF($Q$5=42,J10,IF($Q$5=43,J24,IF($Q$5=44,J24,IF($Q$5=45,J24,IF($Q$5=46,J24,IF($Q$5=47,J24,IF($Q$5=48,J24,IF($Q$5=49,J24,IF($Q$5=50,J24,IF($Q$5=51,J24,IF($Q$5=52,J24,IF($Q$5=53,J24,IF($Q$5=54,J24,0))))))))))))))))))</f>
        <v>0</v>
      </c>
      <c r="S23" s="171">
        <f>IF($Q$5=37,L12,IF($Q$5=38,L12,IF($Q$5=39,P22,IF($Q$5=40,L12,IF($Q$5=41,K11,IF($Q$5=42,K11,IF($Q$5=43,L11,IF($Q$5=44,L11,IF($Q$5=45,K10,IF($Q$5=46,K10,IF($Q$5=47,K25,IF($Q$5=48,K25,IF($Q$5=49,P11,IF($Q$5=50,K25,IF($Q$5=51,K25,IF($Q$5=52,K25,IF($Q$5=53,K25,IF($Q$5=54,K25,0))))))))))))))))))</f>
        <v>0</v>
      </c>
      <c r="T23" s="181">
        <f>IF($Q$5=42,L12,IF($Q$5=46,L11,IF($Q$5=47,L11,IF($Q$5=48,L10,IF($Q$5=49,0,IF($Q$5=50,L10,IF($Q$5=51,L11,IF($Q$5=52,L10,IF($Q$5=53,L26,IF($Q$5=54,L26,0))))))))))</f>
        <v>0</v>
      </c>
      <c r="U23" s="210">
        <f>IF($Q$5=32,0,IF($Q$5=33,0,IF($Q$5=34,0,IF($Q$5=35,0,IF($Q$5=36,0,IF($Q$5=37,R23,IF($Q$5=38,R23,IF($Q$5=39,R23,IF($Q$5=40,R10,IF($Q$5=41,R10,IF($Q$5=42,R10,IF($Q$5=43,R24,IF($Q$5=44,R24,IF($Q$5=45,R24,IF($Q$5=46,R24,IF($Q$5=47,R24,IF($Q$5=48,R24,IF($Q$5=49,R24,IF($Q$5=50,R24,IF($Q$5=51,R24,IF($Q$5=52,R24,IF($Q$5=53,R24,IF($Q$5=54,O25,0)))))))))))))))))))))))</f>
        <v>0</v>
      </c>
      <c r="V23" s="176">
        <f>IF($Q$5=37,T12,IF($Q$5=38,T11,IF($Q$5=39,T12,IF($Q$5=40,T12,IF($Q$5=41,S11,IF($Q$5=42,S11,IF($Q$5=43,T12,IF($Q$5=44,S10,IF($Q$5=45,S10,IF($Q$5=46,S10,IF($Q$5=47,S25,IF($Q$5=48,S25,IF($Q$5=49,S11,IF($Q$5=50,S24,IF($Q$5=51,S24,IF($Q$5=52,S25,IF($Q$5=53,S25,IF($Q$5=54,S25,0))))))))))))))))))</f>
        <v>0</v>
      </c>
      <c r="W23" s="177">
        <f>IF($Q$5=42,T12,IF($Q$5=43,0,IF($Q$5=44,0,IF($Q$5=45,0,IF($Q$5=46,T11,IF($Q$5=47,T11,IF($Q$5=48,T10,IF($Q$5=49,0,IF($Q$5=50,T10,IF($Q$5=51,T24,IF($Q$5=52,T25,IF($Q$5=53,T26,IF($Q$5=54,T26,0)))))))))))))</f>
        <v>0</v>
      </c>
      <c r="X23" s="23"/>
      <c r="Y23" s="447"/>
      <c r="Z23" s="14" t="str">
        <f>+O13</f>
        <v>A4</v>
      </c>
      <c r="AA23" s="35">
        <v>11</v>
      </c>
      <c r="AB23" s="30">
        <f>IF(AA19+AA23=0,0,IF(AA19=AA23,2,IF(AA19&lt;AA23,3,1)))</f>
        <v>3</v>
      </c>
      <c r="AC23" s="15">
        <f>AA23-AA19</f>
        <v>3</v>
      </c>
      <c r="AD23" s="24"/>
      <c r="AE23" s="14" t="str">
        <f>+R13</f>
        <v>A5</v>
      </c>
      <c r="AF23" s="127">
        <v>4</v>
      </c>
      <c r="AG23" s="30">
        <f>IF(AF19+AF23=0,0,IF(AF19=AF23,2,IF(AF19&lt;AF23,3,1)))</f>
        <v>1</v>
      </c>
      <c r="AH23" s="15">
        <f>AF23-AF19</f>
        <v>-2</v>
      </c>
      <c r="AI23" s="24"/>
      <c r="AJ23" s="14" t="str">
        <f>+U13</f>
        <v>A5</v>
      </c>
      <c r="AK23" s="37">
        <v>5</v>
      </c>
      <c r="AL23" s="30">
        <f>IF(AK19+AK23=0,0,IF(AK19=AK23,2,IF(AK19&lt;AK23,3,1)))</f>
        <v>1</v>
      </c>
      <c r="AM23" s="15">
        <f>AK23-AK19</f>
        <v>-5</v>
      </c>
      <c r="AN23" s="23"/>
      <c r="AO23" s="54">
        <v>15</v>
      </c>
      <c r="AP23" s="321" t="str">
        <f>+Inscrits!B17</f>
        <v>A15</v>
      </c>
      <c r="AQ23" s="286" t="str">
        <f t="shared" si="3"/>
        <v xml:space="preserve"> </v>
      </c>
      <c r="AR23" s="99" t="str">
        <f t="shared" si="4"/>
        <v xml:space="preserve"> </v>
      </c>
      <c r="AS23" s="219" t="str">
        <f t="shared" si="5"/>
        <v xml:space="preserve"> </v>
      </c>
      <c r="AT23" s="328" t="str">
        <f t="shared" si="6"/>
        <v xml:space="preserve"> </v>
      </c>
      <c r="AU23" s="329" t="str">
        <f t="shared" si="7"/>
        <v xml:space="preserve"> </v>
      </c>
      <c r="AV23" s="330" t="str">
        <f t="shared" si="8"/>
        <v xml:space="preserve"> </v>
      </c>
      <c r="AW23" s="286" t="str">
        <f t="shared" si="9"/>
        <v xml:space="preserve"> </v>
      </c>
      <c r="AX23" s="99" t="str">
        <f t="shared" si="10"/>
        <v xml:space="preserve"> </v>
      </c>
      <c r="AY23" s="291" t="str">
        <f t="shared" si="11"/>
        <v xml:space="preserve"> </v>
      </c>
      <c r="AZ23" s="286">
        <f t="shared" si="17"/>
        <v>0</v>
      </c>
      <c r="BA23" s="99">
        <f t="shared" si="12"/>
        <v>0</v>
      </c>
      <c r="BB23" s="291">
        <f t="shared" si="13"/>
        <v>0</v>
      </c>
      <c r="BC23" s="294">
        <f t="shared" si="14"/>
        <v>0</v>
      </c>
      <c r="BD23" s="7">
        <f t="shared" si="15"/>
        <v>0</v>
      </c>
      <c r="BE23" s="218">
        <f t="shared" si="16"/>
        <v>25.000000230000001</v>
      </c>
      <c r="BF23" s="99">
        <f>IF(AP23="","",SMALL(BE$9:BE$62,ROWS(AZ$9:AZ23)))</f>
        <v>12.038700509999998</v>
      </c>
      <c r="BG23" s="88"/>
      <c r="BH23" s="95" t="str">
        <f>IF(OR(AP23="",AZ23=""),"",INDEX($AP$9:$AP$63,MATCH(BF23,$BE$9:BE$62,0)))</f>
        <v>C7</v>
      </c>
      <c r="BI23" s="294">
        <f t="shared" si="0"/>
        <v>4</v>
      </c>
      <c r="BJ23" s="7">
        <f t="shared" si="1"/>
        <v>-4</v>
      </c>
      <c r="BK23" s="7">
        <f t="shared" si="2"/>
        <v>13</v>
      </c>
      <c r="BL23" s="280">
        <f>IF(BF23="","",IF(AND(BI22=BI23,BJ22=BJ23,BK22=BK23),BL22,$BL$9+14))</f>
        <v>15</v>
      </c>
      <c r="BM23" s="29"/>
      <c r="BN23" s="3"/>
    </row>
    <row r="24" spans="1:66" ht="21" thickBot="1">
      <c r="A24" s="131">
        <v>15</v>
      </c>
      <c r="B24" s="393"/>
      <c r="C24" s="274">
        <f>IF($Q$5&gt;=43,15,0)</f>
        <v>0</v>
      </c>
      <c r="D24" s="393"/>
      <c r="E24" s="274">
        <f>IF($Q$5&gt;=44,15,0)</f>
        <v>0</v>
      </c>
      <c r="F24" s="396"/>
      <c r="G24" s="274">
        <f>IF($Q$5&gt;=45,15,0)</f>
        <v>0</v>
      </c>
      <c r="H24" s="23"/>
      <c r="I24" s="196">
        <v>15</v>
      </c>
      <c r="J24" s="204" t="str">
        <f>IF(ISNA(MATCH(I24,$C$10:$C$27,0)),"",INDEX(B$10:$B$27,MATCH(I24,$C$10:$C$27,0)))</f>
        <v/>
      </c>
      <c r="K24" s="137" t="str">
        <f>IF(ISNA(MATCH(I24,$E$10:$E$27,0)),"",INDEX($D$10:D$27,MATCH(I24,$E$10:$E$27,0)))</f>
        <v/>
      </c>
      <c r="L24" s="188" t="str">
        <f>IF(ISNA(MATCH(I24,$G$10:$G$27,0)),"",INDEX($F$10:F$27,MATCH(I24,$G$10:$G$27,0)))</f>
        <v/>
      </c>
      <c r="M24" s="155"/>
      <c r="N24" s="82">
        <v>8</v>
      </c>
      <c r="O24" s="147">
        <f>IF($Q$5=43,J24,IF($Q$5=44,J24,IF($Q$5=45,J24,IF($Q$5=46,J24,IF($Q$5=47,J24,IF($Q$5=48,J24,IF($Q$5=49,J24,IF($Q$5=50,J24,IF($Q$5=51,J24,IF($Q$5=52,J24,IF($Q$5=53,J24,IF($Q$5=54,J24,0))))))))))))</f>
        <v>0</v>
      </c>
      <c r="P24" s="142">
        <f>IF($Q$5=43,L23,IF($Q$5=44,L22,IF($Q$5=45,L23,IF($Q$5=46,K24,IF($Q$5=47,K24,IF($Q$5=48,K24,IF($Q$5=49,K24,IF($Q$5=50,K24,IF($Q$5=51,K24,IF($Q$5=52,K24,IF($Q$5=53,K24,IF($Q$5=54,K24,0))))))))))))</f>
        <v>0</v>
      </c>
      <c r="Q24" s="148">
        <f>IF($Q$5=43,0,IF($Q$5=44,0,IF($Q$5=45,0,IF($Q$5=46,0,IF($Q$5=47,L24,IF($Q$5=48,L24,IF($Q$5=49,0,IF($Q$5=50,0,IF($Q$5=51,L24,IF($Q$5=52,L24,IF($Q$5=53,L24,IF($Q$5=54,L24,0))))))))))))</f>
        <v>0</v>
      </c>
      <c r="R24" s="165">
        <f>IF($Q$5=43,J10,IF($Q$5=44,J10,IF($Q$5=45,J10,IF($Q$5=46,J25,IF($Q$5=47,J25,IF($Q$5=48,J25,IF($Q$5=49,J25,IF($Q$5=50,J25,IF($Q$5=51,J25,IF($Q$5=52,J25,IF($Q$5=53,J25,IF($Q$5=54,J25,0))))))))))))</f>
        <v>0</v>
      </c>
      <c r="S24" s="157">
        <f>IF($Q$5=43,L12,IF($Q$5=44,L12,IF($Q$5=45,L11,IF($Q$5=46,K11,IF($Q$5=47,K10,IF($Q$5=48,K10,IF($Q$5=49,K10,IF($Q$5=50,K10,IF($Q$5=51,K10,IF($Q$5=52,K26,IF($Q$5=53,K26,IF($Q$5=54,K26,0))))))))))))</f>
        <v>0</v>
      </c>
      <c r="T24" s="179">
        <f>IF($Q$5=47,L12,IF($Q$5=48,L11,IF($Q$5=49,0,IF($Q$5=50,0,IF($Q$5=51,L12,IF($Q$5=52,L11,IF($Q$5=53,L10,IF($Q$5=54,L27,0))))))))</f>
        <v>0</v>
      </c>
      <c r="U24" s="165">
        <f>IF($Q$5=42,0,IF($Q$5=43,R10,IF($Q$5=44,R10,IF($Q$5=45,R10,IF($Q$5=46,R25,IF($Q$5=47,R25,IF($Q$5=48,O10,IF($Q$5=49,R25,IF($Q$5=50,R25,IF($Q$5=51,R25,IF($Q$5=52,R25,IF($Q$5=53,O26,IF($Q$5=54,O26,0)))))))))))))</f>
        <v>0</v>
      </c>
      <c r="V24" s="163">
        <f>IF($Q$5=43,T10,IF($Q$5=44,T11,IF($Q$5=45,T11,IF($Q$5=46,S11,IF($Q$5=47,S10,IF($Q$5=48,S10,IF($Q$5=49,S10,IF($Q$5=50,S25,IF($Q$5=51,S25,IF($Q$5=52,S26,IF($Q$5=53,S26,IF($Q$5=54,S26,0))))))))))))</f>
        <v>0</v>
      </c>
      <c r="W24" s="173">
        <f>IF($Q$5=47,T12,IF($Q$5=48,T11,IF($Q$5=49,0,IF($Q$5=50,0,IF($Q$5=51,T10,IF($Q$5=52,T10,IF($Q$5=53,T10,IF($Q$5=54,T27,0))))))))</f>
        <v>0</v>
      </c>
      <c r="X24" s="23"/>
      <c r="Y24" s="447"/>
      <c r="Z24" s="14" t="str">
        <f>+P13</f>
        <v>B4</v>
      </c>
      <c r="AA24" s="69">
        <f>IF(ISTEXT(Z24),AA23,0)</f>
        <v>11</v>
      </c>
      <c r="AB24" s="18">
        <f>IF(ISTEXT(Z24),AB23,0)</f>
        <v>3</v>
      </c>
      <c r="AC24" s="62">
        <f>IF(ISTEXT(Z24),AC23,0)</f>
        <v>3</v>
      </c>
      <c r="AD24" s="11"/>
      <c r="AE24" s="14" t="str">
        <f>+S13</f>
        <v>B3</v>
      </c>
      <c r="AF24" s="18">
        <f>IF(ISTEXT(AE24),AF23,0)</f>
        <v>4</v>
      </c>
      <c r="AG24" s="18">
        <f>IF(ISTEXT(AE24),AG23,0)</f>
        <v>1</v>
      </c>
      <c r="AH24" s="62">
        <f>IF(ISTEXT(AE24),AH23,0)</f>
        <v>-2</v>
      </c>
      <c r="AI24" s="11"/>
      <c r="AJ24" s="14" t="str">
        <f>+V13</f>
        <v>B6</v>
      </c>
      <c r="AK24" s="18">
        <f>IF(ISTEXT(AJ24),AK23,0)</f>
        <v>5</v>
      </c>
      <c r="AL24" s="18">
        <f>IF(ISTEXT(AJ24),AL23,0)</f>
        <v>1</v>
      </c>
      <c r="AM24" s="62">
        <f>IF(ISTEXT(AJ24),AM23,0)</f>
        <v>-5</v>
      </c>
      <c r="AN24" s="23"/>
      <c r="AO24" s="54">
        <v>16</v>
      </c>
      <c r="AP24" s="321" t="str">
        <f>+Inscrits!B18</f>
        <v>A16</v>
      </c>
      <c r="AQ24" s="286" t="str">
        <f t="shared" si="3"/>
        <v xml:space="preserve"> </v>
      </c>
      <c r="AR24" s="99" t="str">
        <f t="shared" si="4"/>
        <v xml:space="preserve"> </v>
      </c>
      <c r="AS24" s="219" t="str">
        <f t="shared" si="5"/>
        <v xml:space="preserve"> </v>
      </c>
      <c r="AT24" s="328" t="str">
        <f t="shared" si="6"/>
        <v xml:space="preserve"> </v>
      </c>
      <c r="AU24" s="329" t="str">
        <f t="shared" si="7"/>
        <v xml:space="preserve"> </v>
      </c>
      <c r="AV24" s="330" t="str">
        <f t="shared" si="8"/>
        <v xml:space="preserve"> </v>
      </c>
      <c r="AW24" s="286" t="str">
        <f t="shared" si="9"/>
        <v xml:space="preserve"> </v>
      </c>
      <c r="AX24" s="99" t="str">
        <f t="shared" si="10"/>
        <v xml:space="preserve"> </v>
      </c>
      <c r="AY24" s="291" t="str">
        <f t="shared" si="11"/>
        <v xml:space="preserve"> </v>
      </c>
      <c r="AZ24" s="286">
        <f t="shared" si="17"/>
        <v>0</v>
      </c>
      <c r="BA24" s="99">
        <f t="shared" si="12"/>
        <v>0</v>
      </c>
      <c r="BB24" s="291">
        <f t="shared" si="13"/>
        <v>0</v>
      </c>
      <c r="BC24" s="294">
        <f t="shared" si="14"/>
        <v>0</v>
      </c>
      <c r="BD24" s="7">
        <f t="shared" si="15"/>
        <v>0</v>
      </c>
      <c r="BE24" s="218">
        <f t="shared" si="16"/>
        <v>25.000000239999999</v>
      </c>
      <c r="BF24" s="99">
        <f>IF(AP24="","",SMALL(BE$9:BE$62,ROWS(AZ$9:AZ24)))</f>
        <v>15.968900480000002</v>
      </c>
      <c r="BG24" s="88"/>
      <c r="BH24" s="95" t="str">
        <f>IF(OR(AP24="",AZ24=""),"",INDEX($AP$9:$AP$63,MATCH(BF24,$BE$9:BE$62,0)))</f>
        <v>C4</v>
      </c>
      <c r="BI24" s="294">
        <f t="shared" si="0"/>
        <v>3</v>
      </c>
      <c r="BJ24" s="7">
        <f t="shared" si="1"/>
        <v>3</v>
      </c>
      <c r="BK24" s="7">
        <f t="shared" si="2"/>
        <v>11</v>
      </c>
      <c r="BL24" s="280">
        <f>IF(BF24="","",IF(AND(BI23=BI24,BJ23=BJ24,BK23=BK24),BL23,$BL$9+15))</f>
        <v>16</v>
      </c>
      <c r="BM24" s="29"/>
      <c r="BN24" s="3"/>
    </row>
    <row r="25" spans="1:66" ht="21" thickBot="1">
      <c r="A25" s="131">
        <v>16</v>
      </c>
      <c r="B25" s="393"/>
      <c r="C25" s="274">
        <f>IF($Q$5&gt;=46,16,0)</f>
        <v>0</v>
      </c>
      <c r="D25" s="393"/>
      <c r="E25" s="274">
        <f>IF($Q$5&gt;=47,16,0)</f>
        <v>0</v>
      </c>
      <c r="F25" s="396"/>
      <c r="G25" s="274">
        <f>IF($Q$5&gt;=48,16,0)</f>
        <v>0</v>
      </c>
      <c r="H25" s="23"/>
      <c r="I25" s="196">
        <v>16</v>
      </c>
      <c r="J25" s="204" t="str">
        <f>IF(ISNA(MATCH(I25,$C$10:$C$27,0)),"",INDEX(B$10:$B$27,MATCH(I25,$C$10:$C$27,0)))</f>
        <v/>
      </c>
      <c r="K25" s="137" t="str">
        <f>IF(ISNA(MATCH(I25,$E$10:$E$27,0)),"",INDEX($D$10:D$27,MATCH(I25,$E$10:$E$27,0)))</f>
        <v/>
      </c>
      <c r="L25" s="188" t="str">
        <f>IF(ISNA(MATCH(I25,$G$10:$G$27,0)),"",INDEX($F$10:F$27,MATCH(I25,$G$10:$G$27,0)))</f>
        <v/>
      </c>
      <c r="M25" s="155"/>
      <c r="N25" s="52" t="s">
        <v>5</v>
      </c>
      <c r="O25" s="141">
        <f>IF($Q$5=43,K23,IF($Q$5=44,K24,IF($Q$5=45,K24,IF($Q$5=46,J25,IF($Q$5=47,J25,IF($Q$5=48,J25,IF($Q$5=49,J25,IF($Q$5=50,J25,IF($Q$5=51,J25,IF($Q$5=52,J25,IF($Q$5=53,J25,IF($Q$5=54,J25,0))))))))))))</f>
        <v>0</v>
      </c>
      <c r="P25" s="146">
        <f>IF($Q$5=43,L21,IF($Q$5=44,L23,IF($Q$5=45,L24,IF($Q$5=46,L24,IF($Q$5=47,K25,IF($Q$5=48,K25,IF($Q$5=49,L25,IF($Q$5=50,K25,IF($Q$5=51,K25,IF($Q$5=52,K25,IF($Q$5=53,K25,IF($Q$5=54,K25,0))))))))))))</f>
        <v>0</v>
      </c>
      <c r="Q25" s="143">
        <f>IF($Q$5=48,L25,IF($Q$5=49,0,IF($Q$5=50,0,IF($Q$5=51,0,IF($Q$5=52,L25,IF($Q$5=53,L25,IF($Q$5=54,L25,0)))))))</f>
        <v>0</v>
      </c>
      <c r="R25" s="170">
        <f>IF($Q$5=43,O25,IF($Q$5=44,O25,IF($Q$5=45,O25,IF($Q$5=46,J10,IF($Q$5=47,J10,IF($Q$5=48,J10,IF($Q$5=49,J26,IF($Q$5=50,J26,IF($Q$5=51,J26,IF($Q$5=52,J26,IF($Q$5=53,J26,IF($Q$5=54,J26,0))))))))))))</f>
        <v>0</v>
      </c>
      <c r="S25" s="171">
        <f>IF($Q$5=43,L10,IF($Q$5=44,K11,IF($Q$5=45,L12,IF($Q$5=46,L12,IF($Q$5=47,K11,IF($Q$5=48,K11,IF($Q$5=49,P27,IF($Q$5=50,K11,IF($Q$5=51,K11,IF($Q$5=52,K10,IF($Q$5=53,K27,IF($Q$5=54,K27,0))))))))))))</f>
        <v>0</v>
      </c>
      <c r="T25" s="181">
        <f>IF($Q$5=48,L12,IF($Q$5=49,0,IF($Q$5=50,0,IF($Q$5=51,0,IF($Q$5=52,L12,IF($Q$5=53,L11,IF($Q$5=54,L10,0)))))))</f>
        <v>0</v>
      </c>
      <c r="U25" s="184">
        <f>IF($Q$5=43,R25,IF($Q$5=44,R25,IF($Q$5=45,R25,IF($Q$5=46,R10,IF($Q$5=47,R10,IF($Q$5=48,R10,IF($Q$5=49,R26,IF($Q$5=50,R26,IF($Q$5=51,R26,IF($Q$5=52,O27,IF($Q$5=53,R26,IF($Q$5=54,O27,0))))))))))))</f>
        <v>0</v>
      </c>
      <c r="V25" s="176">
        <f>IF($Q$5=43,T11,IF($Q$5=44,T12,IF($Q$5=45,T12,IF($Q$5=46,T12,IF($Q$5=47,S11,IF($Q$5=48,S11,IF($Q$5=49,S25,IF($Q$5=50,S10,IF($Q$5=51,S10,IF($Q$5=52,S10,IF($Q$5=53,S27,IF($Q$5=54,S27,0))))))))))))</f>
        <v>0</v>
      </c>
      <c r="W25" s="177">
        <f>IF($Q$5=48,T12,IF($Q$5=49,0,IF($Q$5=50,0,IF($Q$5=51,0,IF($Q$5=52,T11,IF($Q$5=53,T11,IF($Q$5=54,T10,0)))))))</f>
        <v>0</v>
      </c>
      <c r="X25" s="23"/>
      <c r="Y25" s="448"/>
      <c r="Z25" s="16" t="str">
        <f>+Q13</f>
        <v>C4</v>
      </c>
      <c r="AA25" s="69">
        <f>IF(ISTEXT(Z25),AA23,0)</f>
        <v>11</v>
      </c>
      <c r="AB25" s="18">
        <f>IF(ISTEXT(Z25),AB23,0)</f>
        <v>3</v>
      </c>
      <c r="AC25" s="62">
        <f>IF(ISTEXT(Z25),AC23,0)</f>
        <v>3</v>
      </c>
      <c r="AD25" s="11"/>
      <c r="AE25" s="16" t="str">
        <f>+T13</f>
        <v>C6</v>
      </c>
      <c r="AF25" s="18">
        <f>IF(ISTEXT(AE25),AF23,0)</f>
        <v>4</v>
      </c>
      <c r="AG25" s="18">
        <f>IF(ISTEXT(AE25),AG23,0)</f>
        <v>1</v>
      </c>
      <c r="AH25" s="62">
        <f>IF(ISTEXT(AE25),AH23,0)</f>
        <v>-2</v>
      </c>
      <c r="AI25" s="11"/>
      <c r="AJ25" s="16" t="str">
        <f>+W13</f>
        <v>C7</v>
      </c>
      <c r="AK25" s="18">
        <f>IF(ISTEXT(AJ25),AK23,0)</f>
        <v>5</v>
      </c>
      <c r="AL25" s="18">
        <f>IF(ISTEXT(AJ25),AL23,0)</f>
        <v>1</v>
      </c>
      <c r="AM25" s="62">
        <f>IF(ISTEXT(AJ25),AM23,0)</f>
        <v>-5</v>
      </c>
      <c r="AN25" s="23"/>
      <c r="AO25" s="54">
        <v>17</v>
      </c>
      <c r="AP25" s="321" t="str">
        <f>+Inscrits!B19</f>
        <v>A17</v>
      </c>
      <c r="AQ25" s="286" t="str">
        <f t="shared" si="3"/>
        <v xml:space="preserve"> </v>
      </c>
      <c r="AR25" s="99" t="str">
        <f t="shared" si="4"/>
        <v xml:space="preserve"> </v>
      </c>
      <c r="AS25" s="219" t="str">
        <f t="shared" si="5"/>
        <v xml:space="preserve"> </v>
      </c>
      <c r="AT25" s="328" t="str">
        <f t="shared" si="6"/>
        <v xml:space="preserve"> </v>
      </c>
      <c r="AU25" s="329" t="str">
        <f t="shared" si="7"/>
        <v xml:space="preserve"> </v>
      </c>
      <c r="AV25" s="330" t="str">
        <f t="shared" si="8"/>
        <v xml:space="preserve"> </v>
      </c>
      <c r="AW25" s="286" t="str">
        <f t="shared" si="9"/>
        <v xml:space="preserve"> </v>
      </c>
      <c r="AX25" s="99" t="str">
        <f t="shared" si="10"/>
        <v xml:space="preserve"> </v>
      </c>
      <c r="AY25" s="291" t="str">
        <f t="shared" si="11"/>
        <v xml:space="preserve"> </v>
      </c>
      <c r="AZ25" s="286">
        <f t="shared" si="17"/>
        <v>0</v>
      </c>
      <c r="BA25" s="99">
        <f t="shared" si="12"/>
        <v>0</v>
      </c>
      <c r="BB25" s="291">
        <f t="shared" si="13"/>
        <v>0</v>
      </c>
      <c r="BC25" s="294">
        <f t="shared" si="14"/>
        <v>0</v>
      </c>
      <c r="BD25" s="7">
        <f t="shared" si="15"/>
        <v>0</v>
      </c>
      <c r="BE25" s="218">
        <f t="shared" si="16"/>
        <v>25.000000249999999</v>
      </c>
      <c r="BF25" s="99">
        <f>IF(AP25="","",SMALL(BE$9:BE$62,ROWS(AZ$9:AZ25)))</f>
        <v>15.969100340000001</v>
      </c>
      <c r="BG25" s="88"/>
      <c r="BH25" s="95" t="str">
        <f>IF(OR(AP25="",AZ25=""),"",INDEX($AP$9:$AP$63,MATCH(BF25,$BE$9:BE$62,0)))</f>
        <v>B8</v>
      </c>
      <c r="BI25" s="294">
        <f t="shared" si="0"/>
        <v>3</v>
      </c>
      <c r="BJ25" s="7">
        <f t="shared" si="1"/>
        <v>3</v>
      </c>
      <c r="BK25" s="7">
        <f t="shared" si="2"/>
        <v>9</v>
      </c>
      <c r="BL25" s="280">
        <f>IF(BF25="","",IF(AND(BI24=BI25,BJ24=BJ25,BK24=BK25),BL24,$BL$9+16))</f>
        <v>17</v>
      </c>
      <c r="BM25" s="29"/>
      <c r="BN25" s="3"/>
    </row>
    <row r="26" spans="1:66" ht="21" thickBot="1">
      <c r="A26" s="131">
        <v>17</v>
      </c>
      <c r="B26" s="393"/>
      <c r="C26" s="272">
        <f>IF($Q$5&gt;=49,17,0)</f>
        <v>0</v>
      </c>
      <c r="D26" s="393"/>
      <c r="E26" s="272">
        <f>IF($Q$5&gt;=50,17,0)</f>
        <v>0</v>
      </c>
      <c r="F26" s="396"/>
      <c r="G26" s="272">
        <f>IF($Q$5&gt;=51,17,0)</f>
        <v>0</v>
      </c>
      <c r="H26" s="134"/>
      <c r="I26" s="199">
        <v>17</v>
      </c>
      <c r="J26" s="205" t="str">
        <f>IF(ISNA(MATCH(I26,$C$10:$C$27,0)),"",INDEX(B$10:$B$27,MATCH(I26,$C$10:$C$27,0)))</f>
        <v/>
      </c>
      <c r="K26" s="200" t="str">
        <f>IF(ISNA(MATCH(I26,$E$10:$E$27,0)),"",INDEX($D$10:D$27,MATCH(I26,$E$10:$E$27,0)))</f>
        <v/>
      </c>
      <c r="L26" s="206" t="str">
        <f>IF(ISNA(MATCH(I26,$G$10:$G$27,0)),"",INDEX($F$10:F$27,MATCH(I26,$G$10:$G$27,0)))</f>
        <v/>
      </c>
      <c r="M26"/>
      <c r="N26" s="82">
        <v>9</v>
      </c>
      <c r="O26" s="147">
        <f>IF($Q$5=49,J26,IF($Q$5=50,J26,IF($Q$5=51,J26,IF($Q$5=52,J26,IF($Q$5=53,J26,IF($Q$5=54,J26,0))))))</f>
        <v>0</v>
      </c>
      <c r="P26" s="142">
        <f>IF($Q$5=49,L24,IF($Q$5=50,L24,IF($Q$5=51,L25,IF($Q$5=52,K26,IF($Q$5=53,K26,IF($Q$5=54,K26,0))))))</f>
        <v>0</v>
      </c>
      <c r="Q26" s="148">
        <f>IF($Q$5=51,0,IF($Q$5=52,0,IF($Q$5=53,L26,IF($Q$5=54,L26,0))))</f>
        <v>0</v>
      </c>
      <c r="R26" s="165">
        <f>IF($Q$5=43,0,IF($Q$5=44,0,IF($Q$5=45,0,IF($Q$5=46,0,IF($Q$5=47,0,IF($Q$5=48,0,IF($Q$5=49,O10,IF($Q$5=50,O10,IF($Q$5=51,O10,IF($Q$5=52,O27,IF($Q$5=53,O27,IF($Q$5=54,O27,0))))))))))))</f>
        <v>0</v>
      </c>
      <c r="S26" s="157">
        <f>IF($Q$5=43,0,IF($Q$5=44,0,IF($Q$5=45,0,IF($Q$5=46,0,IF($Q$5=47,0,IF($Q$5=48,0,IF($Q$5=49,P26,IF($Q$5=50,Q11,IF($Q$5=51,P27,IF($Q$5=52,P11,IF($Q$5=53,P10,IF($Q$5=54,P10,0))))))))))))</f>
        <v>0</v>
      </c>
      <c r="T26" s="212">
        <f>IF($Q$5=53,Q12,IF($Q$5=54,Q11,0))</f>
        <v>0</v>
      </c>
      <c r="U26" s="215">
        <f>IF($Q$5=43,0,IF($Q$5=44,0,IF($Q$5=45,0,IF($Q$5=46,0,IF($Q$5=47,0,IF($Q$5=48,0,IF($Q$5=49,R10,IF($Q$5=50,R10,IF($Q$5=51,R10,IF($Q$5=52,R27,IF($Q$5=53,R27,IF($Q$5=54,R27,0))))))))))))</f>
        <v>0</v>
      </c>
      <c r="V26" s="163">
        <f>IF($Q$5=43,0,IF($Q$5=44,0,IF($Q$5=45,0,IF($Q$5=46,0,IF($Q$5=47,0,IF($Q$5=48,0,IF($Q$5=49,S27,IF($Q$5=50,T11,IF($Q$5=51,T11,IF($Q$5=52,S11,IF($Q$5=53,S10,IF($Q$5=54,S10,0))))))))))))</f>
        <v>0</v>
      </c>
      <c r="W26" s="173">
        <f>IF($Q$5=43,0,IF($Q$5=44,0,IF($Q$5=45,0,IF($Q$5=46,0,IF($Q$5=47,0,IF($Q$5=48,0,IF($Q$5=49,0,IF($Q$5=50,0,IF($Q$5=51,0,IF($Q$5=52,0,IF($Q$5=53,T12,IF($Q$5=54,T11,0))))))))))))</f>
        <v>0</v>
      </c>
      <c r="X26" s="23"/>
      <c r="Y26" s="128"/>
      <c r="Z26" s="70"/>
      <c r="AA26" s="231"/>
      <c r="AB26" s="70"/>
      <c r="AC26" s="70"/>
      <c r="AD26" s="231"/>
      <c r="AE26" s="70"/>
      <c r="AF26" s="231"/>
      <c r="AG26" s="70"/>
      <c r="AH26" s="70"/>
      <c r="AI26" s="231"/>
      <c r="AJ26" s="70"/>
      <c r="AK26" s="231"/>
      <c r="AL26" s="70"/>
      <c r="AM26" s="70"/>
      <c r="AN26" s="23"/>
      <c r="AO26" s="54">
        <v>18</v>
      </c>
      <c r="AP26" s="321" t="str">
        <f>+Inscrits!B20</f>
        <v>A18</v>
      </c>
      <c r="AQ26" s="286" t="str">
        <f t="shared" si="3"/>
        <v xml:space="preserve"> </v>
      </c>
      <c r="AR26" s="99" t="str">
        <f t="shared" si="4"/>
        <v xml:space="preserve"> </v>
      </c>
      <c r="AS26" s="219" t="str">
        <f t="shared" si="5"/>
        <v xml:space="preserve"> </v>
      </c>
      <c r="AT26" s="328" t="str">
        <f t="shared" si="6"/>
        <v xml:space="preserve"> </v>
      </c>
      <c r="AU26" s="329" t="str">
        <f t="shared" si="7"/>
        <v xml:space="preserve"> </v>
      </c>
      <c r="AV26" s="330" t="str">
        <f t="shared" si="8"/>
        <v xml:space="preserve"> </v>
      </c>
      <c r="AW26" s="286" t="str">
        <f t="shared" si="9"/>
        <v xml:space="preserve"> </v>
      </c>
      <c r="AX26" s="99" t="str">
        <f t="shared" si="10"/>
        <v xml:space="preserve"> </v>
      </c>
      <c r="AY26" s="291" t="str">
        <f t="shared" si="11"/>
        <v xml:space="preserve"> </v>
      </c>
      <c r="AZ26" s="286">
        <f t="shared" si="17"/>
        <v>0</v>
      </c>
      <c r="BA26" s="99">
        <f t="shared" si="12"/>
        <v>0</v>
      </c>
      <c r="BB26" s="291">
        <f t="shared" si="13"/>
        <v>0</v>
      </c>
      <c r="BC26" s="294">
        <f t="shared" si="14"/>
        <v>0</v>
      </c>
      <c r="BD26" s="7">
        <f t="shared" si="15"/>
        <v>0</v>
      </c>
      <c r="BE26" s="218">
        <f t="shared" si="16"/>
        <v>25.00000026</v>
      </c>
      <c r="BF26" s="99">
        <f>IF(AP26="","",SMALL(BE$9:BE$62,ROWS(AZ$9:AZ26)))</f>
        <v>15.96910053</v>
      </c>
      <c r="BG26" s="88"/>
      <c r="BH26" s="95" t="str">
        <f>IF(OR(AP26="",AZ26=""),"",INDEX($AP$9:$AP$63,MATCH(BF26,$BE$9:BE$62,0)))</f>
        <v>C9</v>
      </c>
      <c r="BI26" s="294">
        <f t="shared" si="0"/>
        <v>3</v>
      </c>
      <c r="BJ26" s="7">
        <f t="shared" si="1"/>
        <v>3</v>
      </c>
      <c r="BK26" s="7">
        <f t="shared" si="2"/>
        <v>9</v>
      </c>
      <c r="BL26" s="280">
        <f>IF(BF26="","",IF(AND(BI25=BI26,BJ25=BJ26,BK25=BK26),BL25,$BL$9+17))</f>
        <v>17</v>
      </c>
      <c r="BM26" s="29"/>
      <c r="BN26" s="3"/>
    </row>
    <row r="27" spans="1:66" ht="21" thickBot="1">
      <c r="A27" s="197">
        <v>18</v>
      </c>
      <c r="B27" s="394"/>
      <c r="C27" s="275">
        <f>IF($Q$5&gt;=52,18,0)</f>
        <v>0</v>
      </c>
      <c r="D27" s="394"/>
      <c r="E27" s="275">
        <f>IF($Q$5&gt;=53,18,0)</f>
        <v>0</v>
      </c>
      <c r="F27" s="397"/>
      <c r="G27" s="275">
        <f>IF($Q$5&gt;=54,18,0)</f>
        <v>0</v>
      </c>
      <c r="H27" s="134"/>
      <c r="I27" s="198">
        <v>18</v>
      </c>
      <c r="J27" s="207" t="str">
        <f>IF(ISNA(MATCH(I27,$C$10:$C$27,0)),"",INDEX(B$10:$B$27,MATCH(I27,$C$10:$C$27,0)))</f>
        <v/>
      </c>
      <c r="K27" s="189" t="str">
        <f>IF(ISNA(MATCH(I27,$E$10:$E$27,0)),"",INDEX($D$10:D$27,MATCH(I27,$E$10:$E$27,0)))</f>
        <v/>
      </c>
      <c r="L27" s="190" t="str">
        <f>IF(ISNA(MATCH(I27,$G$10:$G$27,0)),"",INDEX($F$10:F$27,MATCH(I27,$G$10:$G$27,0)))</f>
        <v/>
      </c>
      <c r="M27"/>
      <c r="N27" s="52" t="s">
        <v>5</v>
      </c>
      <c r="O27" s="141">
        <f>IF($Q$5=49,K25,IF($Q$5=50,K26,IF($Q$5=51,K26,IF($Q$5=52,J27,IF($Q$5=53,J27,IF($Q$5=54,J27,0))))))</f>
        <v>0</v>
      </c>
      <c r="P27" s="146">
        <f>IF($Q$5=49,L23,IF($Q$5=50,L25,IF($Q$5=51,L26,IF($Q$5=52,L26,IF($Q$5=53,K27,IF($Q$5=54,K27,0))))))</f>
        <v>0</v>
      </c>
      <c r="Q27" s="211">
        <f>IF($Q$5=54,L27,0)</f>
        <v>0</v>
      </c>
      <c r="R27" s="213">
        <f>IF($Q$5=43,0,IF($Q$5=44,0,IF($Q$5=45,0,IF($Q$5=46,0,IF($Q$5=47,0,IF($Q$5=48,0,IF($Q$5=49,O27,IF($Q$5=50,O27,IF($Q$5=51,O27,IF($Q$5=52,O10,IF($Q$5=53,O10,IF($Q$5=54,O10,0))))))))))))</f>
        <v>0</v>
      </c>
      <c r="S27" s="146">
        <f>IF($Q$5=43,0,IF($Q$5=44,0,IF($Q$5=45,0,IF($Q$5=46,0,IF($Q$5=47,0,IF($Q$5=48,0,IF($Q$5=49,P25,IF($Q$5=50,Q12,IF($Q$5=51,P26,IF($Q$5=52,P27,IF($Q$5=53,P11,IF($Q$5=54,P11,0))))))))))))</f>
        <v>0</v>
      </c>
      <c r="T27" s="214">
        <f>IF($Q$5=54,Q12,0)</f>
        <v>0</v>
      </c>
      <c r="U27" s="216">
        <f>IF($Q$5=43,0,IF($Q$5=44,0,IF($Q$5=45,0,IF($Q$5=46,0,IF($Q$5=47,0,IF($Q$5=48,0,IF($Q$5=49,R27,IF($Q$5=50,R27,IF($Q$5=51,R27,IF($Q$5=52,R10,IF($Q$5=53,R10,IF($Q$5=54,R10,0))))))))))))</f>
        <v>0</v>
      </c>
      <c r="V27" s="176">
        <f>IF($Q$5=43,0,IF($Q$5=44,0,IF($Q$5=45,0,IF($Q$5=46,0,IF($Q$5=47,0,IF($Q$5=48,0,IF($Q$5=49,S26,IF($Q$5=50,T12,IF($Q$5=51,T12,IF($Q$5=52,T12,IF($Q$5=53,S11,IF($Q$5=54,S11,0))))))))))))</f>
        <v>0</v>
      </c>
      <c r="W27" s="177">
        <f>IF($Q$5=43,0,IF($Q$5=44,0,IF($Q$5=45,0,IF($Q$5=46,0,IF($Q$5=47,0,IF($Q$5=48,0,IF($Q$5=49,0,IF($Q$5=50,0,IF($Q$5=51,0,IF($Q$5=52,0,IF($Q$5=53,0,IF($Q$5=54,T12,0))))))))))))</f>
        <v>0</v>
      </c>
      <c r="X27" s="23"/>
      <c r="Y27" s="446">
        <v>3</v>
      </c>
      <c r="Z27" s="12" t="str">
        <f>+O14</f>
        <v>A5</v>
      </c>
      <c r="AA27" s="33">
        <v>13</v>
      </c>
      <c r="AB27" s="48">
        <f>IF(AA27+AA31=0,0,IF(AA27=AA31,2,IF(AA27&gt;AA31,3,1)))</f>
        <v>3</v>
      </c>
      <c r="AC27" s="13">
        <f>AA27-AA31</f>
        <v>12</v>
      </c>
      <c r="AD27" s="24"/>
      <c r="AE27" s="12" t="str">
        <f>+R14</f>
        <v>A6</v>
      </c>
      <c r="AF27" s="126">
        <v>7</v>
      </c>
      <c r="AG27" s="48">
        <f>IF(AF27+AF31=0,0,IF(AF27=AF31,2,IF(AF27&gt;AF31,3,1)))</f>
        <v>1</v>
      </c>
      <c r="AH27" s="13">
        <f>AF27-AF31</f>
        <v>-1</v>
      </c>
      <c r="AI27" s="24"/>
      <c r="AJ27" s="12" t="str">
        <f>+U14</f>
        <v>A2</v>
      </c>
      <c r="AK27" s="36">
        <v>6</v>
      </c>
      <c r="AL27" s="48">
        <f>IF(AK27+AK31=0,0,IF(AK27=AK31,2,IF(AK27&gt;AK31,3,1)))</f>
        <v>1</v>
      </c>
      <c r="AM27" s="13">
        <f>AK27-AK31</f>
        <v>-3</v>
      </c>
      <c r="AN27" s="23"/>
      <c r="AO27" s="54">
        <v>19</v>
      </c>
      <c r="AP27" s="322" t="str">
        <f>+Inscrits!D3</f>
        <v>B1</v>
      </c>
      <c r="AQ27" s="286">
        <f t="shared" si="3"/>
        <v>1</v>
      </c>
      <c r="AR27" s="99">
        <f t="shared" si="4"/>
        <v>-2</v>
      </c>
      <c r="AS27" s="219">
        <f t="shared" si="5"/>
        <v>8</v>
      </c>
      <c r="AT27" s="328" t="str">
        <f t="shared" si="6"/>
        <v>0</v>
      </c>
      <c r="AU27" s="329" t="str">
        <f t="shared" si="7"/>
        <v>0</v>
      </c>
      <c r="AV27" s="330" t="str">
        <f t="shared" si="8"/>
        <v>0</v>
      </c>
      <c r="AW27" s="286" t="str">
        <f t="shared" si="9"/>
        <v>0</v>
      </c>
      <c r="AX27" s="99" t="str">
        <f t="shared" si="10"/>
        <v>0</v>
      </c>
      <c r="AY27" s="291" t="str">
        <f t="shared" si="11"/>
        <v>0</v>
      </c>
      <c r="AZ27" s="286">
        <f t="shared" si="17"/>
        <v>1</v>
      </c>
      <c r="BA27" s="99">
        <f t="shared" si="12"/>
        <v>-2</v>
      </c>
      <c r="BB27" s="291">
        <f t="shared" si="13"/>
        <v>8</v>
      </c>
      <c r="BC27" s="294">
        <f t="shared" si="14"/>
        <v>-2</v>
      </c>
      <c r="BD27" s="7">
        <f t="shared" si="15"/>
        <v>0</v>
      </c>
      <c r="BE27" s="218">
        <f t="shared" si="16"/>
        <v>23.019200269999999</v>
      </c>
      <c r="BF27" s="99">
        <f>IF(AP27="","",SMALL(BE$9:BE$62,ROWS(AZ$9:AZ27)))</f>
        <v>16.178700320000001</v>
      </c>
      <c r="BG27" s="88"/>
      <c r="BH27" s="95" t="str">
        <f>IF(OR(AP27="",AZ27=""),"",INDEX($AP$9:$AP$63,MATCH(BF27,$BE$9:BE$62,0)))</f>
        <v>B6</v>
      </c>
      <c r="BI27" s="294">
        <f t="shared" si="0"/>
        <v>3</v>
      </c>
      <c r="BJ27" s="7">
        <f t="shared" si="1"/>
        <v>-18</v>
      </c>
      <c r="BK27" s="7">
        <f t="shared" si="2"/>
        <v>13</v>
      </c>
      <c r="BL27" s="280">
        <f>IF(BF27="","",IF(AND(BI26=BI27,BJ26=BJ27,BK26=BK27),BL26,$BL$9+18))</f>
        <v>19</v>
      </c>
      <c r="BM27" s="29"/>
      <c r="BN27" s="3"/>
    </row>
    <row r="28" spans="1:66" ht="16.5" thickBo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128"/>
      <c r="P28" s="23"/>
      <c r="Q28" s="23"/>
      <c r="R28" s="23"/>
      <c r="S28" s="23"/>
      <c r="T28" s="23"/>
      <c r="U28" s="29"/>
      <c r="V28" s="23"/>
      <c r="W28" s="23"/>
      <c r="X28" s="23"/>
      <c r="Y28" s="447"/>
      <c r="Z28" s="14" t="str">
        <f>+P14</f>
        <v>B5</v>
      </c>
      <c r="AA28" s="17">
        <f>IF(ISTEXT(Z28),AA27,0)</f>
        <v>13</v>
      </c>
      <c r="AB28" s="18">
        <f>IF(ISTEXT(Z28),AB27,0)</f>
        <v>3</v>
      </c>
      <c r="AC28" s="19">
        <f>IF(ISTEXT(Z28),AC27,0)</f>
        <v>12</v>
      </c>
      <c r="AD28" s="9"/>
      <c r="AE28" s="14" t="str">
        <f>+S14</f>
        <v>B6</v>
      </c>
      <c r="AF28" s="17">
        <f>IF(ISTEXT(AE28),AF27,0)</f>
        <v>7</v>
      </c>
      <c r="AG28" s="59">
        <f>IF(ISTEXT(AE28),AG27,0)</f>
        <v>1</v>
      </c>
      <c r="AH28" s="19">
        <f>IF(ISTEXT(AE28),AH27,0)</f>
        <v>-1</v>
      </c>
      <c r="AI28" s="9"/>
      <c r="AJ28" s="14" t="str">
        <f>+V14</f>
        <v>B7</v>
      </c>
      <c r="AK28" s="17">
        <f>IF(ISTEXT(AJ28),AK27,0)</f>
        <v>6</v>
      </c>
      <c r="AL28" s="59">
        <f>IF(ISTEXT(AJ28),AL27,0)</f>
        <v>1</v>
      </c>
      <c r="AM28" s="19">
        <f>IF(ISTEXT(AJ28),AM27,0)</f>
        <v>-3</v>
      </c>
      <c r="AN28" s="23"/>
      <c r="AO28" s="54">
        <v>20</v>
      </c>
      <c r="AP28" s="322" t="str">
        <f>+Inscrits!D4</f>
        <v>B2</v>
      </c>
      <c r="AQ28" s="286">
        <f t="shared" si="3"/>
        <v>3</v>
      </c>
      <c r="AR28" s="99">
        <f t="shared" si="4"/>
        <v>2</v>
      </c>
      <c r="AS28" s="219">
        <f t="shared" si="5"/>
        <v>10</v>
      </c>
      <c r="AT28" s="328">
        <f t="shared" si="6"/>
        <v>3</v>
      </c>
      <c r="AU28" s="329">
        <f t="shared" si="7"/>
        <v>2</v>
      </c>
      <c r="AV28" s="330">
        <f t="shared" si="8"/>
        <v>6</v>
      </c>
      <c r="AW28" s="286" t="str">
        <f t="shared" si="9"/>
        <v>0</v>
      </c>
      <c r="AX28" s="99" t="str">
        <f t="shared" si="10"/>
        <v>0</v>
      </c>
      <c r="AY28" s="291" t="str">
        <f t="shared" si="11"/>
        <v>0</v>
      </c>
      <c r="AZ28" s="286">
        <f t="shared" si="17"/>
        <v>6</v>
      </c>
      <c r="BA28" s="99">
        <f t="shared" si="12"/>
        <v>4</v>
      </c>
      <c r="BB28" s="291">
        <f t="shared" si="13"/>
        <v>16</v>
      </c>
      <c r="BC28" s="294">
        <f t="shared" si="14"/>
        <v>0</v>
      </c>
      <c r="BD28" s="7">
        <f t="shared" si="15"/>
        <v>4</v>
      </c>
      <c r="BE28" s="218">
        <f t="shared" si="16"/>
        <v>6.9584002800000002</v>
      </c>
      <c r="BF28" s="99">
        <f>IF(AP28="","",SMALL(BE$9:BE$62,ROWS(AZ$9:AZ28)))</f>
        <v>16.2493005</v>
      </c>
      <c r="BG28" s="88"/>
      <c r="BH28" s="95" t="str">
        <f>IF(OR(AP28="",AZ28=""),"",INDEX($AP$9:$AP$63,MATCH(BF28,$BE$9:BE$62,0)))</f>
        <v>C6</v>
      </c>
      <c r="BI28" s="294">
        <f t="shared" si="0"/>
        <v>3</v>
      </c>
      <c r="BJ28" s="7">
        <f t="shared" si="1"/>
        <v>-25</v>
      </c>
      <c r="BK28" s="7">
        <f t="shared" si="2"/>
        <v>7</v>
      </c>
      <c r="BL28" s="280">
        <f>IF(BF28="","",IF(AND(BI27=BI28,BJ27=BJ28,BK27=BK28),BL27,$BL$9+19))</f>
        <v>20</v>
      </c>
      <c r="BM28" s="29"/>
      <c r="BN28" s="3"/>
    </row>
    <row r="29" spans="1:66" ht="15.7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P29" s="23"/>
      <c r="Q29" s="23"/>
      <c r="R29" s="23"/>
      <c r="S29" s="23"/>
      <c r="T29" s="23"/>
      <c r="U29" s="29"/>
      <c r="V29" s="23"/>
      <c r="W29" s="23"/>
      <c r="X29" s="23"/>
      <c r="Y29" s="447"/>
      <c r="Z29" s="14" t="str">
        <f>+Q14</f>
        <v>C5</v>
      </c>
      <c r="AA29" s="71">
        <f>IF(ISTEXT(Z29),AA27,0)</f>
        <v>13</v>
      </c>
      <c r="AB29" s="67">
        <f>IF(ISTEXT(Z29),AB27,0)</f>
        <v>3</v>
      </c>
      <c r="AC29" s="72">
        <f>IF(ISTEXT(Z29),AC27,0)</f>
        <v>12</v>
      </c>
      <c r="AD29" s="9"/>
      <c r="AE29" s="14" t="str">
        <f>+T14</f>
        <v>C2</v>
      </c>
      <c r="AF29" s="71">
        <f>IF(ISTEXT(AE29),AF27,0)</f>
        <v>7</v>
      </c>
      <c r="AG29" s="64">
        <f>IF(ISTEXT(AE29),AG27,0)</f>
        <v>1</v>
      </c>
      <c r="AH29" s="72">
        <f>IF(ISTEXT(AE29),AH27,0)</f>
        <v>-1</v>
      </c>
      <c r="AI29" s="9"/>
      <c r="AJ29" s="14" t="str">
        <f>+W14</f>
        <v>C8</v>
      </c>
      <c r="AK29" s="71">
        <f>IF(ISTEXT(AJ29),AK27,0)</f>
        <v>6</v>
      </c>
      <c r="AL29" s="64">
        <f>IF(ISTEXT(AJ29),AL27,0)</f>
        <v>1</v>
      </c>
      <c r="AM29" s="72">
        <f>IF(ISTEXT(AJ29),AM27,0)</f>
        <v>-3</v>
      </c>
      <c r="AN29" s="23"/>
      <c r="AO29" s="54">
        <v>21</v>
      </c>
      <c r="AP29" s="322" t="str">
        <f>+Inscrits!D5</f>
        <v>B3</v>
      </c>
      <c r="AQ29" s="286">
        <f t="shared" si="3"/>
        <v>1</v>
      </c>
      <c r="AR29" s="99">
        <f t="shared" si="4"/>
        <v>-3</v>
      </c>
      <c r="AS29" s="219">
        <f t="shared" si="5"/>
        <v>8</v>
      </c>
      <c r="AT29" s="328">
        <f t="shared" si="6"/>
        <v>1</v>
      </c>
      <c r="AU29" s="329">
        <f t="shared" si="7"/>
        <v>-2</v>
      </c>
      <c r="AV29" s="330">
        <f t="shared" si="8"/>
        <v>4</v>
      </c>
      <c r="AW29" s="286">
        <f t="shared" si="9"/>
        <v>3</v>
      </c>
      <c r="AX29" s="99">
        <f t="shared" si="10"/>
        <v>11</v>
      </c>
      <c r="AY29" s="291">
        <f t="shared" si="11"/>
        <v>13</v>
      </c>
      <c r="AZ29" s="286">
        <f t="shared" si="17"/>
        <v>5</v>
      </c>
      <c r="BA29" s="99">
        <f t="shared" si="12"/>
        <v>6</v>
      </c>
      <c r="BB29" s="291">
        <f t="shared" si="13"/>
        <v>25</v>
      </c>
      <c r="BC29" s="294">
        <f t="shared" si="14"/>
        <v>0</v>
      </c>
      <c r="BD29" s="7">
        <f t="shared" si="15"/>
        <v>6</v>
      </c>
      <c r="BE29" s="218">
        <f t="shared" si="16"/>
        <v>8.9375002899999991</v>
      </c>
      <c r="BF29" s="99">
        <f>IF(AP29="","",SMALL(BE$9:BE$62,ROWS(AZ$9:AZ29)))</f>
        <v>21.06870047</v>
      </c>
      <c r="BG29" s="88"/>
      <c r="BH29" s="95" t="str">
        <f>IF(OR(AP29="",AZ29=""),"",INDEX($AP$9:$AP$63,MATCH(BF29,$BE$9:BE$62,0)))</f>
        <v>C3</v>
      </c>
      <c r="BI29" s="294">
        <f t="shared" si="0"/>
        <v>2</v>
      </c>
      <c r="BJ29" s="7">
        <f t="shared" si="1"/>
        <v>-7</v>
      </c>
      <c r="BK29" s="7">
        <f t="shared" si="2"/>
        <v>13</v>
      </c>
      <c r="BL29" s="280">
        <f>IF(BF29="","",IF(AND(BI28=BI29,BJ28=BJ29,BK28=BK29),BL28,$BL$9+20))</f>
        <v>21</v>
      </c>
      <c r="BM29" s="29"/>
      <c r="BN29" s="3"/>
    </row>
    <row r="30" spans="1:66" ht="15.7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P30" s="23"/>
      <c r="Q30" s="23"/>
      <c r="R30" s="23"/>
      <c r="S30" s="23"/>
      <c r="T30" s="23"/>
      <c r="U30" s="29"/>
      <c r="V30" s="23"/>
      <c r="W30" s="23"/>
      <c r="X30" s="23"/>
      <c r="Y30" s="447"/>
      <c r="Z30" s="32"/>
      <c r="AA30" s="230" t="s">
        <v>5</v>
      </c>
      <c r="AB30" s="21"/>
      <c r="AC30" s="22"/>
      <c r="AD30" s="25"/>
      <c r="AE30" s="32"/>
      <c r="AF30" s="230" t="s">
        <v>5</v>
      </c>
      <c r="AG30" s="21"/>
      <c r="AH30" s="22"/>
      <c r="AI30" s="25"/>
      <c r="AJ30" s="32"/>
      <c r="AK30" s="230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3</v>
      </c>
      <c r="AR30" s="99">
        <f t="shared" si="4"/>
        <v>3</v>
      </c>
      <c r="AS30" s="219">
        <f t="shared" si="5"/>
        <v>11</v>
      </c>
      <c r="AT30" s="328">
        <f t="shared" si="6"/>
        <v>1</v>
      </c>
      <c r="AU30" s="329">
        <f t="shared" si="7"/>
        <v>-4</v>
      </c>
      <c r="AV30" s="330">
        <f t="shared" si="8"/>
        <v>5</v>
      </c>
      <c r="AW30" s="286">
        <f t="shared" si="9"/>
        <v>3</v>
      </c>
      <c r="AX30" s="99">
        <f t="shared" si="10"/>
        <v>5</v>
      </c>
      <c r="AY30" s="291">
        <f t="shared" si="11"/>
        <v>10</v>
      </c>
      <c r="AZ30" s="286">
        <f t="shared" si="17"/>
        <v>7</v>
      </c>
      <c r="BA30" s="99">
        <f t="shared" si="12"/>
        <v>4</v>
      </c>
      <c r="BB30" s="291">
        <f t="shared" si="13"/>
        <v>26</v>
      </c>
      <c r="BC30" s="294">
        <f t="shared" si="14"/>
        <v>0</v>
      </c>
      <c r="BD30" s="7">
        <f t="shared" si="15"/>
        <v>4</v>
      </c>
      <c r="BE30" s="218">
        <f t="shared" si="16"/>
        <v>1.9574003</v>
      </c>
      <c r="BF30" s="99">
        <f>IF(AP30="","",SMALL(BE$9:BE$62,ROWS(AZ$9:AZ30)))</f>
        <v>21.129200139999998</v>
      </c>
      <c r="BG30" s="88"/>
      <c r="BH30" s="95" t="str">
        <f>IF(OR(AP30="",AZ30=""),"",INDEX($AP$9:$AP$63,MATCH(BF30,$BE$9:BE$62,0)))</f>
        <v>A6</v>
      </c>
      <c r="BI30" s="294">
        <f t="shared" si="0"/>
        <v>2</v>
      </c>
      <c r="BJ30" s="7">
        <f t="shared" si="1"/>
        <v>-13</v>
      </c>
      <c r="BK30" s="7">
        <f t="shared" si="2"/>
        <v>8</v>
      </c>
      <c r="BL30" s="280">
        <f>IF(BF30="","",IF(AND(BI29=BI30,BJ29=BJ30,BK29=BK30),BL29,$BL$9+21))</f>
        <v>22</v>
      </c>
      <c r="BM30" s="29"/>
      <c r="BN30" s="3"/>
    </row>
    <row r="31" spans="1:66" ht="15.7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P31" s="23"/>
      <c r="Q31" s="23"/>
      <c r="R31" s="23"/>
      <c r="S31" s="23"/>
      <c r="T31" s="23"/>
      <c r="U31" s="23"/>
      <c r="V31" s="23"/>
      <c r="W31" s="23"/>
      <c r="X31" s="23"/>
      <c r="Y31" s="447"/>
      <c r="Z31" s="14" t="str">
        <f>+O15</f>
        <v>A6</v>
      </c>
      <c r="AA31" s="35">
        <v>1</v>
      </c>
      <c r="AB31" s="30">
        <f>IF(AA27+AA31=0,0,IF(AA27=AA31,2,IF(AA27&lt;AA31,3,1)))</f>
        <v>1</v>
      </c>
      <c r="AC31" s="15">
        <f>AA31-AA27</f>
        <v>-12</v>
      </c>
      <c r="AD31" s="24"/>
      <c r="AE31" s="14" t="str">
        <f>+R15</f>
        <v>A7</v>
      </c>
      <c r="AF31" s="127">
        <v>8</v>
      </c>
      <c r="AG31" s="30">
        <f>IF(AF27+AF31=0,0,IF(AF27=AF31,2,IF(AF27&lt;AF31,3,1)))</f>
        <v>3</v>
      </c>
      <c r="AH31" s="15">
        <f>AF31-AF27</f>
        <v>1</v>
      </c>
      <c r="AI31" s="24"/>
      <c r="AJ31" s="14" t="str">
        <f>+U15</f>
        <v>A7</v>
      </c>
      <c r="AK31" s="37">
        <v>9</v>
      </c>
      <c r="AL31" s="30">
        <f>IF(AK27+AK31=0,0,IF(AK27=AK31,2,IF(AK27&lt;AK31,3,1)))</f>
        <v>3</v>
      </c>
      <c r="AM31" s="15">
        <f>AK31-AK27</f>
        <v>3</v>
      </c>
      <c r="AN31" s="23"/>
      <c r="AO31" s="54">
        <v>23</v>
      </c>
      <c r="AP31" s="322" t="str">
        <f>+Inscrits!D7</f>
        <v>B5</v>
      </c>
      <c r="AQ31" s="286">
        <f t="shared" si="3"/>
        <v>3</v>
      </c>
      <c r="AR31" s="99">
        <f t="shared" si="4"/>
        <v>12</v>
      </c>
      <c r="AS31" s="219">
        <f t="shared" si="5"/>
        <v>13</v>
      </c>
      <c r="AT31" s="328">
        <f t="shared" si="6"/>
        <v>3</v>
      </c>
      <c r="AU31" s="329">
        <f t="shared" si="7"/>
        <v>4</v>
      </c>
      <c r="AV31" s="330">
        <f t="shared" si="8"/>
        <v>9</v>
      </c>
      <c r="AW31" s="286">
        <f t="shared" si="9"/>
        <v>1</v>
      </c>
      <c r="AX31" s="99">
        <f t="shared" si="10"/>
        <v>-11</v>
      </c>
      <c r="AY31" s="291">
        <f t="shared" si="11"/>
        <v>2</v>
      </c>
      <c r="AZ31" s="286">
        <f t="shared" si="17"/>
        <v>7</v>
      </c>
      <c r="BA31" s="99">
        <f t="shared" si="12"/>
        <v>5</v>
      </c>
      <c r="BB31" s="291">
        <f t="shared" si="13"/>
        <v>24</v>
      </c>
      <c r="BC31" s="294">
        <f t="shared" si="14"/>
        <v>0</v>
      </c>
      <c r="BD31" s="7">
        <f t="shared" si="15"/>
        <v>5</v>
      </c>
      <c r="BE31" s="218">
        <f t="shared" si="16"/>
        <v>1.9476003099999999</v>
      </c>
      <c r="BF31" s="99">
        <f>IF(AP31="","",SMALL(BE$9:BE$62,ROWS(AZ$9:AZ31)))</f>
        <v>23.019200269999999</v>
      </c>
      <c r="BG31" s="88"/>
      <c r="BH31" s="95" t="str">
        <f>IF(OR(AP31="",AZ31=""),"",INDEX($AP$9:$AP$63,MATCH(BF31,$BE$9:BE$62,0)))</f>
        <v>B1</v>
      </c>
      <c r="BI31" s="294">
        <f t="shared" si="0"/>
        <v>1</v>
      </c>
      <c r="BJ31" s="7">
        <f t="shared" si="1"/>
        <v>-2</v>
      </c>
      <c r="BK31" s="7">
        <f t="shared" si="2"/>
        <v>8</v>
      </c>
      <c r="BL31" s="280">
        <f>IF(BF31="","",IF(AND(BI30=BI31,BJ30=BJ31,BK30=BK31),BL30,$BL$9+22))</f>
        <v>23</v>
      </c>
      <c r="BM31" s="29"/>
      <c r="BN31" s="3"/>
    </row>
    <row r="32" spans="1:66" ht="16.5" thickBo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P32" s="23"/>
      <c r="Q32" s="23"/>
      <c r="R32" s="23"/>
      <c r="S32" s="23"/>
      <c r="T32" s="23"/>
      <c r="U32" s="23"/>
      <c r="V32" s="23"/>
      <c r="W32" s="23"/>
      <c r="X32" s="23"/>
      <c r="Y32" s="447"/>
      <c r="Z32" s="14" t="str">
        <f>+P15</f>
        <v>B6</v>
      </c>
      <c r="AA32" s="17">
        <f>IF(ISTEXT(Z32),AA31,0)</f>
        <v>1</v>
      </c>
      <c r="AB32" s="18">
        <f>IF(ISTEXT(Z32),AB31,0)</f>
        <v>1</v>
      </c>
      <c r="AC32" s="19">
        <f>IF(ISTEXT(Z32),AC31,0)</f>
        <v>-12</v>
      </c>
      <c r="AD32" s="9"/>
      <c r="AE32" s="14" t="str">
        <f>+S15</f>
        <v>B7</v>
      </c>
      <c r="AF32" s="17">
        <f>IF(ISTEXT(AE32),AF31,0)</f>
        <v>8</v>
      </c>
      <c r="AG32" s="18">
        <f>IF(ISTEXT(AE32),AG31,0)</f>
        <v>3</v>
      </c>
      <c r="AH32" s="19">
        <f>IF(ISTEXT(AE32),AH31,0)</f>
        <v>1</v>
      </c>
      <c r="AI32" s="9"/>
      <c r="AJ32" s="14" t="str">
        <f>+V15</f>
        <v>B8</v>
      </c>
      <c r="AK32" s="17">
        <f>IF(ISTEXT(AJ32),AK31,0)</f>
        <v>9</v>
      </c>
      <c r="AL32" s="18">
        <f>IF(ISTEXT(AJ32),AL31,0)</f>
        <v>3</v>
      </c>
      <c r="AM32" s="19">
        <f>IF(ISTEXT(AJ32),AM31,0)</f>
        <v>3</v>
      </c>
      <c r="AN32" s="23"/>
      <c r="AO32" s="54">
        <v>24</v>
      </c>
      <c r="AP32" s="322" t="str">
        <f>+Inscrits!D8</f>
        <v>B6</v>
      </c>
      <c r="AQ32" s="286">
        <f t="shared" si="3"/>
        <v>1</v>
      </c>
      <c r="AR32" s="99">
        <f t="shared" si="4"/>
        <v>-12</v>
      </c>
      <c r="AS32" s="219">
        <f t="shared" si="5"/>
        <v>1</v>
      </c>
      <c r="AT32" s="328">
        <f t="shared" si="6"/>
        <v>1</v>
      </c>
      <c r="AU32" s="329">
        <f t="shared" si="7"/>
        <v>-1</v>
      </c>
      <c r="AV32" s="330">
        <f t="shared" si="8"/>
        <v>7</v>
      </c>
      <c r="AW32" s="286">
        <f t="shared" si="9"/>
        <v>1</v>
      </c>
      <c r="AX32" s="99">
        <f t="shared" si="10"/>
        <v>-5</v>
      </c>
      <c r="AY32" s="291">
        <f t="shared" si="11"/>
        <v>5</v>
      </c>
      <c r="AZ32" s="286">
        <f t="shared" si="17"/>
        <v>3</v>
      </c>
      <c r="BA32" s="99">
        <f t="shared" si="12"/>
        <v>-18</v>
      </c>
      <c r="BB32" s="291">
        <f t="shared" si="13"/>
        <v>13</v>
      </c>
      <c r="BC32" s="294">
        <f t="shared" si="14"/>
        <v>-18</v>
      </c>
      <c r="BD32" s="7">
        <f t="shared" si="15"/>
        <v>0</v>
      </c>
      <c r="BE32" s="218">
        <f t="shared" si="16"/>
        <v>16.178700320000001</v>
      </c>
      <c r="BF32" s="99">
        <f>IF(AP32="","",SMALL(BE$9:BE$62,ROWS(AZ$9:AZ32)))</f>
        <v>23.029400520000003</v>
      </c>
      <c r="BG32" s="88"/>
      <c r="BH32" s="95" t="str">
        <f>IF(OR(AP32="",AZ32=""),"",INDEX($AP$9:$AP$63,MATCH(BF32,$BE$9:BE$62,0)))</f>
        <v>C8</v>
      </c>
      <c r="BI32" s="294">
        <f t="shared" si="0"/>
        <v>1</v>
      </c>
      <c r="BJ32" s="7">
        <f t="shared" si="1"/>
        <v>-3</v>
      </c>
      <c r="BK32" s="7">
        <f t="shared" si="2"/>
        <v>6</v>
      </c>
      <c r="BL32" s="280">
        <f>IF(BF32="","",IF(AND(BI31=BI32,BJ31=BJ32,BK31=BK32),BL31,$BL$9+23))</f>
        <v>24</v>
      </c>
      <c r="BM32" s="29"/>
      <c r="BN32" s="3"/>
    </row>
    <row r="33" spans="1:66" ht="16.5" thickBo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P33" s="23"/>
      <c r="Q33" s="23"/>
      <c r="R33" s="23"/>
      <c r="S33" s="23"/>
      <c r="T33" s="23"/>
      <c r="U33" s="23"/>
      <c r="V33" s="23"/>
      <c r="W33" s="23"/>
      <c r="X33" s="23"/>
      <c r="Y33" s="448"/>
      <c r="Z33" s="16" t="str">
        <f>+Q15</f>
        <v>C6</v>
      </c>
      <c r="AA33" s="17">
        <f>IF(ISTEXT(Z33),AA31,0)</f>
        <v>1</v>
      </c>
      <c r="AB33" s="18">
        <f>IF(ISTEXT(Z33),AB31,0)</f>
        <v>1</v>
      </c>
      <c r="AC33" s="19">
        <f>IF(ISTEXT(Z33),AC31,0)</f>
        <v>-12</v>
      </c>
      <c r="AD33" s="9"/>
      <c r="AE33" s="16" t="str">
        <f>+T15</f>
        <v>C7</v>
      </c>
      <c r="AF33" s="17">
        <f>IF(ISTEXT(AE33),AF31,0)</f>
        <v>8</v>
      </c>
      <c r="AG33" s="18">
        <f>IF(ISTEXT(AE33),AG31,0)</f>
        <v>3</v>
      </c>
      <c r="AH33" s="19">
        <f>IF(ISTEXT(AE33),AH31,0)</f>
        <v>1</v>
      </c>
      <c r="AI33" s="9"/>
      <c r="AJ33" s="16" t="str">
        <f>+W15</f>
        <v>C9</v>
      </c>
      <c r="AK33" s="17">
        <f>IF(ISTEXT(AJ33),AK31,0)</f>
        <v>9</v>
      </c>
      <c r="AL33" s="18">
        <f>IF(ISTEXT(AJ33),AL31,0)</f>
        <v>3</v>
      </c>
      <c r="AM33" s="19">
        <f>IF(ISTEXT(AJ33),AM31,0)</f>
        <v>3</v>
      </c>
      <c r="AN33" s="23"/>
      <c r="AO33" s="54">
        <v>25</v>
      </c>
      <c r="AP33" s="322" t="str">
        <f>+Inscrits!D9</f>
        <v>B7</v>
      </c>
      <c r="AQ33" s="286" t="str">
        <f t="shared" si="3"/>
        <v>0</v>
      </c>
      <c r="AR33" s="99" t="str">
        <f t="shared" si="4"/>
        <v>0</v>
      </c>
      <c r="AS33" s="219" t="str">
        <f t="shared" si="5"/>
        <v>0</v>
      </c>
      <c r="AT33" s="328">
        <f t="shared" si="6"/>
        <v>3</v>
      </c>
      <c r="AU33" s="329">
        <f t="shared" si="7"/>
        <v>1</v>
      </c>
      <c r="AV33" s="330">
        <f t="shared" si="8"/>
        <v>8</v>
      </c>
      <c r="AW33" s="286">
        <f t="shared" si="9"/>
        <v>1</v>
      </c>
      <c r="AX33" s="99">
        <f t="shared" si="10"/>
        <v>-3</v>
      </c>
      <c r="AY33" s="291">
        <f t="shared" si="11"/>
        <v>6</v>
      </c>
      <c r="AZ33" s="286">
        <f t="shared" si="17"/>
        <v>4</v>
      </c>
      <c r="BA33" s="99">
        <f t="shared" si="12"/>
        <v>-2</v>
      </c>
      <c r="BB33" s="291">
        <f t="shared" si="13"/>
        <v>14</v>
      </c>
      <c r="BC33" s="294">
        <f t="shared" si="14"/>
        <v>-2</v>
      </c>
      <c r="BD33" s="7">
        <f t="shared" si="15"/>
        <v>0</v>
      </c>
      <c r="BE33" s="218">
        <f t="shared" si="16"/>
        <v>12.01860033</v>
      </c>
      <c r="BF33" s="99">
        <f>IF(AP33="","",SMALL(BE$9:BE$62,ROWS(AZ$9:AZ33)))</f>
        <v>25.000000159999999</v>
      </c>
      <c r="BG33" s="88"/>
      <c r="BH33" s="95" t="str">
        <f>IF(OR(AP33="",AZ33=""),"",INDEX($AP$9:$AP$63,MATCH(BF33,$BE$9:BE$62,0)))</f>
        <v>A8</v>
      </c>
      <c r="BI33" s="294">
        <f t="shared" si="0"/>
        <v>0</v>
      </c>
      <c r="BJ33" s="7">
        <f t="shared" si="1"/>
        <v>0</v>
      </c>
      <c r="BK33" s="7">
        <f t="shared" si="2"/>
        <v>0</v>
      </c>
      <c r="BL33" s="280">
        <f>IF(BF33="","",IF(AND(BI32=BI33,BJ32=BJ33,BK32=BK33),BL32,$BL$9+24))</f>
        <v>25</v>
      </c>
      <c r="BM33" s="29"/>
      <c r="BN33" s="3"/>
    </row>
    <row r="34" spans="1:66" ht="16.5" thickBo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P34" s="23"/>
      <c r="Q34" s="23"/>
      <c r="R34" s="23"/>
      <c r="S34" s="23"/>
      <c r="T34" s="23"/>
      <c r="U34" s="192"/>
      <c r="V34" s="23"/>
      <c r="W34" s="23"/>
      <c r="X34" s="23"/>
      <c r="Y34" s="128"/>
      <c r="Z34" s="73"/>
      <c r="AA34" s="234"/>
      <c r="AB34" s="73"/>
      <c r="AC34" s="73"/>
      <c r="AD34" s="234"/>
      <c r="AE34" s="73"/>
      <c r="AF34" s="234"/>
      <c r="AG34" s="73"/>
      <c r="AH34" s="73"/>
      <c r="AI34" s="234"/>
      <c r="AJ34" s="73"/>
      <c r="AK34" s="234"/>
      <c r="AL34" s="73"/>
      <c r="AM34" s="73"/>
      <c r="AN34" s="23"/>
      <c r="AO34" s="54">
        <v>26</v>
      </c>
      <c r="AP34" s="322" t="str">
        <f>+Inscrits!D10</f>
        <v>B8</v>
      </c>
      <c r="AQ34" s="286" t="str">
        <f t="shared" si="3"/>
        <v>0</v>
      </c>
      <c r="AR34" s="99" t="str">
        <f t="shared" si="4"/>
        <v>0</v>
      </c>
      <c r="AS34" s="219" t="str">
        <f t="shared" si="5"/>
        <v>0</v>
      </c>
      <c r="AT34" s="328" t="str">
        <f t="shared" si="6"/>
        <v>0</v>
      </c>
      <c r="AU34" s="329" t="str">
        <f t="shared" si="7"/>
        <v>0</v>
      </c>
      <c r="AV34" s="330" t="str">
        <f t="shared" si="8"/>
        <v>0</v>
      </c>
      <c r="AW34" s="286">
        <f t="shared" si="9"/>
        <v>3</v>
      </c>
      <c r="AX34" s="99">
        <f t="shared" si="10"/>
        <v>3</v>
      </c>
      <c r="AY34" s="291">
        <f t="shared" si="11"/>
        <v>9</v>
      </c>
      <c r="AZ34" s="286">
        <f t="shared" si="17"/>
        <v>3</v>
      </c>
      <c r="BA34" s="99">
        <f t="shared" si="12"/>
        <v>3</v>
      </c>
      <c r="BB34" s="291">
        <f t="shared" si="13"/>
        <v>9</v>
      </c>
      <c r="BC34" s="294">
        <f t="shared" si="14"/>
        <v>0</v>
      </c>
      <c r="BD34" s="7">
        <f t="shared" si="15"/>
        <v>3</v>
      </c>
      <c r="BE34" s="218">
        <f t="shared" si="16"/>
        <v>15.969100340000001</v>
      </c>
      <c r="BF34" s="99">
        <f>IF(AP34="","",SMALL(BE$9:BE$62,ROWS(AZ$9:AZ34)))</f>
        <v>25.00000017</v>
      </c>
      <c r="BG34" s="88"/>
      <c r="BH34" s="95" t="str">
        <f>IF(OR(AP34="",AZ34=""),"",INDEX($AP$9:$AP$63,MATCH(BF34,$BE$9:BE$62,0)))</f>
        <v>A9</v>
      </c>
      <c r="BI34" s="294">
        <f t="shared" si="0"/>
        <v>0</v>
      </c>
      <c r="BJ34" s="7">
        <f t="shared" si="1"/>
        <v>0</v>
      </c>
      <c r="BK34" s="7">
        <f t="shared" si="2"/>
        <v>0</v>
      </c>
      <c r="BL34" s="280">
        <f>IF(BF34="","",IF(AND(BI33=BI34,BJ33=BJ34,BK33=BK34),BL33,$BL$9+25))</f>
        <v>25</v>
      </c>
      <c r="BM34" s="29"/>
      <c r="BN34" s="3"/>
    </row>
    <row r="35" spans="1:66" ht="15.7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P35" s="23"/>
      <c r="Q35" s="23"/>
      <c r="R35" s="23"/>
      <c r="S35" s="23"/>
      <c r="T35" s="23"/>
      <c r="U35" s="23"/>
      <c r="V35" s="23"/>
      <c r="W35" s="23"/>
      <c r="X35" s="23"/>
      <c r="Y35" s="446">
        <v>4</v>
      </c>
      <c r="Z35" s="12" t="str">
        <f>+O16</f>
        <v>A7</v>
      </c>
      <c r="AA35" s="33">
        <v>0</v>
      </c>
      <c r="AB35" s="48">
        <f>IF(AA35+AA39=0,0,IF(AA35=AA39,2,IF(AA35&gt;AA39,3,1)))</f>
        <v>0</v>
      </c>
      <c r="AC35" s="13">
        <f>AA35-AA39</f>
        <v>0</v>
      </c>
      <c r="AD35" s="24"/>
      <c r="AE35" s="12" t="str">
        <f>+R16</f>
        <v>A8</v>
      </c>
      <c r="AF35" s="126">
        <v>0</v>
      </c>
      <c r="AG35" s="48">
        <f>IF(AF35+AF39=0,0,IF(AF35=AF39,2,IF(AF35&gt;AF39,3,1)))</f>
        <v>0</v>
      </c>
      <c r="AH35" s="13">
        <f>AF35-AF39</f>
        <v>0</v>
      </c>
      <c r="AI35" s="24"/>
      <c r="AJ35" s="12" t="str">
        <f>+U16</f>
        <v>A6</v>
      </c>
      <c r="AK35" s="36">
        <v>0</v>
      </c>
      <c r="AL35" s="48">
        <f>IF(AK35+AK39=0,0,IF(AK35=AK39,2,IF(AK35&gt;AK39,3,1)))</f>
        <v>0</v>
      </c>
      <c r="AM35" s="13">
        <f>AK35-AK39</f>
        <v>0</v>
      </c>
      <c r="AN35" s="23"/>
      <c r="AO35" s="54">
        <v>27</v>
      </c>
      <c r="AP35" s="322" t="str">
        <f>+Inscrits!D11</f>
        <v>B9</v>
      </c>
      <c r="AQ35" s="286" t="str">
        <f t="shared" si="3"/>
        <v>0</v>
      </c>
      <c r="AR35" s="99" t="str">
        <f t="shared" si="4"/>
        <v>0</v>
      </c>
      <c r="AS35" s="219" t="str">
        <f t="shared" si="5"/>
        <v>0</v>
      </c>
      <c r="AT35" s="328" t="str">
        <f t="shared" si="6"/>
        <v>0</v>
      </c>
      <c r="AU35" s="329" t="str">
        <f t="shared" si="7"/>
        <v>0</v>
      </c>
      <c r="AV35" s="330" t="str">
        <f t="shared" si="8"/>
        <v>0</v>
      </c>
      <c r="AW35" s="286" t="str">
        <f t="shared" si="9"/>
        <v>0</v>
      </c>
      <c r="AX35" s="99" t="str">
        <f t="shared" si="10"/>
        <v>0</v>
      </c>
      <c r="AY35" s="291" t="str">
        <f t="shared" si="11"/>
        <v>0</v>
      </c>
      <c r="AZ35" s="286">
        <f t="shared" si="17"/>
        <v>0</v>
      </c>
      <c r="BA35" s="99">
        <f t="shared" si="12"/>
        <v>0</v>
      </c>
      <c r="BB35" s="291">
        <f t="shared" si="13"/>
        <v>0</v>
      </c>
      <c r="BC35" s="294">
        <f t="shared" si="14"/>
        <v>0</v>
      </c>
      <c r="BD35" s="7">
        <f t="shared" si="15"/>
        <v>0</v>
      </c>
      <c r="BE35" s="218">
        <f t="shared" si="16"/>
        <v>25.000000350000001</v>
      </c>
      <c r="BF35" s="99">
        <f>IF(AP35="","",SMALL(BE$9:BE$62,ROWS(AZ$9:AZ35)))</f>
        <v>25.000000180000001</v>
      </c>
      <c r="BG35" s="88"/>
      <c r="BH35" s="95" t="str">
        <f>IF(OR(AP35="",AZ35=""),"",INDEX($AP$9:$AP$63,MATCH(BF35,$BE$9:BE$62,0)))</f>
        <v>A10</v>
      </c>
      <c r="BI35" s="294">
        <f t="shared" si="0"/>
        <v>0</v>
      </c>
      <c r="BJ35" s="7">
        <f t="shared" si="1"/>
        <v>0</v>
      </c>
      <c r="BK35" s="7">
        <f t="shared" si="2"/>
        <v>0</v>
      </c>
      <c r="BL35" s="280">
        <f>IF(BF35="","",IF(AND(BI34=BI35,BJ34=BJ35,BK34=BK35),BL34,$BL$9+26))</f>
        <v>25</v>
      </c>
      <c r="BM35" s="29"/>
      <c r="BN35" s="3"/>
    </row>
    <row r="36" spans="1:66" ht="16.5" thickBo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P36" s="23"/>
      <c r="Q36" s="23"/>
      <c r="R36" s="23"/>
      <c r="S36" s="23"/>
      <c r="T36" s="23"/>
      <c r="U36" s="23"/>
      <c r="V36" s="23"/>
      <c r="W36" s="23"/>
      <c r="X36" s="23"/>
      <c r="Y36" s="447"/>
      <c r="Z36" s="14" t="str">
        <f>+P16</f>
        <v>B7</v>
      </c>
      <c r="AA36" s="17">
        <f>IF(ISTEXT(Z36),AA35,0)</f>
        <v>0</v>
      </c>
      <c r="AB36" s="18">
        <f>IF(ISTEXT(Z36),AB35,0)</f>
        <v>0</v>
      </c>
      <c r="AC36" s="19">
        <f>IF(ISTEXT(Z36),AC35,0)</f>
        <v>0</v>
      </c>
      <c r="AD36" s="9"/>
      <c r="AE36" s="14" t="str">
        <f>+S16</f>
        <v>B8</v>
      </c>
      <c r="AF36" s="17">
        <f>IF(ISTEXT(AE36),AF35,0)</f>
        <v>0</v>
      </c>
      <c r="AG36" s="59">
        <f>IF(ISTEXT(AE36),AG35,0)</f>
        <v>0</v>
      </c>
      <c r="AH36" s="19">
        <f>IF(ISTEXT(AE36),AH35,0)</f>
        <v>0</v>
      </c>
      <c r="AI36" s="9"/>
      <c r="AJ36" s="14" t="str">
        <f>+V16</f>
        <v>B9</v>
      </c>
      <c r="AK36" s="17">
        <f>IF(ISTEXT(AJ36),AK35,0)</f>
        <v>0</v>
      </c>
      <c r="AL36" s="59">
        <f>IF(ISTEXT(AJ36),AL35,0)</f>
        <v>0</v>
      </c>
      <c r="AM36" s="19">
        <f>IF(ISTEXT(AJ36),AM35,0)</f>
        <v>0</v>
      </c>
      <c r="AN36" s="23"/>
      <c r="AO36" s="54">
        <v>28</v>
      </c>
      <c r="AP36" s="322" t="str">
        <f>+Inscrits!D12</f>
        <v>B10</v>
      </c>
      <c r="AQ36" s="286" t="str">
        <f t="shared" si="3"/>
        <v>0</v>
      </c>
      <c r="AR36" s="99" t="str">
        <f t="shared" si="4"/>
        <v>0</v>
      </c>
      <c r="AS36" s="219" t="str">
        <f t="shared" si="5"/>
        <v>0</v>
      </c>
      <c r="AT36" s="328" t="str">
        <f t="shared" si="6"/>
        <v>0</v>
      </c>
      <c r="AU36" s="329" t="str">
        <f t="shared" si="7"/>
        <v>0</v>
      </c>
      <c r="AV36" s="330" t="str">
        <f t="shared" si="8"/>
        <v>0</v>
      </c>
      <c r="AW36" s="286" t="str">
        <f t="shared" si="9"/>
        <v>0</v>
      </c>
      <c r="AX36" s="99" t="str">
        <f t="shared" si="10"/>
        <v>0</v>
      </c>
      <c r="AY36" s="291" t="str">
        <f t="shared" si="11"/>
        <v>0</v>
      </c>
      <c r="AZ36" s="286">
        <f t="shared" si="17"/>
        <v>0</v>
      </c>
      <c r="BA36" s="99">
        <f t="shared" si="12"/>
        <v>0</v>
      </c>
      <c r="BB36" s="291">
        <f t="shared" si="13"/>
        <v>0</v>
      </c>
      <c r="BC36" s="294">
        <f t="shared" si="14"/>
        <v>0</v>
      </c>
      <c r="BD36" s="7">
        <f t="shared" si="15"/>
        <v>0</v>
      </c>
      <c r="BE36" s="218">
        <f t="shared" si="16"/>
        <v>25.000000360000001</v>
      </c>
      <c r="BF36" s="99">
        <f>IF(AP36="","",SMALL(BE$9:BE$62,ROWS(AZ$9:AZ36)))</f>
        <v>25.000000190000002</v>
      </c>
      <c r="BG36" s="88"/>
      <c r="BH36" s="95" t="str">
        <f>IF(OR(AP36="",AZ36=""),"",INDEX($AP$9:$AP$63,MATCH(BF36,$BE$9:BE$62,0)))</f>
        <v>A11</v>
      </c>
      <c r="BI36" s="294">
        <f t="shared" si="0"/>
        <v>0</v>
      </c>
      <c r="BJ36" s="7">
        <f t="shared" si="1"/>
        <v>0</v>
      </c>
      <c r="BK36" s="7">
        <f t="shared" si="2"/>
        <v>0</v>
      </c>
      <c r="BL36" s="280">
        <f>IF(BF36="","",IF(AND(BI35=BI36,BJ35=BJ36,BK35=BK36),BL35,$BL$9+27))</f>
        <v>25</v>
      </c>
      <c r="BM36" s="29"/>
      <c r="BN36" s="3"/>
    </row>
    <row r="37" spans="1:66" ht="15.7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P37" s="23"/>
      <c r="Q37" s="23"/>
      <c r="R37" s="23"/>
      <c r="S37" s="23"/>
      <c r="T37" s="23"/>
      <c r="U37" s="23"/>
      <c r="V37" s="23"/>
      <c r="W37" s="23"/>
      <c r="X37" s="23"/>
      <c r="Y37" s="447"/>
      <c r="Z37" s="14" t="str">
        <f>+Q16</f>
        <v>C7</v>
      </c>
      <c r="AA37" s="71">
        <f>IF(ISTEXT(Z37),AA35,0)</f>
        <v>0</v>
      </c>
      <c r="AB37" s="67">
        <f>IF(ISTEXT(Z37),AB35,0)</f>
        <v>0</v>
      </c>
      <c r="AC37" s="72">
        <f>IF(ISTEXT(Z37),AC35,0)</f>
        <v>0</v>
      </c>
      <c r="AD37" s="9"/>
      <c r="AE37" s="14" t="str">
        <f>+T16</f>
        <v>C8</v>
      </c>
      <c r="AF37" s="71">
        <f>IF(ISTEXT(AE37),AF35,0)</f>
        <v>0</v>
      </c>
      <c r="AG37" s="64">
        <f>IF(ISTEXT(AE37),AG35,0)</f>
        <v>0</v>
      </c>
      <c r="AH37" s="72">
        <f>IF(ISTEXT(AE37),AH35,0)</f>
        <v>0</v>
      </c>
      <c r="AI37" s="9"/>
      <c r="AJ37" s="14" t="str">
        <f>+W16</f>
        <v>C1</v>
      </c>
      <c r="AK37" s="71">
        <f>IF(ISTEXT(AJ37),AK35,0)</f>
        <v>0</v>
      </c>
      <c r="AL37" s="64">
        <f>IF(ISTEXT(AJ37),AL35,0)</f>
        <v>0</v>
      </c>
      <c r="AM37" s="72">
        <f>IF(ISTEXT(AJ37),AM35,0)</f>
        <v>0</v>
      </c>
      <c r="AN37" s="23"/>
      <c r="AO37" s="54">
        <v>29</v>
      </c>
      <c r="AP37" s="322" t="str">
        <f>+Inscrits!D13</f>
        <v>B11</v>
      </c>
      <c r="AQ37" s="286" t="str">
        <f t="shared" si="3"/>
        <v xml:space="preserve"> </v>
      </c>
      <c r="AR37" s="99" t="str">
        <f t="shared" si="4"/>
        <v xml:space="preserve"> </v>
      </c>
      <c r="AS37" s="219" t="str">
        <f t="shared" si="5"/>
        <v xml:space="preserve"> </v>
      </c>
      <c r="AT37" s="328" t="str">
        <f t="shared" si="6"/>
        <v xml:space="preserve"> </v>
      </c>
      <c r="AU37" s="329" t="str">
        <f t="shared" si="7"/>
        <v xml:space="preserve"> </v>
      </c>
      <c r="AV37" s="330" t="str">
        <f t="shared" si="8"/>
        <v xml:space="preserve"> </v>
      </c>
      <c r="AW37" s="286" t="str">
        <f t="shared" si="9"/>
        <v xml:space="preserve"> </v>
      </c>
      <c r="AX37" s="99" t="str">
        <f t="shared" si="10"/>
        <v xml:space="preserve"> </v>
      </c>
      <c r="AY37" s="291" t="str">
        <f t="shared" si="11"/>
        <v xml:space="preserve"> </v>
      </c>
      <c r="AZ37" s="286">
        <f t="shared" si="17"/>
        <v>0</v>
      </c>
      <c r="BA37" s="99">
        <f t="shared" si="12"/>
        <v>0</v>
      </c>
      <c r="BB37" s="291">
        <f t="shared" si="13"/>
        <v>0</v>
      </c>
      <c r="BC37" s="294">
        <f t="shared" si="14"/>
        <v>0</v>
      </c>
      <c r="BD37" s="7">
        <f t="shared" si="15"/>
        <v>0</v>
      </c>
      <c r="BE37" s="218">
        <f t="shared" si="16"/>
        <v>25.000000369999999</v>
      </c>
      <c r="BF37" s="99">
        <f>IF(AP37="","",SMALL(BE$9:BE$62,ROWS(AZ$9:AZ37)))</f>
        <v>25.000000199999999</v>
      </c>
      <c r="BG37" s="88"/>
      <c r="BH37" s="95" t="str">
        <f>IF(OR(AP37="",AZ37=""),"",INDEX($AP$9:$AP$63,MATCH(BF37,$BE$9:BE$62,0)))</f>
        <v>A12</v>
      </c>
      <c r="BI37" s="294">
        <f t="shared" si="0"/>
        <v>0</v>
      </c>
      <c r="BJ37" s="7">
        <f t="shared" si="1"/>
        <v>0</v>
      </c>
      <c r="BK37" s="7">
        <f t="shared" si="2"/>
        <v>0</v>
      </c>
      <c r="BL37" s="280">
        <f>IF(BF37="","",IF(AND(BI36=BI37,BJ36=BJ37,BK36=BK37),BL36,$BL$9+28))</f>
        <v>25</v>
      </c>
      <c r="BM37" s="29"/>
      <c r="BN37" s="3"/>
    </row>
    <row r="38" spans="1:66" ht="15.7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P38" s="23"/>
      <c r="Q38" s="23"/>
      <c r="R38" s="23"/>
      <c r="S38" s="23"/>
      <c r="T38" s="23"/>
      <c r="U38" s="23"/>
      <c r="V38" s="23"/>
      <c r="W38" s="23"/>
      <c r="X38" s="23"/>
      <c r="Y38" s="447"/>
      <c r="Z38" s="32"/>
      <c r="AA38" s="230" t="s">
        <v>5</v>
      </c>
      <c r="AB38" s="21"/>
      <c r="AC38" s="22"/>
      <c r="AD38" s="25"/>
      <c r="AE38" s="32"/>
      <c r="AF38" s="230" t="s">
        <v>5</v>
      </c>
      <c r="AG38" s="21"/>
      <c r="AH38" s="22"/>
      <c r="AI38" s="25"/>
      <c r="AJ38" s="32"/>
      <c r="AK38" s="230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 t="str">
        <f t="shared" si="3"/>
        <v xml:space="preserve"> </v>
      </c>
      <c r="AR38" s="99" t="str">
        <f t="shared" si="4"/>
        <v xml:space="preserve"> </v>
      </c>
      <c r="AS38" s="219" t="str">
        <f t="shared" si="5"/>
        <v xml:space="preserve"> </v>
      </c>
      <c r="AT38" s="328" t="str">
        <f t="shared" si="6"/>
        <v xml:space="preserve"> </v>
      </c>
      <c r="AU38" s="329" t="str">
        <f t="shared" si="7"/>
        <v xml:space="preserve"> </v>
      </c>
      <c r="AV38" s="330" t="str">
        <f t="shared" si="8"/>
        <v xml:space="preserve"> </v>
      </c>
      <c r="AW38" s="286" t="str">
        <f t="shared" si="9"/>
        <v xml:space="preserve"> </v>
      </c>
      <c r="AX38" s="99" t="str">
        <f t="shared" si="10"/>
        <v xml:space="preserve"> </v>
      </c>
      <c r="AY38" s="291" t="str">
        <f t="shared" si="11"/>
        <v xml:space="preserve"> </v>
      </c>
      <c r="AZ38" s="286">
        <f t="shared" si="17"/>
        <v>0</v>
      </c>
      <c r="BA38" s="99">
        <f t="shared" si="12"/>
        <v>0</v>
      </c>
      <c r="BB38" s="291">
        <f t="shared" si="13"/>
        <v>0</v>
      </c>
      <c r="BC38" s="294">
        <f t="shared" si="14"/>
        <v>0</v>
      </c>
      <c r="BD38" s="7">
        <f t="shared" si="15"/>
        <v>0</v>
      </c>
      <c r="BE38" s="218">
        <f t="shared" si="16"/>
        <v>25.000000379999999</v>
      </c>
      <c r="BF38" s="99">
        <f>IF(AP38="","",SMALL(BE$9:BE$62,ROWS(AZ$9:AZ38)))</f>
        <v>25.00000021</v>
      </c>
      <c r="BG38" s="88"/>
      <c r="BH38" s="95" t="str">
        <f>IF(OR(AP38="",AZ38=""),"",INDEX($AP$9:$AP$63,MATCH(BF38,$BE$9:BE$62,0)))</f>
        <v>A13</v>
      </c>
      <c r="BI38" s="294">
        <f t="shared" si="0"/>
        <v>0</v>
      </c>
      <c r="BJ38" s="7">
        <f t="shared" si="1"/>
        <v>0</v>
      </c>
      <c r="BK38" s="7">
        <f t="shared" si="2"/>
        <v>0</v>
      </c>
      <c r="BL38" s="280">
        <f>IF(BF38="","",IF(AND(BI37=BI38,BJ37=BJ38,BK37=BK38),BL37,$BL$9+29))</f>
        <v>25</v>
      </c>
      <c r="BM38" s="29"/>
      <c r="BN38" s="3"/>
    </row>
    <row r="39" spans="1:66" ht="15.7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P39" s="23"/>
      <c r="Q39" s="23"/>
      <c r="R39" s="23"/>
      <c r="S39" s="23"/>
      <c r="T39" s="23"/>
      <c r="U39" s="23"/>
      <c r="V39" s="23"/>
      <c r="W39" s="23"/>
      <c r="X39" s="23"/>
      <c r="Y39" s="447"/>
      <c r="Z39" s="14" t="str">
        <f>+O17</f>
        <v>A8</v>
      </c>
      <c r="AA39" s="35">
        <v>0</v>
      </c>
      <c r="AB39" s="30">
        <f>IF(AA35+AA39=0,0,IF(AA35=AA39,2,IF(AA35&lt;AA39,3,1)))</f>
        <v>0</v>
      </c>
      <c r="AC39" s="15">
        <f>AA39-AA35</f>
        <v>0</v>
      </c>
      <c r="AD39" s="24"/>
      <c r="AE39" s="14" t="str">
        <f>+R17</f>
        <v>A9</v>
      </c>
      <c r="AF39" s="127">
        <v>0</v>
      </c>
      <c r="AG39" s="30">
        <f>IF(AF35+AF39=0,0,IF(AF35=AF39,2,IF(AF35&lt;AF39,3,1)))</f>
        <v>0</v>
      </c>
      <c r="AH39" s="15">
        <f>AF39-AF35</f>
        <v>0</v>
      </c>
      <c r="AI39" s="24"/>
      <c r="AJ39" s="14" t="str">
        <f>+U17</f>
        <v>A9</v>
      </c>
      <c r="AK39" s="37">
        <v>0</v>
      </c>
      <c r="AL39" s="30">
        <f>IF(AK35+AK39=0,0,IF(AK35=AK39,2,IF(AK35&lt;AK39,3,1)))</f>
        <v>0</v>
      </c>
      <c r="AM39" s="15">
        <f>AK39-AK35</f>
        <v>0</v>
      </c>
      <c r="AN39" s="23"/>
      <c r="AO39" s="54">
        <v>31</v>
      </c>
      <c r="AP39" s="322" t="str">
        <f>+Inscrits!D15</f>
        <v>B13</v>
      </c>
      <c r="AQ39" s="286" t="str">
        <f t="shared" si="3"/>
        <v xml:space="preserve"> </v>
      </c>
      <c r="AR39" s="99" t="str">
        <f t="shared" si="4"/>
        <v xml:space="preserve"> </v>
      </c>
      <c r="AS39" s="219" t="str">
        <f t="shared" si="5"/>
        <v xml:space="preserve"> </v>
      </c>
      <c r="AT39" s="328" t="str">
        <f t="shared" si="6"/>
        <v xml:space="preserve"> </v>
      </c>
      <c r="AU39" s="329" t="str">
        <f t="shared" si="7"/>
        <v xml:space="preserve"> </v>
      </c>
      <c r="AV39" s="330" t="str">
        <f t="shared" si="8"/>
        <v xml:space="preserve"> </v>
      </c>
      <c r="AW39" s="286" t="str">
        <f t="shared" si="9"/>
        <v xml:space="preserve"> </v>
      </c>
      <c r="AX39" s="99" t="str">
        <f t="shared" si="10"/>
        <v xml:space="preserve"> </v>
      </c>
      <c r="AY39" s="291" t="str">
        <f t="shared" si="11"/>
        <v xml:space="preserve"> </v>
      </c>
      <c r="AZ39" s="286">
        <f t="shared" si="17"/>
        <v>0</v>
      </c>
      <c r="BA39" s="99">
        <f t="shared" si="12"/>
        <v>0</v>
      </c>
      <c r="BB39" s="291">
        <f t="shared" si="13"/>
        <v>0</v>
      </c>
      <c r="BC39" s="294">
        <f t="shared" si="14"/>
        <v>0</v>
      </c>
      <c r="BD39" s="7">
        <f t="shared" si="15"/>
        <v>0</v>
      </c>
      <c r="BE39" s="218">
        <f t="shared" si="16"/>
        <v>25.00000039</v>
      </c>
      <c r="BF39" s="99">
        <f>IF(AP39="","",SMALL(BE$9:BE$62,ROWS(AZ$9:AZ39)))</f>
        <v>25.00000022</v>
      </c>
      <c r="BG39" s="88"/>
      <c r="BH39" s="95" t="str">
        <f>IF(OR(AP39="",AZ39=""),"",INDEX($AP$9:$AP$63,MATCH(BF39,$BE$9:BE$62,0)))</f>
        <v>A14</v>
      </c>
      <c r="BI39" s="294">
        <f t="shared" si="0"/>
        <v>0</v>
      </c>
      <c r="BJ39" s="7">
        <f t="shared" si="1"/>
        <v>0</v>
      </c>
      <c r="BK39" s="7">
        <f t="shared" si="2"/>
        <v>0</v>
      </c>
      <c r="BL39" s="280">
        <f>IF(BF39="","",IF(AND(BI38=BI39,BJ38=BJ39,BK38=BK39),BL38,$BL$9+30))</f>
        <v>25</v>
      </c>
      <c r="BM39" s="29"/>
      <c r="BN39" s="3"/>
    </row>
    <row r="40" spans="1:66" ht="16.5" thickBo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P40" s="23"/>
      <c r="Q40" s="23"/>
      <c r="R40" s="23"/>
      <c r="S40" s="23"/>
      <c r="T40" s="23"/>
      <c r="U40" s="23"/>
      <c r="V40" s="23"/>
      <c r="W40" s="23"/>
      <c r="X40" s="23"/>
      <c r="Y40" s="447"/>
      <c r="Z40" s="14" t="str">
        <f>+P17</f>
        <v>B8</v>
      </c>
      <c r="AA40" s="17">
        <f>IF(ISTEXT(Z40),AA39,0)</f>
        <v>0</v>
      </c>
      <c r="AB40" s="18">
        <f>IF(ISTEXT(Z40),AB39,0)</f>
        <v>0</v>
      </c>
      <c r="AC40" s="19">
        <f>IF(ISTEXT(Z40),AC39,0)</f>
        <v>0</v>
      </c>
      <c r="AD40" s="9"/>
      <c r="AE40" s="14" t="str">
        <f>+S17</f>
        <v>B10</v>
      </c>
      <c r="AF40" s="17">
        <f>IF(ISTEXT(AE40),AF39,0)</f>
        <v>0</v>
      </c>
      <c r="AG40" s="18">
        <f>IF(ISTEXT(AE40),AG39,0)</f>
        <v>0</v>
      </c>
      <c r="AH40" s="19">
        <f>IF(ISTEXT(AE40),AH39,0)</f>
        <v>0</v>
      </c>
      <c r="AI40" s="9"/>
      <c r="AJ40" s="14" t="str">
        <f>+V17</f>
        <v>B10</v>
      </c>
      <c r="AK40" s="17">
        <f>IF(ISTEXT(AJ40),AK39,0)</f>
        <v>0</v>
      </c>
      <c r="AL40" s="18">
        <f>IF(ISTEXT(AJ40),AL39,0)</f>
        <v>0</v>
      </c>
      <c r="AM40" s="19">
        <f>IF(ISTEXT(AJ40),AM39,0)</f>
        <v>0</v>
      </c>
      <c r="AN40" s="23"/>
      <c r="AO40" s="54">
        <v>32</v>
      </c>
      <c r="AP40" s="322" t="str">
        <f>+Inscrits!D16</f>
        <v>B14</v>
      </c>
      <c r="AQ40" s="286" t="str">
        <f t="shared" si="3"/>
        <v xml:space="preserve"> </v>
      </c>
      <c r="AR40" s="99" t="str">
        <f t="shared" si="4"/>
        <v xml:space="preserve"> </v>
      </c>
      <c r="AS40" s="219" t="str">
        <f t="shared" si="5"/>
        <v xml:space="preserve"> </v>
      </c>
      <c r="AT40" s="328" t="str">
        <f t="shared" si="6"/>
        <v xml:space="preserve"> </v>
      </c>
      <c r="AU40" s="329" t="str">
        <f t="shared" si="7"/>
        <v xml:space="preserve"> </v>
      </c>
      <c r="AV40" s="330" t="str">
        <f t="shared" si="8"/>
        <v xml:space="preserve"> </v>
      </c>
      <c r="AW40" s="286" t="str">
        <f t="shared" si="9"/>
        <v xml:space="preserve"> </v>
      </c>
      <c r="AX40" s="99" t="str">
        <f t="shared" si="10"/>
        <v xml:space="preserve"> </v>
      </c>
      <c r="AY40" s="291" t="str">
        <f t="shared" si="11"/>
        <v xml:space="preserve"> </v>
      </c>
      <c r="AZ40" s="286">
        <f t="shared" si="17"/>
        <v>0</v>
      </c>
      <c r="BA40" s="99">
        <f t="shared" si="12"/>
        <v>0</v>
      </c>
      <c r="BB40" s="291">
        <f t="shared" si="13"/>
        <v>0</v>
      </c>
      <c r="BC40" s="294">
        <f t="shared" si="14"/>
        <v>0</v>
      </c>
      <c r="BD40" s="7">
        <f t="shared" si="15"/>
        <v>0</v>
      </c>
      <c r="BE40" s="218">
        <f t="shared" si="16"/>
        <v>25.000000400000001</v>
      </c>
      <c r="BF40" s="99">
        <f>IF(AP40="","",SMALL(BE$9:BE$62,ROWS(AZ$9:AZ40)))</f>
        <v>25.000000230000001</v>
      </c>
      <c r="BG40" s="88"/>
      <c r="BH40" s="95" t="str">
        <f>IF(OR(AP40="",AZ40=""),"",INDEX($AP$9:$AP$63,MATCH(BF40,$BE$9:BE$62,0)))</f>
        <v>A15</v>
      </c>
      <c r="BI40" s="294">
        <f t="shared" si="0"/>
        <v>0</v>
      </c>
      <c r="BJ40" s="7">
        <f t="shared" si="1"/>
        <v>0</v>
      </c>
      <c r="BK40" s="7">
        <f t="shared" si="2"/>
        <v>0</v>
      </c>
      <c r="BL40" s="280">
        <f>IF(BF40="","",IF(AND(BI39=BI40,BJ39=BJ40,BK39=BK40),BL39,$BL$9+31))</f>
        <v>25</v>
      </c>
      <c r="BM40" s="29"/>
      <c r="BN40" s="3"/>
    </row>
    <row r="41" spans="1:66" ht="16.5" thickBo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P41" s="23"/>
      <c r="Q41" s="23"/>
      <c r="R41" s="23"/>
      <c r="S41" s="23"/>
      <c r="T41" s="23"/>
      <c r="U41" s="23"/>
      <c r="V41" s="23"/>
      <c r="W41" s="23"/>
      <c r="X41" s="23"/>
      <c r="Y41" s="448"/>
      <c r="Z41" s="16" t="str">
        <f>+Q17</f>
        <v>C8</v>
      </c>
      <c r="AA41" s="17">
        <f>IF(ISTEXT(Z41),AA39,0)</f>
        <v>0</v>
      </c>
      <c r="AB41" s="18">
        <f>IF(ISTEXT(Z41),AB39,0)</f>
        <v>0</v>
      </c>
      <c r="AC41" s="19">
        <f>IF(ISTEXT(Z41),AC39,0)</f>
        <v>0</v>
      </c>
      <c r="AD41" s="9"/>
      <c r="AE41" s="16" t="str">
        <f>+T17</f>
        <v>C9</v>
      </c>
      <c r="AF41" s="17">
        <f>IF(ISTEXT(AE41),AF39,0)</f>
        <v>0</v>
      </c>
      <c r="AG41" s="18">
        <f>IF(ISTEXT(AE41),AG39,0)</f>
        <v>0</v>
      </c>
      <c r="AH41" s="19">
        <f>IF(ISTEXT(AE41),AH39,0)</f>
        <v>0</v>
      </c>
      <c r="AI41" s="9"/>
      <c r="AJ41" s="16" t="str">
        <f>+W17</f>
        <v>C4</v>
      </c>
      <c r="AK41" s="17">
        <f>IF(ISTEXT(AJ41),AK39,0)</f>
        <v>0</v>
      </c>
      <c r="AL41" s="18">
        <f>IF(ISTEXT(AJ41),AL39,0)</f>
        <v>0</v>
      </c>
      <c r="AM41" s="19">
        <f>IF(ISTEXT(AJ41),AM39,0)</f>
        <v>0</v>
      </c>
      <c r="AN41" s="23"/>
      <c r="AO41" s="54">
        <v>33</v>
      </c>
      <c r="AP41" s="322" t="str">
        <f>+Inscrits!D17</f>
        <v>B15</v>
      </c>
      <c r="AQ41" s="286" t="str">
        <f t="shared" si="3"/>
        <v xml:space="preserve"> </v>
      </c>
      <c r="AR41" s="99" t="str">
        <f t="shared" si="4"/>
        <v xml:space="preserve"> </v>
      </c>
      <c r="AS41" s="219" t="str">
        <f t="shared" si="5"/>
        <v xml:space="preserve"> </v>
      </c>
      <c r="AT41" s="328" t="str">
        <f t="shared" si="6"/>
        <v xml:space="preserve"> </v>
      </c>
      <c r="AU41" s="329" t="str">
        <f t="shared" si="7"/>
        <v xml:space="preserve"> </v>
      </c>
      <c r="AV41" s="330" t="str">
        <f t="shared" si="8"/>
        <v xml:space="preserve"> </v>
      </c>
      <c r="AW41" s="286" t="str">
        <f t="shared" si="9"/>
        <v xml:space="preserve"> </v>
      </c>
      <c r="AX41" s="99" t="str">
        <f t="shared" si="10"/>
        <v xml:space="preserve"> </v>
      </c>
      <c r="AY41" s="291" t="str">
        <f t="shared" si="11"/>
        <v xml:space="preserve"> </v>
      </c>
      <c r="AZ41" s="286">
        <f t="shared" si="17"/>
        <v>0</v>
      </c>
      <c r="BA41" s="99">
        <f t="shared" si="12"/>
        <v>0</v>
      </c>
      <c r="BB41" s="291">
        <f t="shared" si="13"/>
        <v>0</v>
      </c>
      <c r="BC41" s="294">
        <f t="shared" si="14"/>
        <v>0</v>
      </c>
      <c r="BD41" s="7">
        <f t="shared" si="15"/>
        <v>0</v>
      </c>
      <c r="BE41" s="218">
        <f t="shared" si="16"/>
        <v>25.000000409999998</v>
      </c>
      <c r="BF41" s="99">
        <f>IF(AP41="","",SMALL(BE$9:BE$62,ROWS(AZ$9:AZ41)))</f>
        <v>25.000000239999999</v>
      </c>
      <c r="BG41" s="88"/>
      <c r="BH41" s="95" t="str">
        <f>IF(OR(AP41="",AZ41=""),"",INDEX($AP$9:$AP$63,MATCH(BF41,$BE$9:BE$62,0)))</f>
        <v>A16</v>
      </c>
      <c r="BI41" s="294">
        <f t="shared" ref="BI41:BI62" si="18">IF(AP41="","",INDEX($AZ$9:$AZ$63,MATCH(BF41,$BE$9:$BE$62,0)))</f>
        <v>0</v>
      </c>
      <c r="BJ41" s="7">
        <f t="shared" ref="BJ41:BJ62" si="19">IF(AP41="","",INDEX($BA$9:$BA$63,MATCH(BF41,$BE$9:$BE$62,0)))</f>
        <v>0</v>
      </c>
      <c r="BK41" s="7">
        <f t="shared" ref="BK41:BK62" si="20">IF(AP41="","",INDEX($BB$9:$BB$63,MATCH(BF41,$BE$9:$BE$62,0)))</f>
        <v>0</v>
      </c>
      <c r="BL41" s="280">
        <f>IF(BF41="","",IF(AND(BI40=BI41,BJ40=BJ41,BK40=BK41),BL40,$BL$9+32))</f>
        <v>25</v>
      </c>
      <c r="BM41" s="29"/>
      <c r="BN41" s="3"/>
    </row>
    <row r="42" spans="1:66" ht="16.5" thickBo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P42" s="23"/>
      <c r="Q42" s="23"/>
      <c r="R42" s="23"/>
      <c r="S42" s="23"/>
      <c r="T42" s="23"/>
      <c r="U42" s="23"/>
      <c r="V42" s="23"/>
      <c r="W42" s="23"/>
      <c r="X42" s="23"/>
      <c r="Y42" s="128"/>
      <c r="Z42" s="73"/>
      <c r="AA42" s="234"/>
      <c r="AB42" s="73"/>
      <c r="AC42" s="73"/>
      <c r="AD42" s="234"/>
      <c r="AE42" s="73"/>
      <c r="AF42" s="234"/>
      <c r="AG42" s="73"/>
      <c r="AH42" s="73"/>
      <c r="AI42" s="234"/>
      <c r="AJ42" s="73"/>
      <c r="AK42" s="234"/>
      <c r="AL42" s="73"/>
      <c r="AM42" s="73"/>
      <c r="AN42" s="23"/>
      <c r="AO42" s="54">
        <v>34</v>
      </c>
      <c r="AP42" s="322" t="str">
        <f>+Inscrits!D18</f>
        <v>B16</v>
      </c>
      <c r="AQ42" s="286" t="str">
        <f t="shared" si="3"/>
        <v xml:space="preserve"> </v>
      </c>
      <c r="AR42" s="99" t="str">
        <f t="shared" si="4"/>
        <v xml:space="preserve"> </v>
      </c>
      <c r="AS42" s="219" t="str">
        <f t="shared" si="5"/>
        <v xml:space="preserve"> </v>
      </c>
      <c r="AT42" s="328" t="str">
        <f t="shared" si="6"/>
        <v xml:space="preserve"> </v>
      </c>
      <c r="AU42" s="329" t="str">
        <f t="shared" si="7"/>
        <v xml:space="preserve"> </v>
      </c>
      <c r="AV42" s="330" t="str">
        <f t="shared" si="8"/>
        <v xml:space="preserve"> </v>
      </c>
      <c r="AW42" s="286" t="str">
        <f t="shared" si="9"/>
        <v xml:space="preserve"> </v>
      </c>
      <c r="AX42" s="99" t="str">
        <f t="shared" si="10"/>
        <v xml:space="preserve"> </v>
      </c>
      <c r="AY42" s="291" t="str">
        <f t="shared" si="11"/>
        <v xml:space="preserve"> </v>
      </c>
      <c r="AZ42" s="286">
        <f t="shared" si="17"/>
        <v>0</v>
      </c>
      <c r="BA42" s="99">
        <f t="shared" si="12"/>
        <v>0</v>
      </c>
      <c r="BB42" s="291">
        <f t="shared" si="13"/>
        <v>0</v>
      </c>
      <c r="BC42" s="294">
        <f t="shared" si="14"/>
        <v>0</v>
      </c>
      <c r="BD42" s="7">
        <f t="shared" si="15"/>
        <v>0</v>
      </c>
      <c r="BE42" s="218">
        <f t="shared" si="16"/>
        <v>25.000000419999999</v>
      </c>
      <c r="BF42" s="99">
        <f>IF(AP42="","",SMALL(BE$9:BE$62,ROWS(AZ$9:AZ42)))</f>
        <v>25.000000249999999</v>
      </c>
      <c r="BG42" s="88"/>
      <c r="BH42" s="95" t="str">
        <f>IF(OR(AP42="",AZ42=""),"",INDEX($AP$9:$AP$63,MATCH(BF42,$BE$9:BE$62,0)))</f>
        <v>A17</v>
      </c>
      <c r="BI42" s="294">
        <f t="shared" si="18"/>
        <v>0</v>
      </c>
      <c r="BJ42" s="7">
        <f t="shared" si="19"/>
        <v>0</v>
      </c>
      <c r="BK42" s="7">
        <f t="shared" si="20"/>
        <v>0</v>
      </c>
      <c r="BL42" s="280">
        <f>IF(BF42="","",IF(AND(BI41=BI42,BJ41=BJ42,BK41=BK42),BL41,$BL$9+33))</f>
        <v>25</v>
      </c>
      <c r="BM42" s="29"/>
      <c r="BN42" s="3"/>
    </row>
    <row r="43" spans="1:66" ht="15.7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P43" s="23"/>
      <c r="Q43" s="23"/>
      <c r="R43" s="23"/>
      <c r="S43" s="23"/>
      <c r="T43" s="23"/>
      <c r="U43" s="23"/>
      <c r="V43" s="23"/>
      <c r="W43" s="23"/>
      <c r="X43" s="23"/>
      <c r="Y43" s="446">
        <v>5</v>
      </c>
      <c r="Z43" s="12" t="str">
        <f>+O18</f>
        <v>A9</v>
      </c>
      <c r="AA43" s="33">
        <v>0</v>
      </c>
      <c r="AB43" s="48">
        <f>IF(AA43+AA47=0,0,IF(AA43=AA47,2,IF(AA43&gt;AA47,3,1)))</f>
        <v>0</v>
      </c>
      <c r="AC43" s="13">
        <f>AA43-AA47</f>
        <v>0</v>
      </c>
      <c r="AD43" s="24"/>
      <c r="AE43" s="12" t="str">
        <f>+R18</f>
        <v>A10</v>
      </c>
      <c r="AF43" s="126">
        <v>0</v>
      </c>
      <c r="AG43" s="48">
        <f>IF(AF43+AF47=0,0,IF(AF43=AF47,2,IF(AF43&gt;AF47,3,1)))</f>
        <v>0</v>
      </c>
      <c r="AH43" s="13">
        <f>AF43-AF47</f>
        <v>0</v>
      </c>
      <c r="AI43" s="24"/>
      <c r="AJ43" s="12" t="str">
        <f>+U18</f>
        <v>A8</v>
      </c>
      <c r="AK43" s="36">
        <v>0</v>
      </c>
      <c r="AL43" s="48">
        <f>IF(AK43+AK47=0,0,IF(AK43=AK47,2,IF(AK43&gt;AK47,3,1)))</f>
        <v>0</v>
      </c>
      <c r="AM43" s="13">
        <f>AK43-AK47</f>
        <v>0</v>
      </c>
      <c r="AN43" s="23"/>
      <c r="AO43" s="54">
        <v>35</v>
      </c>
      <c r="AP43" s="322" t="str">
        <f>+Inscrits!D19</f>
        <v>B17</v>
      </c>
      <c r="AQ43" s="286" t="str">
        <f t="shared" si="3"/>
        <v xml:space="preserve"> </v>
      </c>
      <c r="AR43" s="99" t="str">
        <f t="shared" si="4"/>
        <v xml:space="preserve"> </v>
      </c>
      <c r="AS43" s="219" t="str">
        <f t="shared" si="5"/>
        <v xml:space="preserve"> </v>
      </c>
      <c r="AT43" s="328" t="str">
        <f t="shared" si="6"/>
        <v xml:space="preserve"> </v>
      </c>
      <c r="AU43" s="329" t="str">
        <f t="shared" si="7"/>
        <v xml:space="preserve"> </v>
      </c>
      <c r="AV43" s="330" t="str">
        <f t="shared" si="8"/>
        <v xml:space="preserve"> </v>
      </c>
      <c r="AW43" s="286" t="str">
        <f t="shared" si="9"/>
        <v xml:space="preserve"> </v>
      </c>
      <c r="AX43" s="99" t="str">
        <f t="shared" si="10"/>
        <v xml:space="preserve"> </v>
      </c>
      <c r="AY43" s="291" t="str">
        <f t="shared" si="11"/>
        <v xml:space="preserve"> </v>
      </c>
      <c r="AZ43" s="286">
        <f t="shared" si="17"/>
        <v>0</v>
      </c>
      <c r="BA43" s="99">
        <f t="shared" si="12"/>
        <v>0</v>
      </c>
      <c r="BB43" s="291">
        <f t="shared" si="13"/>
        <v>0</v>
      </c>
      <c r="BC43" s="294">
        <f t="shared" si="14"/>
        <v>0</v>
      </c>
      <c r="BD43" s="7">
        <f t="shared" si="15"/>
        <v>0</v>
      </c>
      <c r="BE43" s="218">
        <f t="shared" si="16"/>
        <v>25.00000043</v>
      </c>
      <c r="BF43" s="99">
        <f>IF(AP43="","",SMALL(BE$9:BE$62,ROWS(AZ$9:AZ43)))</f>
        <v>25.00000026</v>
      </c>
      <c r="BG43" s="88"/>
      <c r="BH43" s="95" t="str">
        <f>IF(OR(AP43="",AZ43=""),"",INDEX($AP$9:$AP$63,MATCH(BF43,$BE$9:BE$62,0)))</f>
        <v>A18</v>
      </c>
      <c r="BI43" s="294">
        <f t="shared" si="18"/>
        <v>0</v>
      </c>
      <c r="BJ43" s="7">
        <f t="shared" si="19"/>
        <v>0</v>
      </c>
      <c r="BK43" s="7">
        <f t="shared" si="20"/>
        <v>0</v>
      </c>
      <c r="BL43" s="280">
        <f>IF(BF43="","",IF(AND(BI42=BI43,BJ42=BJ43,BK42=BK43),BL42,$BL$9+34))</f>
        <v>25</v>
      </c>
      <c r="BM43" s="29"/>
      <c r="BN43" s="3"/>
    </row>
    <row r="44" spans="1:66" ht="16.5" thickBo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P44" s="23"/>
      <c r="Q44" s="23"/>
      <c r="R44" s="23"/>
      <c r="S44" s="23"/>
      <c r="T44" s="23"/>
      <c r="U44" s="23"/>
      <c r="V44" s="23"/>
      <c r="W44" s="23"/>
      <c r="X44" s="23"/>
      <c r="Y44" s="447"/>
      <c r="Z44" s="14" t="str">
        <f>+P18</f>
        <v>B9</v>
      </c>
      <c r="AA44" s="17">
        <f>IF(ISTEXT(Z44),AA43,0)</f>
        <v>0</v>
      </c>
      <c r="AB44" s="18">
        <f>IF(ISTEXT(Z44),AB43,0)</f>
        <v>0</v>
      </c>
      <c r="AC44" s="19">
        <f>IF(ISTEXT(Z44),AC43,0)</f>
        <v>0</v>
      </c>
      <c r="AD44" s="9"/>
      <c r="AE44" s="14" t="str">
        <f>+S18</f>
        <v>B1</v>
      </c>
      <c r="AF44" s="17">
        <f>IF(ISTEXT(AE44),AF43,0)</f>
        <v>0</v>
      </c>
      <c r="AG44" s="59">
        <f>IF(ISTEXT(AE44),AG43,0)</f>
        <v>0</v>
      </c>
      <c r="AH44" s="19">
        <f>IF(ISTEXT(AE44),AH43,0)</f>
        <v>0</v>
      </c>
      <c r="AI44" s="9"/>
      <c r="AJ44" s="14" t="str">
        <f>+V18</f>
        <v>B1</v>
      </c>
      <c r="AK44" s="17">
        <f>IF(ISTEXT(AJ44),AK43,0)</f>
        <v>0</v>
      </c>
      <c r="AL44" s="59">
        <f>IF(ISTEXT(AJ44),AL43,0)</f>
        <v>0</v>
      </c>
      <c r="AM44" s="19">
        <f>IF(ISTEXT(AJ44),AM43,0)</f>
        <v>0</v>
      </c>
      <c r="AN44" s="23"/>
      <c r="AO44" s="54">
        <v>36</v>
      </c>
      <c r="AP44" s="322" t="str">
        <f>+Inscrits!D20</f>
        <v>B18</v>
      </c>
      <c r="AQ44" s="286" t="str">
        <f t="shared" si="3"/>
        <v xml:space="preserve"> </v>
      </c>
      <c r="AR44" s="99" t="str">
        <f t="shared" si="4"/>
        <v xml:space="preserve"> </v>
      </c>
      <c r="AS44" s="219" t="str">
        <f t="shared" si="5"/>
        <v xml:space="preserve"> </v>
      </c>
      <c r="AT44" s="328" t="str">
        <f t="shared" si="6"/>
        <v xml:space="preserve"> </v>
      </c>
      <c r="AU44" s="329" t="str">
        <f t="shared" si="7"/>
        <v xml:space="preserve"> </v>
      </c>
      <c r="AV44" s="330" t="str">
        <f t="shared" si="8"/>
        <v xml:space="preserve"> </v>
      </c>
      <c r="AW44" s="286" t="str">
        <f t="shared" si="9"/>
        <v xml:space="preserve"> </v>
      </c>
      <c r="AX44" s="99" t="str">
        <f t="shared" si="10"/>
        <v xml:space="preserve"> </v>
      </c>
      <c r="AY44" s="291" t="str">
        <f t="shared" si="11"/>
        <v xml:space="preserve"> </v>
      </c>
      <c r="AZ44" s="286">
        <f t="shared" si="17"/>
        <v>0</v>
      </c>
      <c r="BA44" s="99">
        <f t="shared" si="12"/>
        <v>0</v>
      </c>
      <c r="BB44" s="291">
        <f t="shared" si="13"/>
        <v>0</v>
      </c>
      <c r="BC44" s="294">
        <f t="shared" si="14"/>
        <v>0</v>
      </c>
      <c r="BD44" s="7">
        <f t="shared" si="15"/>
        <v>0</v>
      </c>
      <c r="BE44" s="218">
        <f t="shared" si="16"/>
        <v>25.000000440000001</v>
      </c>
      <c r="BF44" s="99">
        <f>IF(AP44="","",SMALL(BE$9:BE$62,ROWS(AZ$9:AZ44)))</f>
        <v>25.000000350000001</v>
      </c>
      <c r="BG44" s="88"/>
      <c r="BH44" s="95" t="str">
        <f>IF(OR(AP44="",AZ44=""),"",INDEX($AP$9:$AP$63,MATCH(BF44,$BE$9:BE$62,0)))</f>
        <v>B9</v>
      </c>
      <c r="BI44" s="294">
        <f t="shared" si="18"/>
        <v>0</v>
      </c>
      <c r="BJ44" s="7">
        <f t="shared" si="19"/>
        <v>0</v>
      </c>
      <c r="BK44" s="7">
        <f t="shared" si="20"/>
        <v>0</v>
      </c>
      <c r="BL44" s="280">
        <f>IF(BF44="","",IF(AND(BI43=BI44,BJ43=BJ44,BK43=BK44),BL43,$BL$9+35))</f>
        <v>25</v>
      </c>
      <c r="BM44" s="29"/>
      <c r="BN44" s="3"/>
    </row>
    <row r="45" spans="1:66" ht="15.7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P45" s="23"/>
      <c r="Q45" s="23"/>
      <c r="R45" s="23"/>
      <c r="S45" s="23"/>
      <c r="T45" s="23"/>
      <c r="U45" s="23"/>
      <c r="V45" s="23"/>
      <c r="W45" s="23"/>
      <c r="X45" s="23"/>
      <c r="Y45" s="447"/>
      <c r="Z45" s="14" t="str">
        <f>+Q18</f>
        <v>C9</v>
      </c>
      <c r="AA45" s="71">
        <f>IF(ISTEXT(Z45),AA43,0)</f>
        <v>0</v>
      </c>
      <c r="AB45" s="67">
        <f>IF(ISTEXT(Z45),AB43,0)</f>
        <v>0</v>
      </c>
      <c r="AC45" s="72">
        <f>IF(ISTEXT(Z45),AC43,0)</f>
        <v>0</v>
      </c>
      <c r="AD45" s="9"/>
      <c r="AE45" s="14" t="str">
        <f>+T18</f>
        <v>C4</v>
      </c>
      <c r="AF45" s="71">
        <f>IF(ISTEXT(AE45),AF43,0)</f>
        <v>0</v>
      </c>
      <c r="AG45" s="64">
        <f>IF(ISTEXT(AE45),AG43,0)</f>
        <v>0</v>
      </c>
      <c r="AH45" s="72">
        <f>IF(ISTEXT(AE45),AH43,0)</f>
        <v>0</v>
      </c>
      <c r="AI45" s="9"/>
      <c r="AJ45" s="14" t="str">
        <f>+W18</f>
        <v>C10</v>
      </c>
      <c r="AK45" s="71">
        <f>IF(ISTEXT(AJ45),AK43,0)</f>
        <v>0</v>
      </c>
      <c r="AL45" s="64">
        <f>IF(ISTEXT(AJ45),AL43,0)</f>
        <v>0</v>
      </c>
      <c r="AM45" s="72">
        <f>IF(ISTEXT(AJ45),AM43,0)</f>
        <v>0</v>
      </c>
      <c r="AN45" s="23"/>
      <c r="AO45" s="54">
        <v>37</v>
      </c>
      <c r="AP45" s="323" t="str">
        <f>+Inscrits!F3</f>
        <v>C1</v>
      </c>
      <c r="AQ45" s="286">
        <f t="shared" si="3"/>
        <v>1</v>
      </c>
      <c r="AR45" s="99">
        <f t="shared" si="4"/>
        <v>-2</v>
      </c>
      <c r="AS45" s="219">
        <f t="shared" si="5"/>
        <v>8</v>
      </c>
      <c r="AT45" s="328">
        <f t="shared" si="6"/>
        <v>3</v>
      </c>
      <c r="AU45" s="329">
        <f t="shared" si="7"/>
        <v>4</v>
      </c>
      <c r="AV45" s="330">
        <f t="shared" si="8"/>
        <v>9</v>
      </c>
      <c r="AW45" s="286" t="str">
        <f t="shared" si="9"/>
        <v>0</v>
      </c>
      <c r="AX45" s="99" t="str">
        <f t="shared" si="10"/>
        <v>0</v>
      </c>
      <c r="AY45" s="291" t="str">
        <f t="shared" si="11"/>
        <v>0</v>
      </c>
      <c r="AZ45" s="286">
        <f t="shared" si="17"/>
        <v>4</v>
      </c>
      <c r="BA45" s="99">
        <f t="shared" si="12"/>
        <v>2</v>
      </c>
      <c r="BB45" s="291">
        <f t="shared" si="13"/>
        <v>17</v>
      </c>
      <c r="BC45" s="294">
        <f t="shared" si="14"/>
        <v>0</v>
      </c>
      <c r="BD45" s="7">
        <f t="shared" si="15"/>
        <v>2</v>
      </c>
      <c r="BE45" s="218">
        <f t="shared" si="16"/>
        <v>11.978300450000001</v>
      </c>
      <c r="BF45" s="99">
        <f>IF(AP45="","",SMALL(BE$9:BE$62,ROWS(AZ$9:AZ45)))</f>
        <v>25.000000360000001</v>
      </c>
      <c r="BG45" s="88"/>
      <c r="BH45" s="95" t="str">
        <f>IF(OR(AP45="",AZ45=""),"",INDEX($AP$9:$AP$63,MATCH(BF45,$BE$9:BE$62,0)))</f>
        <v>B10</v>
      </c>
      <c r="BI45" s="294">
        <f t="shared" si="18"/>
        <v>0</v>
      </c>
      <c r="BJ45" s="7">
        <f t="shared" si="19"/>
        <v>0</v>
      </c>
      <c r="BK45" s="7">
        <f t="shared" si="20"/>
        <v>0</v>
      </c>
      <c r="BL45" s="280">
        <f>IF(BF45="","",IF(AND(BI44=BI45,BJ44=BJ45,BK44=BK45),BL44,$BL$9+36))</f>
        <v>25</v>
      </c>
      <c r="BM45" s="29"/>
      <c r="BN45" s="3"/>
    </row>
    <row r="46" spans="1:66" ht="15.7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P46" s="23"/>
      <c r="Q46" s="23"/>
      <c r="R46" s="23"/>
      <c r="S46" s="23"/>
      <c r="T46" s="23"/>
      <c r="U46" s="23"/>
      <c r="V46" s="23"/>
      <c r="W46" s="23"/>
      <c r="X46" s="23"/>
      <c r="Y46" s="447"/>
      <c r="Z46" s="32"/>
      <c r="AA46" s="230" t="s">
        <v>5</v>
      </c>
      <c r="AB46" s="21"/>
      <c r="AC46" s="22"/>
      <c r="AD46" s="25"/>
      <c r="AE46" s="32"/>
      <c r="AF46" s="230" t="s">
        <v>5</v>
      </c>
      <c r="AG46" s="21"/>
      <c r="AH46" s="22"/>
      <c r="AI46" s="25"/>
      <c r="AJ46" s="32"/>
      <c r="AK46" s="230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3</v>
      </c>
      <c r="AR46" s="99">
        <f t="shared" si="4"/>
        <v>2</v>
      </c>
      <c r="AS46" s="219">
        <f t="shared" si="5"/>
        <v>10</v>
      </c>
      <c r="AT46" s="328">
        <f t="shared" si="6"/>
        <v>1</v>
      </c>
      <c r="AU46" s="329">
        <f t="shared" si="7"/>
        <v>-1</v>
      </c>
      <c r="AV46" s="330">
        <f t="shared" si="8"/>
        <v>7</v>
      </c>
      <c r="AW46" s="286">
        <f t="shared" si="9"/>
        <v>3</v>
      </c>
      <c r="AX46" s="99">
        <f t="shared" si="10"/>
        <v>5</v>
      </c>
      <c r="AY46" s="291">
        <f t="shared" si="11"/>
        <v>10</v>
      </c>
      <c r="AZ46" s="286">
        <f t="shared" si="17"/>
        <v>7</v>
      </c>
      <c r="BA46" s="99">
        <f t="shared" si="12"/>
        <v>6</v>
      </c>
      <c r="BB46" s="291">
        <f t="shared" si="13"/>
        <v>27</v>
      </c>
      <c r="BC46" s="294">
        <f t="shared" si="14"/>
        <v>0</v>
      </c>
      <c r="BD46" s="7">
        <f t="shared" si="15"/>
        <v>6</v>
      </c>
      <c r="BE46" s="218">
        <f t="shared" si="16"/>
        <v>1.9373004600000001</v>
      </c>
      <c r="BF46" s="99">
        <f>IF(AP46="","",SMALL(BE$9:BE$62,ROWS(AZ$9:AZ46)))</f>
        <v>25.000000369999999</v>
      </c>
      <c r="BG46" s="88"/>
      <c r="BH46" s="95" t="str">
        <f>IF(OR(AP46="",AZ46=""),"",INDEX($AP$9:$AP$63,MATCH(BF46,$BE$9:BE$62,0)))</f>
        <v>B11</v>
      </c>
      <c r="BI46" s="294">
        <f t="shared" si="18"/>
        <v>0</v>
      </c>
      <c r="BJ46" s="7">
        <f t="shared" si="19"/>
        <v>0</v>
      </c>
      <c r="BK46" s="7">
        <f t="shared" si="20"/>
        <v>0</v>
      </c>
      <c r="BL46" s="280">
        <f>IF(BF46="","",IF(AND(BI45=BI46,BJ45=BJ46,BK45=BK46),BL45,$BL$9+37))</f>
        <v>25</v>
      </c>
      <c r="BM46" s="29"/>
      <c r="BN46" s="3"/>
    </row>
    <row r="47" spans="1:66" ht="15.7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P47" s="23"/>
      <c r="Q47" s="23"/>
      <c r="R47" s="23"/>
      <c r="S47" s="23"/>
      <c r="T47" s="23"/>
      <c r="U47" s="23"/>
      <c r="V47" s="23"/>
      <c r="W47" s="23"/>
      <c r="X47" s="23"/>
      <c r="Y47" s="447"/>
      <c r="Z47" s="14" t="str">
        <f>+O19</f>
        <v>A10</v>
      </c>
      <c r="AA47" s="35">
        <v>0</v>
      </c>
      <c r="AB47" s="30">
        <f>IF(AA43+AA47=0,0,IF(AA43=AA47,2,IF(AA43&lt;AA47,3,1)))</f>
        <v>0</v>
      </c>
      <c r="AC47" s="15">
        <f>AA47-AA43</f>
        <v>0</v>
      </c>
      <c r="AD47" s="24"/>
      <c r="AE47" s="14" t="str">
        <f>+R19</f>
        <v>A1</v>
      </c>
      <c r="AF47" s="127">
        <v>0</v>
      </c>
      <c r="AG47" s="30">
        <f>IF(AF43+AF47=0,0,IF(AF43=AF47,2,IF(AF43&lt;AF47,3,1)))</f>
        <v>0</v>
      </c>
      <c r="AH47" s="15">
        <f>AF47-AF43</f>
        <v>0</v>
      </c>
      <c r="AI47" s="24"/>
      <c r="AJ47" s="14" t="str">
        <f>+U19</f>
        <v>A10</v>
      </c>
      <c r="AK47" s="37">
        <v>0</v>
      </c>
      <c r="AL47" s="30">
        <f>IF(AK43+AK47=0,0,IF(AK43=AK47,2,IF(AK43&lt;AK47,3,1)))</f>
        <v>0</v>
      </c>
      <c r="AM47" s="15">
        <f>AK47-AK43</f>
        <v>0</v>
      </c>
      <c r="AN47" s="23"/>
      <c r="AO47" s="54">
        <v>39</v>
      </c>
      <c r="AP47" s="323" t="str">
        <f>+Inscrits!F5</f>
        <v>C3</v>
      </c>
      <c r="AQ47" s="286">
        <f t="shared" si="3"/>
        <v>1</v>
      </c>
      <c r="AR47" s="99">
        <f t="shared" si="4"/>
        <v>-3</v>
      </c>
      <c r="AS47" s="219">
        <f t="shared" si="5"/>
        <v>8</v>
      </c>
      <c r="AT47" s="328">
        <f t="shared" si="6"/>
        <v>1</v>
      </c>
      <c r="AU47" s="329">
        <f t="shared" si="7"/>
        <v>-4</v>
      </c>
      <c r="AV47" s="330">
        <f t="shared" si="8"/>
        <v>5</v>
      </c>
      <c r="AW47" s="286" t="str">
        <f t="shared" si="9"/>
        <v>0</v>
      </c>
      <c r="AX47" s="99" t="str">
        <f t="shared" si="10"/>
        <v>0</v>
      </c>
      <c r="AY47" s="291" t="str">
        <f t="shared" si="11"/>
        <v>0</v>
      </c>
      <c r="AZ47" s="286">
        <f t="shared" si="17"/>
        <v>2</v>
      </c>
      <c r="BA47" s="99">
        <f t="shared" si="12"/>
        <v>-7</v>
      </c>
      <c r="BB47" s="291">
        <f t="shared" si="13"/>
        <v>13</v>
      </c>
      <c r="BC47" s="294">
        <f t="shared" si="14"/>
        <v>-7</v>
      </c>
      <c r="BD47" s="7">
        <f t="shared" si="15"/>
        <v>0</v>
      </c>
      <c r="BE47" s="218">
        <f t="shared" si="16"/>
        <v>21.06870047</v>
      </c>
      <c r="BF47" s="99">
        <f>IF(AP47="","",SMALL(BE$9:BE$62,ROWS(AZ$9:AZ47)))</f>
        <v>25.000000379999999</v>
      </c>
      <c r="BG47" s="88"/>
      <c r="BH47" s="95" t="str">
        <f>IF(OR(AP47="",AZ47=""),"",INDEX($AP$9:$AP$63,MATCH(BF47,$BE$9:BE$62,0)))</f>
        <v>B12</v>
      </c>
      <c r="BI47" s="294">
        <f t="shared" si="18"/>
        <v>0</v>
      </c>
      <c r="BJ47" s="7">
        <f t="shared" si="19"/>
        <v>0</v>
      </c>
      <c r="BK47" s="7">
        <f t="shared" si="20"/>
        <v>0</v>
      </c>
      <c r="BL47" s="280">
        <f>IF(BF47="","",IF(AND(BI46=BI47,BJ46=BJ47,BK46=BK47),BL46,$BL$9+38))</f>
        <v>25</v>
      </c>
      <c r="BM47" s="29"/>
      <c r="BN47" s="3"/>
    </row>
    <row r="48" spans="1:66" ht="16.5" thickBo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P48" s="23"/>
      <c r="Q48" s="23"/>
      <c r="R48" s="23"/>
      <c r="S48" s="23"/>
      <c r="T48" s="23"/>
      <c r="U48" s="23"/>
      <c r="V48" s="23"/>
      <c r="W48" s="23"/>
      <c r="X48" s="23"/>
      <c r="Y48" s="447"/>
      <c r="Z48" s="14" t="str">
        <f>+P19</f>
        <v>B10</v>
      </c>
      <c r="AA48" s="17">
        <f>IF(ISTEXT(Z48),AA47,0)</f>
        <v>0</v>
      </c>
      <c r="AB48" s="18">
        <f>IF(ISTEXT(Z48),AB47,0)</f>
        <v>0</v>
      </c>
      <c r="AC48" s="19">
        <f>IF(ISTEXT(Z48),AC47,0)</f>
        <v>0</v>
      </c>
      <c r="AD48" s="9"/>
      <c r="AE48" s="14" t="str">
        <f>+S19</f>
        <v>B9</v>
      </c>
      <c r="AF48" s="17">
        <f>IF(ISTEXT(AE48),AF47,0)</f>
        <v>0</v>
      </c>
      <c r="AG48" s="18">
        <f>IF(ISTEXT(AE48),AG47,0)</f>
        <v>0</v>
      </c>
      <c r="AH48" s="19">
        <f>IF(ISTEXT(AE48),AH47,0)</f>
        <v>0</v>
      </c>
      <c r="AI48" s="9"/>
      <c r="AJ48" s="14" t="str">
        <f>+V19</f>
        <v>B2</v>
      </c>
      <c r="AK48" s="17">
        <f>IF(ISTEXT(AJ48),AK47,0)</f>
        <v>0</v>
      </c>
      <c r="AL48" s="18">
        <f>IF(ISTEXT(AJ48),AL47,0)</f>
        <v>0</v>
      </c>
      <c r="AM48" s="19">
        <f>IF(ISTEXT(AJ48),AM47,0)</f>
        <v>0</v>
      </c>
      <c r="AN48" s="23"/>
      <c r="AO48" s="54">
        <v>40</v>
      </c>
      <c r="AP48" s="323" t="str">
        <f>+Inscrits!F6</f>
        <v>C4</v>
      </c>
      <c r="AQ48" s="286">
        <f t="shared" si="3"/>
        <v>3</v>
      </c>
      <c r="AR48" s="99">
        <f t="shared" si="4"/>
        <v>3</v>
      </c>
      <c r="AS48" s="219">
        <f t="shared" si="5"/>
        <v>11</v>
      </c>
      <c r="AT48" s="328" t="str">
        <f t="shared" si="6"/>
        <v>0</v>
      </c>
      <c r="AU48" s="329" t="str">
        <f t="shared" si="7"/>
        <v>0</v>
      </c>
      <c r="AV48" s="330" t="str">
        <f t="shared" si="8"/>
        <v>0</v>
      </c>
      <c r="AW48" s="286" t="str">
        <f t="shared" si="9"/>
        <v>0</v>
      </c>
      <c r="AX48" s="99" t="str">
        <f t="shared" si="10"/>
        <v>0</v>
      </c>
      <c r="AY48" s="291" t="str">
        <f t="shared" si="11"/>
        <v>0</v>
      </c>
      <c r="AZ48" s="286">
        <f t="shared" si="17"/>
        <v>3</v>
      </c>
      <c r="BA48" s="99">
        <f t="shared" si="12"/>
        <v>3</v>
      </c>
      <c r="BB48" s="291">
        <f t="shared" si="13"/>
        <v>11</v>
      </c>
      <c r="BC48" s="294">
        <f t="shared" si="14"/>
        <v>0</v>
      </c>
      <c r="BD48" s="7">
        <f t="shared" si="15"/>
        <v>3</v>
      </c>
      <c r="BE48" s="218">
        <f t="shared" si="16"/>
        <v>15.968900480000002</v>
      </c>
      <c r="BF48" s="99">
        <f>IF(AP48="","",SMALL(BE$9:BE$62,ROWS(AZ$9:AZ48)))</f>
        <v>25.00000039</v>
      </c>
      <c r="BG48" s="88"/>
      <c r="BH48" s="95" t="str">
        <f>IF(OR(AP48="",AZ48=""),"",INDEX($AP$9:$AP$63,MATCH(BF48,$BE$9:BE$62,0)))</f>
        <v>B13</v>
      </c>
      <c r="BI48" s="294">
        <f t="shared" si="18"/>
        <v>0</v>
      </c>
      <c r="BJ48" s="7">
        <f t="shared" si="19"/>
        <v>0</v>
      </c>
      <c r="BK48" s="7">
        <f t="shared" si="20"/>
        <v>0</v>
      </c>
      <c r="BL48" s="280">
        <f>IF(BF48="","",IF(AND(BI47=BI48,BJ47=BJ48,BK47=BK48),BL47,$BL$9+39))</f>
        <v>25</v>
      </c>
      <c r="BM48" s="29"/>
      <c r="BN48" s="3"/>
    </row>
    <row r="49" spans="1:66" ht="16.5" thickBo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P49" s="23"/>
      <c r="Q49" s="23"/>
      <c r="R49" s="23"/>
      <c r="S49" s="23"/>
      <c r="T49" s="23"/>
      <c r="U49" s="23"/>
      <c r="V49" s="23"/>
      <c r="W49" s="23"/>
      <c r="X49" s="23"/>
      <c r="Y49" s="448"/>
      <c r="Z49" s="16" t="str">
        <f>+Q19</f>
        <v>C10</v>
      </c>
      <c r="AA49" s="17">
        <f>IF(ISTEXT(Z49),AA47,0)</f>
        <v>0</v>
      </c>
      <c r="AB49" s="18">
        <f>IF(ISTEXT(Z49),AB47,0)</f>
        <v>0</v>
      </c>
      <c r="AC49" s="19">
        <f>IF(ISTEXT(Z49),AC47,0)</f>
        <v>0</v>
      </c>
      <c r="AD49" s="9"/>
      <c r="AE49" s="16" t="str">
        <f>+T19</f>
        <v>C10</v>
      </c>
      <c r="AF49" s="17">
        <f>IF(ISTEXT(AE49),AF47,0)</f>
        <v>0</v>
      </c>
      <c r="AG49" s="18">
        <f>IF(ISTEXT(AE49),AG47,0)</f>
        <v>0</v>
      </c>
      <c r="AH49" s="19">
        <f>IF(ISTEXT(AE49),AH47,0)</f>
        <v>0</v>
      </c>
      <c r="AI49" s="9"/>
      <c r="AJ49" s="16" t="str">
        <f>+W19</f>
        <v>C3</v>
      </c>
      <c r="AK49" s="17">
        <f>IF(ISTEXT(AJ49),AK47,0)</f>
        <v>0</v>
      </c>
      <c r="AL49" s="18">
        <f>IF(ISTEXT(AJ49),AL47,0)</f>
        <v>0</v>
      </c>
      <c r="AM49" s="19">
        <f>IF(ISTEXT(AJ49),AM47,0)</f>
        <v>0</v>
      </c>
      <c r="AN49" s="23"/>
      <c r="AO49" s="54">
        <v>41</v>
      </c>
      <c r="AP49" s="323" t="str">
        <f>+Inscrits!F7</f>
        <v>C5</v>
      </c>
      <c r="AQ49" s="286">
        <f t="shared" si="3"/>
        <v>3</v>
      </c>
      <c r="AR49" s="99">
        <f t="shared" si="4"/>
        <v>12</v>
      </c>
      <c r="AS49" s="219">
        <f t="shared" si="5"/>
        <v>13</v>
      </c>
      <c r="AT49" s="328">
        <f t="shared" si="6"/>
        <v>3</v>
      </c>
      <c r="AU49" s="329">
        <f t="shared" si="7"/>
        <v>2</v>
      </c>
      <c r="AV49" s="330">
        <f t="shared" si="8"/>
        <v>6</v>
      </c>
      <c r="AW49" s="286">
        <f t="shared" si="9"/>
        <v>3</v>
      </c>
      <c r="AX49" s="99">
        <f t="shared" si="10"/>
        <v>11</v>
      </c>
      <c r="AY49" s="291">
        <f t="shared" si="11"/>
        <v>13</v>
      </c>
      <c r="AZ49" s="286">
        <f t="shared" si="17"/>
        <v>9</v>
      </c>
      <c r="BA49" s="99">
        <f t="shared" si="12"/>
        <v>25</v>
      </c>
      <c r="BB49" s="291">
        <f t="shared" si="13"/>
        <v>32</v>
      </c>
      <c r="BC49" s="294">
        <f t="shared" si="14"/>
        <v>0</v>
      </c>
      <c r="BD49" s="7">
        <f t="shared" si="15"/>
        <v>25</v>
      </c>
      <c r="BE49" s="218">
        <f t="shared" si="16"/>
        <v>0.74680049000000004</v>
      </c>
      <c r="BF49" s="99">
        <f>IF(AP49="","",SMALL(BE$9:BE$62,ROWS(AZ$9:AZ49)))</f>
        <v>25.000000400000001</v>
      </c>
      <c r="BG49" s="88"/>
      <c r="BH49" s="95" t="str">
        <f>IF(OR(AP49="",AZ49=""),"",INDEX($AP$9:$AP$63,MATCH(BF49,$BE$9:BE$62,0)))</f>
        <v>B14</v>
      </c>
      <c r="BI49" s="294">
        <f t="shared" si="18"/>
        <v>0</v>
      </c>
      <c r="BJ49" s="7">
        <f t="shared" si="19"/>
        <v>0</v>
      </c>
      <c r="BK49" s="7">
        <f t="shared" si="20"/>
        <v>0</v>
      </c>
      <c r="BL49" s="280">
        <f>IF(BF49="","",IF(AND(BI48=BI49,BJ48=BJ49,BK48=BK49),BL48,$BL$9+40))</f>
        <v>25</v>
      </c>
      <c r="BM49" s="29"/>
      <c r="BN49" s="3"/>
    </row>
    <row r="50" spans="1:66" ht="16.5" thickBo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P50" s="23"/>
      <c r="Q50" s="23"/>
      <c r="R50" s="23"/>
      <c r="S50" s="23"/>
      <c r="T50" s="23"/>
      <c r="U50" s="23"/>
      <c r="V50" s="23"/>
      <c r="W50" s="23"/>
      <c r="X50" s="23"/>
      <c r="Y50" s="128"/>
      <c r="Z50" s="73"/>
      <c r="AA50" s="234"/>
      <c r="AB50" s="73"/>
      <c r="AC50" s="73"/>
      <c r="AD50" s="234"/>
      <c r="AE50" s="73"/>
      <c r="AF50" s="234"/>
      <c r="AG50" s="73"/>
      <c r="AH50" s="73"/>
      <c r="AI50" s="234"/>
      <c r="AJ50" s="73"/>
      <c r="AK50" s="234"/>
      <c r="AL50" s="73"/>
      <c r="AM50" s="73"/>
      <c r="AN50" s="23"/>
      <c r="AO50" s="54">
        <v>42</v>
      </c>
      <c r="AP50" s="323" t="str">
        <f>+Inscrits!F8</f>
        <v>C6</v>
      </c>
      <c r="AQ50" s="286">
        <f t="shared" si="3"/>
        <v>1</v>
      </c>
      <c r="AR50" s="99">
        <f t="shared" si="4"/>
        <v>-12</v>
      </c>
      <c r="AS50" s="219">
        <f t="shared" si="5"/>
        <v>1</v>
      </c>
      <c r="AT50" s="328">
        <f t="shared" si="6"/>
        <v>1</v>
      </c>
      <c r="AU50" s="329">
        <f t="shared" si="7"/>
        <v>-2</v>
      </c>
      <c r="AV50" s="330">
        <f t="shared" si="8"/>
        <v>4</v>
      </c>
      <c r="AW50" s="286">
        <f t="shared" si="9"/>
        <v>1</v>
      </c>
      <c r="AX50" s="99">
        <f t="shared" si="10"/>
        <v>-11</v>
      </c>
      <c r="AY50" s="291">
        <f t="shared" si="11"/>
        <v>2</v>
      </c>
      <c r="AZ50" s="286">
        <f t="shared" si="17"/>
        <v>3</v>
      </c>
      <c r="BA50" s="99">
        <f t="shared" si="12"/>
        <v>-25</v>
      </c>
      <c r="BB50" s="291">
        <f t="shared" si="13"/>
        <v>7</v>
      </c>
      <c r="BC50" s="294">
        <f t="shared" si="14"/>
        <v>-25</v>
      </c>
      <c r="BD50" s="7">
        <f t="shared" si="15"/>
        <v>0</v>
      </c>
      <c r="BE50" s="218">
        <f t="shared" si="16"/>
        <v>16.2493005</v>
      </c>
      <c r="BF50" s="99">
        <f>IF(AP50="","",SMALL(BE$9:BE$62,ROWS(AZ$9:AZ50)))</f>
        <v>25.000000409999998</v>
      </c>
      <c r="BG50" s="88"/>
      <c r="BH50" s="95" t="str">
        <f>IF(OR(AP50="",AZ50=""),"",INDEX($AP$9:$AP$63,MATCH(BF50,$BE$9:BE$62,0)))</f>
        <v>B15</v>
      </c>
      <c r="BI50" s="294">
        <f t="shared" si="18"/>
        <v>0</v>
      </c>
      <c r="BJ50" s="7">
        <f t="shared" si="19"/>
        <v>0</v>
      </c>
      <c r="BK50" s="7">
        <f t="shared" si="20"/>
        <v>0</v>
      </c>
      <c r="BL50" s="280">
        <f>IF(BF50="","",IF(AND(BI49=BI50,BJ49=BJ50,BK49=BK50),BL49,$BL$9+41))</f>
        <v>25</v>
      </c>
      <c r="BM50" s="29"/>
      <c r="BN50" s="3"/>
    </row>
    <row r="51" spans="1:66" ht="15.7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P51" s="23"/>
      <c r="Q51" s="23"/>
      <c r="R51" s="23"/>
      <c r="S51" s="23"/>
      <c r="T51" s="23"/>
      <c r="U51" s="23"/>
      <c r="V51" s="23"/>
      <c r="W51" s="23"/>
      <c r="X51" s="23"/>
      <c r="Y51" s="446">
        <v>6</v>
      </c>
      <c r="Z51" s="12">
        <f>+O20</f>
        <v>0</v>
      </c>
      <c r="AA51" s="33">
        <v>0</v>
      </c>
      <c r="AB51" s="48">
        <f>IF(AA51+AA55=0,0,IF(AA51=AA55,2,IF(AA51&gt;AA55,3,1)))</f>
        <v>0</v>
      </c>
      <c r="AC51" s="13">
        <f>AA51-AA55</f>
        <v>0</v>
      </c>
      <c r="AD51" s="24"/>
      <c r="AE51" s="12">
        <f>+R20</f>
        <v>0</v>
      </c>
      <c r="AF51" s="126">
        <v>0</v>
      </c>
      <c r="AG51" s="48">
        <f>IF(AF51+AF55=0,0,IF(AF51=AF55,2,IF(AF51&gt;AF55,3,1)))</f>
        <v>0</v>
      </c>
      <c r="AH51" s="13">
        <f>AF51-AF55</f>
        <v>0</v>
      </c>
      <c r="AI51" s="24"/>
      <c r="AJ51" s="12">
        <f>+U20</f>
        <v>0</v>
      </c>
      <c r="AK51" s="36">
        <v>0</v>
      </c>
      <c r="AL51" s="48">
        <f>IF(AK51+AK55=0,0,IF(AK51=AK55,2,IF(AK51&gt;AK55,3,1)))</f>
        <v>0</v>
      </c>
      <c r="AM51" s="13">
        <f>AK51-AK55</f>
        <v>0</v>
      </c>
      <c r="AN51" s="23"/>
      <c r="AO51" s="54">
        <v>43</v>
      </c>
      <c r="AP51" s="323" t="str">
        <f>+Inscrits!F9</f>
        <v>C7</v>
      </c>
      <c r="AQ51" s="286" t="str">
        <f t="shared" si="3"/>
        <v>0</v>
      </c>
      <c r="AR51" s="99" t="str">
        <f t="shared" si="4"/>
        <v>0</v>
      </c>
      <c r="AS51" s="219" t="str">
        <f t="shared" si="5"/>
        <v>0</v>
      </c>
      <c r="AT51" s="328">
        <f t="shared" si="6"/>
        <v>3</v>
      </c>
      <c r="AU51" s="329">
        <f t="shared" si="7"/>
        <v>1</v>
      </c>
      <c r="AV51" s="330">
        <f t="shared" si="8"/>
        <v>8</v>
      </c>
      <c r="AW51" s="286">
        <f t="shared" si="9"/>
        <v>1</v>
      </c>
      <c r="AX51" s="99">
        <f t="shared" si="10"/>
        <v>-5</v>
      </c>
      <c r="AY51" s="291">
        <f t="shared" si="11"/>
        <v>5</v>
      </c>
      <c r="AZ51" s="286">
        <f t="shared" si="17"/>
        <v>4</v>
      </c>
      <c r="BA51" s="99">
        <f t="shared" si="12"/>
        <v>-4</v>
      </c>
      <c r="BB51" s="291">
        <f t="shared" si="13"/>
        <v>13</v>
      </c>
      <c r="BC51" s="294">
        <f t="shared" si="14"/>
        <v>-4</v>
      </c>
      <c r="BD51" s="7">
        <f t="shared" si="15"/>
        <v>0</v>
      </c>
      <c r="BE51" s="218">
        <f t="shared" si="16"/>
        <v>12.038700509999998</v>
      </c>
      <c r="BF51" s="99">
        <f>IF(AP51="","",SMALL(BE$9:BE$62,ROWS(AZ$9:AZ51)))</f>
        <v>25.000000419999999</v>
      </c>
      <c r="BG51" s="88"/>
      <c r="BH51" s="95" t="str">
        <f>IF(OR(AP51="",AZ51=""),"",INDEX($AP$9:$AP$63,MATCH(BF51,$BE$9:BE$62,0)))</f>
        <v>B16</v>
      </c>
      <c r="BI51" s="294">
        <f t="shared" si="18"/>
        <v>0</v>
      </c>
      <c r="BJ51" s="7">
        <f t="shared" si="19"/>
        <v>0</v>
      </c>
      <c r="BK51" s="7">
        <f t="shared" si="20"/>
        <v>0</v>
      </c>
      <c r="BL51" s="280">
        <f>IF(BF51="","",IF(AND(BI50=BI51,BJ50=BJ51,BK50=BK51),BL50,$BL$9+42))</f>
        <v>25</v>
      </c>
      <c r="BM51" s="29"/>
      <c r="BN51" s="3"/>
    </row>
    <row r="52" spans="1:66" ht="16.5" thickBo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P52" s="23"/>
      <c r="Q52" s="23"/>
      <c r="R52" s="23"/>
      <c r="S52" s="23"/>
      <c r="T52" s="23"/>
      <c r="U52" s="23"/>
      <c r="V52" s="23"/>
      <c r="W52" s="23"/>
      <c r="X52" s="23"/>
      <c r="Y52" s="447"/>
      <c r="Z52" s="14">
        <f>+P20</f>
        <v>0</v>
      </c>
      <c r="AA52" s="17">
        <f>IF(ISTEXT(Z52),AA51,0)</f>
        <v>0</v>
      </c>
      <c r="AB52" s="18">
        <f>IF(ISTEXT(Z52),AB51,0)</f>
        <v>0</v>
      </c>
      <c r="AC52" s="19">
        <f>IF(ISTEXT(Z52),AC51,0)</f>
        <v>0</v>
      </c>
      <c r="AD52" s="9"/>
      <c r="AE52" s="14">
        <f>+S20</f>
        <v>0</v>
      </c>
      <c r="AF52" s="17">
        <f>IF(ISTEXT(AE52),AF51,0)</f>
        <v>0</v>
      </c>
      <c r="AG52" s="59">
        <f>IF(ISTEXT(AE52),AG51,0)</f>
        <v>0</v>
      </c>
      <c r="AH52" s="19">
        <f>IF(ISTEXT(AE52),AH51,0)</f>
        <v>0</v>
      </c>
      <c r="AI52" s="9"/>
      <c r="AJ52" s="14">
        <f>+V20</f>
        <v>0</v>
      </c>
      <c r="AK52" s="17">
        <f>IF(ISTEXT(AJ52),AK51,0)</f>
        <v>0</v>
      </c>
      <c r="AL52" s="59">
        <f>IF(ISTEXT(AJ52),AL51,0)</f>
        <v>0</v>
      </c>
      <c r="AM52" s="19">
        <f>IF(ISTEXT(AJ52),AM51,0)</f>
        <v>0</v>
      </c>
      <c r="AN52" s="23"/>
      <c r="AO52" s="54">
        <v>44</v>
      </c>
      <c r="AP52" s="323" t="str">
        <f>+Inscrits!F10</f>
        <v>C8</v>
      </c>
      <c r="AQ52" s="286" t="str">
        <f t="shared" si="3"/>
        <v>0</v>
      </c>
      <c r="AR52" s="99" t="str">
        <f t="shared" si="4"/>
        <v>0</v>
      </c>
      <c r="AS52" s="219" t="str">
        <f t="shared" si="5"/>
        <v>0</v>
      </c>
      <c r="AT52" s="328" t="str">
        <f t="shared" si="6"/>
        <v>0</v>
      </c>
      <c r="AU52" s="329" t="str">
        <f t="shared" si="7"/>
        <v>0</v>
      </c>
      <c r="AV52" s="330" t="str">
        <f t="shared" si="8"/>
        <v>0</v>
      </c>
      <c r="AW52" s="286">
        <f t="shared" si="9"/>
        <v>1</v>
      </c>
      <c r="AX52" s="99">
        <f t="shared" si="10"/>
        <v>-3</v>
      </c>
      <c r="AY52" s="291">
        <f t="shared" si="11"/>
        <v>6</v>
      </c>
      <c r="AZ52" s="286">
        <f t="shared" si="17"/>
        <v>1</v>
      </c>
      <c r="BA52" s="99">
        <f t="shared" si="12"/>
        <v>-3</v>
      </c>
      <c r="BB52" s="291">
        <f t="shared" si="13"/>
        <v>6</v>
      </c>
      <c r="BC52" s="294">
        <f t="shared" si="14"/>
        <v>-3</v>
      </c>
      <c r="BD52" s="7">
        <f t="shared" si="15"/>
        <v>0</v>
      </c>
      <c r="BE52" s="218">
        <f t="shared" si="16"/>
        <v>23.029400520000003</v>
      </c>
      <c r="BF52" s="99">
        <f>IF(AP52="","",SMALL(BE$9:BE$62,ROWS(AZ$9:AZ52)))</f>
        <v>25.00000043</v>
      </c>
      <c r="BG52" s="88"/>
      <c r="BH52" s="95" t="str">
        <f>IF(OR(AP52="",AZ52=""),"",INDEX($AP$9:$AP$63,MATCH(BF52,$BE$9:BE$62,0)))</f>
        <v>B17</v>
      </c>
      <c r="BI52" s="294">
        <f t="shared" si="18"/>
        <v>0</v>
      </c>
      <c r="BJ52" s="7">
        <f t="shared" si="19"/>
        <v>0</v>
      </c>
      <c r="BK52" s="7">
        <f t="shared" si="20"/>
        <v>0</v>
      </c>
      <c r="BL52" s="280">
        <f>IF(BF52="","",IF(AND(BI51=BI52,BJ51=BJ52,BK51=BK52),BL51,$BL$9+43))</f>
        <v>25</v>
      </c>
      <c r="BM52" s="29"/>
      <c r="BN52" s="3"/>
    </row>
    <row r="53" spans="1:66" ht="15.7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P53" s="23"/>
      <c r="Q53" s="23"/>
      <c r="R53" s="23"/>
      <c r="S53" s="23"/>
      <c r="T53" s="23"/>
      <c r="U53" s="23"/>
      <c r="V53" s="23"/>
      <c r="W53" s="23"/>
      <c r="X53" s="23"/>
      <c r="Y53" s="447"/>
      <c r="Z53" s="14">
        <f>+Q20</f>
        <v>0</v>
      </c>
      <c r="AA53" s="71">
        <f>IF(ISTEXT(Z53),AA51,0)</f>
        <v>0</v>
      </c>
      <c r="AB53" s="67">
        <f>IF(ISTEXT(Z53),AB51,0)</f>
        <v>0</v>
      </c>
      <c r="AC53" s="72">
        <f>IF(ISTEXT(Z53),AC51,0)</f>
        <v>0</v>
      </c>
      <c r="AD53" s="9"/>
      <c r="AE53" s="14">
        <f>+T20</f>
        <v>0</v>
      </c>
      <c r="AF53" s="71">
        <f>IF(ISTEXT(AE53),AF51,0)</f>
        <v>0</v>
      </c>
      <c r="AG53" s="64">
        <f>IF(ISTEXT(AE53),AG51,0)</f>
        <v>0</v>
      </c>
      <c r="AH53" s="72">
        <f>IF(ISTEXT(AE53),AH51,0)</f>
        <v>0</v>
      </c>
      <c r="AI53" s="9"/>
      <c r="AJ53" s="14">
        <f>+W20</f>
        <v>0</v>
      </c>
      <c r="AK53" s="71">
        <f>IF(ISTEXT(AJ53),AK51,0)</f>
        <v>0</v>
      </c>
      <c r="AL53" s="64">
        <f>IF(ISTEXT(AJ53),AL51,0)</f>
        <v>0</v>
      </c>
      <c r="AM53" s="72">
        <f>IF(ISTEXT(AJ53),AM51,0)</f>
        <v>0</v>
      </c>
      <c r="AN53" s="23"/>
      <c r="AO53" s="54">
        <v>45</v>
      </c>
      <c r="AP53" s="323" t="str">
        <f>+Inscrits!F11</f>
        <v>C9</v>
      </c>
      <c r="AQ53" s="286" t="str">
        <f t="shared" si="3"/>
        <v>0</v>
      </c>
      <c r="AR53" s="99" t="str">
        <f t="shared" si="4"/>
        <v>0</v>
      </c>
      <c r="AS53" s="219" t="str">
        <f t="shared" si="5"/>
        <v>0</v>
      </c>
      <c r="AT53" s="328" t="str">
        <f t="shared" si="6"/>
        <v>0</v>
      </c>
      <c r="AU53" s="329" t="str">
        <f t="shared" si="7"/>
        <v>0</v>
      </c>
      <c r="AV53" s="330" t="str">
        <f t="shared" si="8"/>
        <v>0</v>
      </c>
      <c r="AW53" s="286">
        <f t="shared" si="9"/>
        <v>3</v>
      </c>
      <c r="AX53" s="99">
        <f t="shared" si="10"/>
        <v>3</v>
      </c>
      <c r="AY53" s="291">
        <f t="shared" si="11"/>
        <v>9</v>
      </c>
      <c r="AZ53" s="286">
        <f t="shared" si="17"/>
        <v>3</v>
      </c>
      <c r="BA53" s="99">
        <f t="shared" si="12"/>
        <v>3</v>
      </c>
      <c r="BB53" s="291">
        <f t="shared" si="13"/>
        <v>9</v>
      </c>
      <c r="BC53" s="294">
        <f t="shared" si="14"/>
        <v>0</v>
      </c>
      <c r="BD53" s="7">
        <f t="shared" si="15"/>
        <v>3</v>
      </c>
      <c r="BE53" s="218">
        <f t="shared" si="16"/>
        <v>15.96910053</v>
      </c>
      <c r="BF53" s="99">
        <f>IF(AP53="","",SMALL(BE$9:BE$62,ROWS(AZ$9:AZ53)))</f>
        <v>25.000000440000001</v>
      </c>
      <c r="BG53" s="88"/>
      <c r="BH53" s="95" t="str">
        <f>IF(OR(AP53="",AZ53=""),"",INDEX($AP$9:$AP$63,MATCH(BF53,$BE$9:BE$62,0)))</f>
        <v>B18</v>
      </c>
      <c r="BI53" s="294">
        <f t="shared" si="18"/>
        <v>0</v>
      </c>
      <c r="BJ53" s="7">
        <f t="shared" si="19"/>
        <v>0</v>
      </c>
      <c r="BK53" s="7">
        <f t="shared" si="20"/>
        <v>0</v>
      </c>
      <c r="BL53" s="280">
        <f>IF(BF53="","",IF(AND(BI52=BI53,BJ52=BJ53,BK52=BK53),BL52,$BL$9+44))</f>
        <v>25</v>
      </c>
      <c r="BM53" s="29"/>
      <c r="BN53" s="3"/>
    </row>
    <row r="54" spans="1:66" ht="15.7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P54" s="23"/>
      <c r="Q54" s="23"/>
      <c r="R54" s="23"/>
      <c r="S54" s="23"/>
      <c r="T54" s="23"/>
      <c r="U54" s="23"/>
      <c r="V54" s="23"/>
      <c r="W54" s="23"/>
      <c r="X54" s="23"/>
      <c r="Y54" s="447"/>
      <c r="Z54" s="32"/>
      <c r="AA54" s="230" t="s">
        <v>5</v>
      </c>
      <c r="AB54" s="21"/>
      <c r="AC54" s="22"/>
      <c r="AD54" s="25"/>
      <c r="AE54" s="32"/>
      <c r="AF54" s="230" t="s">
        <v>5</v>
      </c>
      <c r="AG54" s="21"/>
      <c r="AH54" s="22"/>
      <c r="AI54" s="25"/>
      <c r="AJ54" s="32"/>
      <c r="AK54" s="230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 t="str">
        <f t="shared" si="3"/>
        <v>0</v>
      </c>
      <c r="AR54" s="99" t="str">
        <f t="shared" si="4"/>
        <v>0</v>
      </c>
      <c r="AS54" s="219" t="str">
        <f t="shared" si="5"/>
        <v>0</v>
      </c>
      <c r="AT54" s="328" t="str">
        <f t="shared" si="6"/>
        <v>0</v>
      </c>
      <c r="AU54" s="329" t="str">
        <f t="shared" si="7"/>
        <v>0</v>
      </c>
      <c r="AV54" s="330" t="str">
        <f t="shared" si="8"/>
        <v>0</v>
      </c>
      <c r="AW54" s="286" t="str">
        <f t="shared" si="9"/>
        <v>0</v>
      </c>
      <c r="AX54" s="99" t="str">
        <f t="shared" si="10"/>
        <v>0</v>
      </c>
      <c r="AY54" s="291" t="str">
        <f t="shared" si="11"/>
        <v>0</v>
      </c>
      <c r="AZ54" s="286">
        <f t="shared" si="17"/>
        <v>0</v>
      </c>
      <c r="BA54" s="99">
        <f t="shared" si="12"/>
        <v>0</v>
      </c>
      <c r="BB54" s="291">
        <f t="shared" si="13"/>
        <v>0</v>
      </c>
      <c r="BC54" s="294">
        <f t="shared" si="14"/>
        <v>0</v>
      </c>
      <c r="BD54" s="7">
        <f t="shared" si="15"/>
        <v>0</v>
      </c>
      <c r="BE54" s="218">
        <f t="shared" si="16"/>
        <v>25.000000539999998</v>
      </c>
      <c r="BF54" s="99">
        <f>IF(AP54="","",SMALL(BE$9:BE$62,ROWS(AZ$9:AZ54)))</f>
        <v>25.000000539999998</v>
      </c>
      <c r="BG54" s="88"/>
      <c r="BH54" s="95" t="str">
        <f>IF(OR(AP54="",AZ54=""),"",INDEX($AP$9:$AP$63,MATCH(BF54,$BE$9:BE$62,0)))</f>
        <v>C10</v>
      </c>
      <c r="BI54" s="294">
        <f t="shared" si="18"/>
        <v>0</v>
      </c>
      <c r="BJ54" s="7">
        <f t="shared" si="19"/>
        <v>0</v>
      </c>
      <c r="BK54" s="7">
        <f t="shared" si="20"/>
        <v>0</v>
      </c>
      <c r="BL54" s="280">
        <f>IF(BF54="","",IF(AND(BI53=BI54,BJ53=BJ54,BK53=BK54),BL53,$BL$9+45))</f>
        <v>25</v>
      </c>
      <c r="BM54" s="29"/>
      <c r="BN54" s="3"/>
    </row>
    <row r="55" spans="1:66" ht="15.7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P55" s="23"/>
      <c r="Q55" s="23"/>
      <c r="R55" s="23"/>
      <c r="S55" s="23"/>
      <c r="T55" s="23"/>
      <c r="U55" s="23"/>
      <c r="V55" s="23"/>
      <c r="W55" s="23"/>
      <c r="X55" s="23"/>
      <c r="Y55" s="447"/>
      <c r="Z55" s="14">
        <f>+O21</f>
        <v>0</v>
      </c>
      <c r="AA55" s="35">
        <v>0</v>
      </c>
      <c r="AB55" s="30">
        <f>IF(AA51+AA55=0,0,IF(AA51=AA55,2,IF(AA51&lt;AA55,3,1)))</f>
        <v>0</v>
      </c>
      <c r="AC55" s="15">
        <f>AA55-AA51</f>
        <v>0</v>
      </c>
      <c r="AD55" s="24"/>
      <c r="AE55" s="14">
        <f>+R21</f>
        <v>0</v>
      </c>
      <c r="AF55" s="127">
        <v>0</v>
      </c>
      <c r="AG55" s="30">
        <f>IF(AF51+AF55=0,0,IF(AF51=AF55,2,IF(AF51&lt;AF55,3,1)))</f>
        <v>0</v>
      </c>
      <c r="AH55" s="15">
        <f>AF55-AF51</f>
        <v>0</v>
      </c>
      <c r="AI55" s="24"/>
      <c r="AJ55" s="14">
        <f>+U21</f>
        <v>0</v>
      </c>
      <c r="AK55" s="37">
        <v>0</v>
      </c>
      <c r="AL55" s="30">
        <f>IF(AK51+AK55=0,0,IF(AK51=AK55,2,IF(AK51&lt;AK55,3,1)))</f>
        <v>0</v>
      </c>
      <c r="AM55" s="15">
        <f>AK55-AK51</f>
        <v>0</v>
      </c>
      <c r="AN55" s="23"/>
      <c r="AO55" s="54">
        <v>47</v>
      </c>
      <c r="AP55" s="323" t="str">
        <f>+Inscrits!F13</f>
        <v>C11</v>
      </c>
      <c r="AQ55" s="286" t="str">
        <f t="shared" si="3"/>
        <v xml:space="preserve"> </v>
      </c>
      <c r="AR55" s="99" t="str">
        <f t="shared" si="4"/>
        <v xml:space="preserve"> </v>
      </c>
      <c r="AS55" s="219" t="str">
        <f t="shared" si="5"/>
        <v xml:space="preserve"> </v>
      </c>
      <c r="AT55" s="328" t="str">
        <f t="shared" si="6"/>
        <v xml:space="preserve"> </v>
      </c>
      <c r="AU55" s="329" t="str">
        <f t="shared" si="7"/>
        <v xml:space="preserve"> </v>
      </c>
      <c r="AV55" s="330" t="str">
        <f t="shared" si="8"/>
        <v xml:space="preserve"> </v>
      </c>
      <c r="AW55" s="286" t="str">
        <f t="shared" si="9"/>
        <v xml:space="preserve"> </v>
      </c>
      <c r="AX55" s="99" t="str">
        <f t="shared" si="10"/>
        <v xml:space="preserve"> </v>
      </c>
      <c r="AY55" s="291" t="str">
        <f t="shared" si="11"/>
        <v xml:space="preserve"> </v>
      </c>
      <c r="AZ55" s="286">
        <f t="shared" si="17"/>
        <v>0</v>
      </c>
      <c r="BA55" s="99">
        <f t="shared" si="12"/>
        <v>0</v>
      </c>
      <c r="BB55" s="291">
        <f t="shared" si="13"/>
        <v>0</v>
      </c>
      <c r="BC55" s="294">
        <f t="shared" si="14"/>
        <v>0</v>
      </c>
      <c r="BD55" s="7">
        <f t="shared" si="15"/>
        <v>0</v>
      </c>
      <c r="BE55" s="218">
        <f t="shared" si="16"/>
        <v>25.000000549999999</v>
      </c>
      <c r="BF55" s="99">
        <f>IF(AP55="","",SMALL(BE$9:BE$62,ROWS(AZ$9:AZ55)))</f>
        <v>25.000000549999999</v>
      </c>
      <c r="BG55" s="88"/>
      <c r="BH55" s="95" t="str">
        <f>IF(OR(AP55="",AZ55=""),"",INDEX($AP$9:$AP$63,MATCH(BF55,$BE$9:BE$62,0)))</f>
        <v>C11</v>
      </c>
      <c r="BI55" s="294">
        <f t="shared" si="18"/>
        <v>0</v>
      </c>
      <c r="BJ55" s="7">
        <f t="shared" si="19"/>
        <v>0</v>
      </c>
      <c r="BK55" s="7">
        <f t="shared" si="20"/>
        <v>0</v>
      </c>
      <c r="BL55" s="280">
        <f>IF(BF55="","",IF(AND(BI54=BI55,BJ54=BJ55,BK54=BK55),BL54,$BL$9+46))</f>
        <v>25</v>
      </c>
      <c r="BM55" s="29"/>
      <c r="BN55" s="3"/>
    </row>
    <row r="56" spans="1:66" ht="16.5" thickBot="1">
      <c r="A56" s="128"/>
      <c r="B56" s="23"/>
      <c r="C56" s="23"/>
      <c r="D56" s="23"/>
      <c r="E56" s="23"/>
      <c r="F56" s="23"/>
      <c r="G56" s="23"/>
      <c r="H56" s="23"/>
      <c r="I56" s="25"/>
      <c r="J56" s="128"/>
      <c r="K56" s="128"/>
      <c r="L56" s="128"/>
      <c r="P56" s="23"/>
      <c r="Q56" s="128"/>
      <c r="R56" s="29"/>
      <c r="S56" s="23"/>
      <c r="T56" s="23"/>
      <c r="U56" s="23"/>
      <c r="V56" s="23"/>
      <c r="W56" s="23"/>
      <c r="X56" s="23"/>
      <c r="Y56" s="447"/>
      <c r="Z56" s="14">
        <f>+P21</f>
        <v>0</v>
      </c>
      <c r="AA56" s="17">
        <f>IF(ISTEXT(Z56),AA55,0)</f>
        <v>0</v>
      </c>
      <c r="AB56" s="18">
        <f>IF(ISTEXT(Z56),AB55,0)</f>
        <v>0</v>
      </c>
      <c r="AC56" s="19">
        <f>IF(ISTEXT(Z56),AC55,0)</f>
        <v>0</v>
      </c>
      <c r="AD56" s="9"/>
      <c r="AE56" s="14">
        <f>+S21</f>
        <v>0</v>
      </c>
      <c r="AF56" s="17">
        <f>IF(ISTEXT(AE56),AF55,0)</f>
        <v>0</v>
      </c>
      <c r="AG56" s="18">
        <f>IF(ISTEXT(AE56),AG55,0)</f>
        <v>0</v>
      </c>
      <c r="AH56" s="19">
        <f>IF(ISTEXT(AE56),AH55,0)</f>
        <v>0</v>
      </c>
      <c r="AI56" s="9"/>
      <c r="AJ56" s="14">
        <f>+V21</f>
        <v>0</v>
      </c>
      <c r="AK56" s="17">
        <f>IF(ISTEXT(AJ56),AK55,0)</f>
        <v>0</v>
      </c>
      <c r="AL56" s="18">
        <f>IF(ISTEXT(AJ56),AL55,0)</f>
        <v>0</v>
      </c>
      <c r="AM56" s="19">
        <f>IF(ISTEXT(AJ56),AM55,0)</f>
        <v>0</v>
      </c>
      <c r="AN56" s="23"/>
      <c r="AO56" s="54">
        <v>48</v>
      </c>
      <c r="AP56" s="323" t="str">
        <f>+Inscrits!F14</f>
        <v>C12</v>
      </c>
      <c r="AQ56" s="286" t="str">
        <f t="shared" si="3"/>
        <v xml:space="preserve"> </v>
      </c>
      <c r="AR56" s="99" t="str">
        <f t="shared" si="4"/>
        <v xml:space="preserve"> </v>
      </c>
      <c r="AS56" s="219" t="str">
        <f t="shared" si="5"/>
        <v xml:space="preserve"> </v>
      </c>
      <c r="AT56" s="328" t="str">
        <f t="shared" si="6"/>
        <v xml:space="preserve"> </v>
      </c>
      <c r="AU56" s="329" t="str">
        <f t="shared" si="7"/>
        <v xml:space="preserve"> </v>
      </c>
      <c r="AV56" s="330" t="str">
        <f t="shared" si="8"/>
        <v xml:space="preserve"> </v>
      </c>
      <c r="AW56" s="286" t="str">
        <f t="shared" si="9"/>
        <v xml:space="preserve"> </v>
      </c>
      <c r="AX56" s="99" t="str">
        <f t="shared" si="10"/>
        <v xml:space="preserve"> </v>
      </c>
      <c r="AY56" s="291" t="str">
        <f t="shared" si="11"/>
        <v xml:space="preserve"> </v>
      </c>
      <c r="AZ56" s="286">
        <f t="shared" si="17"/>
        <v>0</v>
      </c>
      <c r="BA56" s="99">
        <f t="shared" si="12"/>
        <v>0</v>
      </c>
      <c r="BB56" s="291">
        <f t="shared" si="13"/>
        <v>0</v>
      </c>
      <c r="BC56" s="294">
        <f t="shared" si="14"/>
        <v>0</v>
      </c>
      <c r="BD56" s="7">
        <f t="shared" si="15"/>
        <v>0</v>
      </c>
      <c r="BE56" s="218">
        <f t="shared" si="16"/>
        <v>25.00000056</v>
      </c>
      <c r="BF56" s="99">
        <f>IF(AP56="","",SMALL(BE$9:BE$62,ROWS(AZ$9:AZ56)))</f>
        <v>25.00000056</v>
      </c>
      <c r="BG56" s="88"/>
      <c r="BH56" s="95" t="str">
        <f>IF(OR(AP56="",AZ56=""),"",INDEX($AP$9:$AP$63,MATCH(BF56,$BE$9:BE$62,0)))</f>
        <v>C12</v>
      </c>
      <c r="BI56" s="294">
        <f t="shared" si="18"/>
        <v>0</v>
      </c>
      <c r="BJ56" s="7">
        <f t="shared" si="19"/>
        <v>0</v>
      </c>
      <c r="BK56" s="7">
        <f t="shared" si="20"/>
        <v>0</v>
      </c>
      <c r="BL56" s="280">
        <f>IF(BF56="","",IF(AND(BI55=BI56,BJ55=BJ56,BK55=BK56),BL55,$BL$9+47))</f>
        <v>25</v>
      </c>
      <c r="BM56" s="29"/>
      <c r="BN56" s="3"/>
    </row>
    <row r="57" spans="1:66" ht="16.5" thickBot="1">
      <c r="A57" s="128"/>
      <c r="B57" s="23"/>
      <c r="C57" s="23"/>
      <c r="D57" s="23"/>
      <c r="E57" s="23"/>
      <c r="F57" s="23"/>
      <c r="G57" s="23"/>
      <c r="H57" s="23"/>
      <c r="I57" s="25"/>
      <c r="J57" s="128"/>
      <c r="K57" s="128"/>
      <c r="L57" s="128"/>
      <c r="P57" s="23"/>
      <c r="Q57" s="128"/>
      <c r="R57" s="29"/>
      <c r="S57" s="23"/>
      <c r="T57" s="23"/>
      <c r="U57" s="23"/>
      <c r="V57" s="23"/>
      <c r="W57" s="23"/>
      <c r="X57" s="23"/>
      <c r="Y57" s="448"/>
      <c r="Z57" s="16">
        <f>+Q21</f>
        <v>0</v>
      </c>
      <c r="AA57" s="17">
        <f>IF(ISTEXT(Z57),AA55,0)</f>
        <v>0</v>
      </c>
      <c r="AB57" s="18">
        <f>IF(ISTEXT(Z57),AB55,0)</f>
        <v>0</v>
      </c>
      <c r="AC57" s="19">
        <f>IF(ISTEXT(Z57),AC55,0)</f>
        <v>0</v>
      </c>
      <c r="AD57" s="9"/>
      <c r="AE57" s="16">
        <f>+T21</f>
        <v>0</v>
      </c>
      <c r="AF57" s="17">
        <f>IF(ISTEXT(AE57),AF55,0)</f>
        <v>0</v>
      </c>
      <c r="AG57" s="18">
        <f>IF(ISTEXT(AE57),AG55,0)</f>
        <v>0</v>
      </c>
      <c r="AH57" s="19">
        <f>IF(ISTEXT(AE57),AH55,0)</f>
        <v>0</v>
      </c>
      <c r="AI57" s="9"/>
      <c r="AJ57" s="16">
        <f>+W21</f>
        <v>0</v>
      </c>
      <c r="AK57" s="17">
        <f>IF(ISTEXT(AJ57),AK55,0)</f>
        <v>0</v>
      </c>
      <c r="AL57" s="18">
        <f>IF(ISTEXT(AJ57),AL55,0)</f>
        <v>0</v>
      </c>
      <c r="AM57" s="19">
        <f>IF(ISTEXT(AJ57),AM55,0)</f>
        <v>0</v>
      </c>
      <c r="AN57" s="23"/>
      <c r="AO57" s="54">
        <v>49</v>
      </c>
      <c r="AP57" s="323" t="str">
        <f>+Inscrits!F15</f>
        <v>C13</v>
      </c>
      <c r="AQ57" s="286" t="str">
        <f t="shared" si="3"/>
        <v xml:space="preserve"> </v>
      </c>
      <c r="AR57" s="99" t="str">
        <f t="shared" si="4"/>
        <v xml:space="preserve"> </v>
      </c>
      <c r="AS57" s="219" t="str">
        <f t="shared" si="5"/>
        <v xml:space="preserve"> </v>
      </c>
      <c r="AT57" s="328" t="str">
        <f t="shared" si="6"/>
        <v xml:space="preserve"> </v>
      </c>
      <c r="AU57" s="329" t="str">
        <f t="shared" si="7"/>
        <v xml:space="preserve"> </v>
      </c>
      <c r="AV57" s="330" t="str">
        <f t="shared" si="8"/>
        <v xml:space="preserve"> </v>
      </c>
      <c r="AW57" s="286" t="str">
        <f t="shared" si="9"/>
        <v xml:space="preserve"> </v>
      </c>
      <c r="AX57" s="99" t="str">
        <f t="shared" si="10"/>
        <v xml:space="preserve"> </v>
      </c>
      <c r="AY57" s="291" t="str">
        <f t="shared" si="11"/>
        <v xml:space="preserve"> </v>
      </c>
      <c r="AZ57" s="286">
        <f t="shared" si="17"/>
        <v>0</v>
      </c>
      <c r="BA57" s="99">
        <f t="shared" si="12"/>
        <v>0</v>
      </c>
      <c r="BB57" s="291">
        <f t="shared" si="13"/>
        <v>0</v>
      </c>
      <c r="BC57" s="294">
        <f t="shared" si="14"/>
        <v>0</v>
      </c>
      <c r="BD57" s="7">
        <f t="shared" si="15"/>
        <v>0</v>
      </c>
      <c r="BE57" s="218">
        <f t="shared" si="16"/>
        <v>25.000000570000001</v>
      </c>
      <c r="BF57" s="99">
        <f>IF(AP57="","",SMALL(BE$9:BE$62,ROWS(AZ$9:AZ57)))</f>
        <v>25.000000570000001</v>
      </c>
      <c r="BG57" s="88"/>
      <c r="BH57" s="95" t="str">
        <f>IF(OR(AP57="",AZ57=""),"",INDEX($AP$9:$AP$63,MATCH(BF57,$BE$9:BE$62,0)))</f>
        <v>C13</v>
      </c>
      <c r="BI57" s="294">
        <f t="shared" si="18"/>
        <v>0</v>
      </c>
      <c r="BJ57" s="7">
        <f t="shared" si="19"/>
        <v>0</v>
      </c>
      <c r="BK57" s="7">
        <f t="shared" si="20"/>
        <v>0</v>
      </c>
      <c r="BL57" s="280">
        <f>IF(BF57="","",IF(AND(BI56=BI57,BJ56=BJ57,BK56=BK57),BL56,$BL$9+48))</f>
        <v>25</v>
      </c>
      <c r="BM57" s="29"/>
      <c r="BN57" s="3"/>
    </row>
    <row r="58" spans="1:66" ht="16.5" thickBot="1">
      <c r="A58" s="128"/>
      <c r="B58" s="23"/>
      <c r="C58" s="23"/>
      <c r="D58" s="23"/>
      <c r="E58" s="23"/>
      <c r="F58" s="128"/>
      <c r="G58" s="128"/>
      <c r="H58" s="23"/>
      <c r="I58" s="25"/>
      <c r="J58" s="128"/>
      <c r="K58" s="128"/>
      <c r="L58" s="128"/>
      <c r="P58" s="23"/>
      <c r="Q58" s="128"/>
      <c r="R58" s="29"/>
      <c r="S58" s="23"/>
      <c r="T58" s="23"/>
      <c r="U58" s="23"/>
      <c r="V58" s="23"/>
      <c r="W58" s="23"/>
      <c r="X58" s="23"/>
      <c r="Y58" s="128"/>
      <c r="Z58" s="70"/>
      <c r="AA58" s="231"/>
      <c r="AB58" s="70"/>
      <c r="AC58" s="70"/>
      <c r="AD58" s="234"/>
      <c r="AE58" s="73"/>
      <c r="AF58" s="234"/>
      <c r="AG58" s="70"/>
      <c r="AH58" s="70"/>
      <c r="AI58" s="234"/>
      <c r="AJ58" s="73"/>
      <c r="AK58" s="231"/>
      <c r="AL58" s="70"/>
      <c r="AM58" s="70"/>
      <c r="AN58" s="23"/>
      <c r="AO58" s="54">
        <v>50</v>
      </c>
      <c r="AP58" s="323" t="str">
        <f>+Inscrits!F16</f>
        <v>C14</v>
      </c>
      <c r="AQ58" s="286" t="str">
        <f t="shared" si="3"/>
        <v xml:space="preserve"> </v>
      </c>
      <c r="AR58" s="99" t="str">
        <f t="shared" si="4"/>
        <v xml:space="preserve"> </v>
      </c>
      <c r="AS58" s="219" t="str">
        <f t="shared" si="5"/>
        <v xml:space="preserve"> </v>
      </c>
      <c r="AT58" s="328" t="str">
        <f t="shared" si="6"/>
        <v xml:space="preserve"> </v>
      </c>
      <c r="AU58" s="329" t="str">
        <f t="shared" si="7"/>
        <v xml:space="preserve"> </v>
      </c>
      <c r="AV58" s="330" t="str">
        <f t="shared" si="8"/>
        <v xml:space="preserve"> </v>
      </c>
      <c r="AW58" s="286" t="str">
        <f t="shared" si="9"/>
        <v xml:space="preserve"> </v>
      </c>
      <c r="AX58" s="99" t="str">
        <f t="shared" si="10"/>
        <v xml:space="preserve"> </v>
      </c>
      <c r="AY58" s="291" t="str">
        <f t="shared" si="11"/>
        <v xml:space="preserve"> </v>
      </c>
      <c r="AZ58" s="286">
        <f t="shared" si="17"/>
        <v>0</v>
      </c>
      <c r="BA58" s="99">
        <f t="shared" si="12"/>
        <v>0</v>
      </c>
      <c r="BB58" s="291">
        <f t="shared" si="13"/>
        <v>0</v>
      </c>
      <c r="BC58" s="294">
        <f t="shared" si="14"/>
        <v>0</v>
      </c>
      <c r="BD58" s="7">
        <f t="shared" si="15"/>
        <v>0</v>
      </c>
      <c r="BE58" s="218">
        <f t="shared" si="16"/>
        <v>25.000000579999998</v>
      </c>
      <c r="BF58" s="99">
        <f>IF(AP58="","",SMALL(BE$9:BE$62,ROWS(AZ$9:AZ58)))</f>
        <v>25.000000579999998</v>
      </c>
      <c r="BG58" s="88"/>
      <c r="BH58" s="95" t="str">
        <f>IF(OR(AP58="",AZ58=""),"",INDEX($AP$9:$AP$63,MATCH(BF58,$BE$9:BE$62,0)))</f>
        <v>C14</v>
      </c>
      <c r="BI58" s="294">
        <f t="shared" si="18"/>
        <v>0</v>
      </c>
      <c r="BJ58" s="7">
        <f t="shared" si="19"/>
        <v>0</v>
      </c>
      <c r="BK58" s="7">
        <f t="shared" si="20"/>
        <v>0</v>
      </c>
      <c r="BL58" s="280">
        <f>IF(BF58="","",IF(AND(BI57=BI58,BJ57=BJ58,BK57=BK58),BL57,$BL$9+49))</f>
        <v>25</v>
      </c>
      <c r="BM58" s="29"/>
      <c r="BN58" s="3"/>
    </row>
    <row r="59" spans="1:66" ht="15.75">
      <c r="A59" s="128"/>
      <c r="B59" s="23"/>
      <c r="C59" s="23"/>
      <c r="D59" s="23"/>
      <c r="E59" s="23"/>
      <c r="F59" s="128"/>
      <c r="G59" s="128"/>
      <c r="H59" s="23"/>
      <c r="I59" s="25"/>
      <c r="J59" s="128"/>
      <c r="K59" s="128"/>
      <c r="L59" s="128"/>
      <c r="P59" s="23"/>
      <c r="Q59" s="128"/>
      <c r="R59" s="29"/>
      <c r="S59" s="23"/>
      <c r="T59" s="23"/>
      <c r="U59" s="23"/>
      <c r="V59" s="23"/>
      <c r="W59" s="23"/>
      <c r="X59" s="23"/>
      <c r="Y59" s="446">
        <v>7</v>
      </c>
      <c r="Z59" s="12">
        <f>+O22</f>
        <v>0</v>
      </c>
      <c r="AA59" s="33">
        <v>0</v>
      </c>
      <c r="AB59" s="48">
        <f>IF(AA59+AA63=0,0,IF(AA59=AA63,2,IF(AA59&gt;AA63,3,1)))</f>
        <v>0</v>
      </c>
      <c r="AC59" s="13">
        <f>AA59-AA63</f>
        <v>0</v>
      </c>
      <c r="AD59" s="24"/>
      <c r="AE59" s="12">
        <f>+R22</f>
        <v>0</v>
      </c>
      <c r="AF59" s="126">
        <v>0</v>
      </c>
      <c r="AG59" s="48">
        <f>IF(AF59+AF63=0,0,IF(AF59=AF63,2,IF(AF59&gt;AF63,3,1)))</f>
        <v>0</v>
      </c>
      <c r="AH59" s="13">
        <f>AF59-AF63</f>
        <v>0</v>
      </c>
      <c r="AI59" s="24"/>
      <c r="AJ59" s="12">
        <f>+U22</f>
        <v>0</v>
      </c>
      <c r="AK59" s="36">
        <v>0</v>
      </c>
      <c r="AL59" s="48">
        <f>IF(AK59+AK63=0,0,IF(AK59=AK63,2,IF(AK59&gt;AK63,3,1)))</f>
        <v>0</v>
      </c>
      <c r="AM59" s="13">
        <f>AK59-AK63</f>
        <v>0</v>
      </c>
      <c r="AN59" s="23"/>
      <c r="AO59" s="54">
        <v>51</v>
      </c>
      <c r="AP59" s="323" t="str">
        <f>+Inscrits!F17</f>
        <v>C15</v>
      </c>
      <c r="AQ59" s="286" t="str">
        <f t="shared" si="3"/>
        <v xml:space="preserve"> </v>
      </c>
      <c r="AR59" s="99" t="str">
        <f t="shared" si="4"/>
        <v xml:space="preserve"> </v>
      </c>
      <c r="AS59" s="219" t="str">
        <f t="shared" si="5"/>
        <v xml:space="preserve"> </v>
      </c>
      <c r="AT59" s="328" t="str">
        <f t="shared" si="6"/>
        <v xml:space="preserve"> </v>
      </c>
      <c r="AU59" s="329" t="str">
        <f t="shared" si="7"/>
        <v xml:space="preserve"> </v>
      </c>
      <c r="AV59" s="330" t="str">
        <f t="shared" si="8"/>
        <v xml:space="preserve"> </v>
      </c>
      <c r="AW59" s="286" t="str">
        <f t="shared" si="9"/>
        <v xml:space="preserve"> </v>
      </c>
      <c r="AX59" s="99" t="str">
        <f t="shared" si="10"/>
        <v xml:space="preserve"> </v>
      </c>
      <c r="AY59" s="291" t="str">
        <f t="shared" si="11"/>
        <v xml:space="preserve"> </v>
      </c>
      <c r="AZ59" s="286">
        <f t="shared" si="17"/>
        <v>0</v>
      </c>
      <c r="BA59" s="99">
        <f t="shared" si="12"/>
        <v>0</v>
      </c>
      <c r="BB59" s="291">
        <f t="shared" si="13"/>
        <v>0</v>
      </c>
      <c r="BC59" s="294">
        <f t="shared" si="14"/>
        <v>0</v>
      </c>
      <c r="BD59" s="7">
        <f t="shared" si="15"/>
        <v>0</v>
      </c>
      <c r="BE59" s="218">
        <f t="shared" si="16"/>
        <v>25.000000589999999</v>
      </c>
      <c r="BF59" s="99">
        <f>IF(AP59="","",SMALL(BE$9:BE$62,ROWS(AZ$9:AZ59)))</f>
        <v>25.000000589999999</v>
      </c>
      <c r="BG59" s="88"/>
      <c r="BH59" s="95" t="str">
        <f>IF(OR(AP59="",AZ59=""),"",INDEX($AP$9:$AP$63,MATCH(BF59,$BE$9:BE$62,0)))</f>
        <v>C15</v>
      </c>
      <c r="BI59" s="294">
        <f t="shared" si="18"/>
        <v>0</v>
      </c>
      <c r="BJ59" s="7">
        <f t="shared" si="19"/>
        <v>0</v>
      </c>
      <c r="BK59" s="7">
        <f t="shared" si="20"/>
        <v>0</v>
      </c>
      <c r="BL59" s="280">
        <f>IF(BF59="","",IF(AND(BI58=BI59,BJ58=BJ59,BK58=BK59),BL58,$BL$9+50))</f>
        <v>25</v>
      </c>
      <c r="BM59" s="29"/>
      <c r="BN59" s="3"/>
    </row>
    <row r="60" spans="1:66" ht="16.5" thickBot="1">
      <c r="A60" s="128"/>
      <c r="B60" s="29"/>
      <c r="C60" s="29"/>
      <c r="D60" s="128"/>
      <c r="E60" s="128"/>
      <c r="F60" s="128"/>
      <c r="G60" s="128"/>
      <c r="H60" s="23"/>
      <c r="I60" s="25"/>
      <c r="J60" s="128"/>
      <c r="K60" s="128"/>
      <c r="L60" s="128"/>
      <c r="P60" s="23"/>
      <c r="Q60" s="128"/>
      <c r="R60" s="29"/>
      <c r="S60" s="29"/>
      <c r="T60" s="29"/>
      <c r="U60" s="23"/>
      <c r="V60" s="23"/>
      <c r="W60" s="23"/>
      <c r="X60" s="23"/>
      <c r="Y60" s="447"/>
      <c r="Z60" s="14">
        <f>+P22</f>
        <v>0</v>
      </c>
      <c r="AA60" s="232">
        <f>IF(ISTEXT(Z60),AA59,0)</f>
        <v>0</v>
      </c>
      <c r="AB60" s="18">
        <f>IF(ISTEXT(Z60),AB59,0)</f>
        <v>0</v>
      </c>
      <c r="AC60" s="19">
        <f>IF(ISTEXT(Z60),AC59,0)</f>
        <v>0</v>
      </c>
      <c r="AD60" s="24"/>
      <c r="AE60" s="14">
        <f>+S22</f>
        <v>0</v>
      </c>
      <c r="AF60" s="232">
        <f>IF(ISTEXT(AE60),AF59,0)</f>
        <v>0</v>
      </c>
      <c r="AG60" s="59">
        <f>IF(ISTEXT(AE60),AG59,0)</f>
        <v>0</v>
      </c>
      <c r="AH60" s="19">
        <f>IF(ISTEXT(AE60),AH59,0)</f>
        <v>0</v>
      </c>
      <c r="AI60" s="24"/>
      <c r="AJ60" s="14">
        <f>+V22</f>
        <v>0</v>
      </c>
      <c r="AK60" s="232">
        <f>IF(ISTEXT(AJ60),AK59,0)</f>
        <v>0</v>
      </c>
      <c r="AL60" s="59">
        <f>IF(ISTEXT(AJ60),AL59,0)</f>
        <v>0</v>
      </c>
      <c r="AM60" s="19">
        <f>IF(ISTEXT(AJ60),AM59,0)</f>
        <v>0</v>
      </c>
      <c r="AN60" s="23"/>
      <c r="AO60" s="54">
        <v>52</v>
      </c>
      <c r="AP60" s="323" t="str">
        <f>+Inscrits!F18</f>
        <v>C16</v>
      </c>
      <c r="AQ60" s="286" t="str">
        <f t="shared" si="3"/>
        <v xml:space="preserve"> </v>
      </c>
      <c r="AR60" s="99" t="str">
        <f t="shared" si="4"/>
        <v xml:space="preserve"> </v>
      </c>
      <c r="AS60" s="219" t="str">
        <f t="shared" si="5"/>
        <v xml:space="preserve"> </v>
      </c>
      <c r="AT60" s="328" t="str">
        <f t="shared" si="6"/>
        <v xml:space="preserve"> </v>
      </c>
      <c r="AU60" s="329" t="str">
        <f t="shared" si="7"/>
        <v xml:space="preserve"> </v>
      </c>
      <c r="AV60" s="330" t="str">
        <f t="shared" si="8"/>
        <v xml:space="preserve"> </v>
      </c>
      <c r="AW60" s="286" t="str">
        <f t="shared" si="9"/>
        <v xml:space="preserve"> </v>
      </c>
      <c r="AX60" s="99" t="str">
        <f t="shared" si="10"/>
        <v xml:space="preserve"> </v>
      </c>
      <c r="AY60" s="291" t="str">
        <f t="shared" si="11"/>
        <v xml:space="preserve"> </v>
      </c>
      <c r="AZ60" s="286">
        <f t="shared" si="17"/>
        <v>0</v>
      </c>
      <c r="BA60" s="99">
        <f t="shared" si="12"/>
        <v>0</v>
      </c>
      <c r="BB60" s="291">
        <f t="shared" si="13"/>
        <v>0</v>
      </c>
      <c r="BC60" s="294">
        <f t="shared" si="14"/>
        <v>0</v>
      </c>
      <c r="BD60" s="7">
        <f t="shared" si="15"/>
        <v>0</v>
      </c>
      <c r="BE60" s="218">
        <f t="shared" si="16"/>
        <v>25.0000006</v>
      </c>
      <c r="BF60" s="99">
        <f>IF(AP60="","",SMALL(BE$9:BE$62,ROWS(AZ$9:AZ60)))</f>
        <v>25.0000006</v>
      </c>
      <c r="BG60" s="88"/>
      <c r="BH60" s="95" t="str">
        <f>IF(OR(AP60="",AZ60=""),"",INDEX($AP$9:$AP$63,MATCH(BF60,$BE$9:BE$62,0)))</f>
        <v>C16</v>
      </c>
      <c r="BI60" s="294">
        <f t="shared" si="18"/>
        <v>0</v>
      </c>
      <c r="BJ60" s="7">
        <f t="shared" si="19"/>
        <v>0</v>
      </c>
      <c r="BK60" s="7">
        <f t="shared" si="20"/>
        <v>0</v>
      </c>
      <c r="BL60" s="280">
        <f>IF(BF60="","",IF(AND(BI59=BI60,BJ59=BJ60,BK59=BK60),BL59,$BL$9+51))</f>
        <v>25</v>
      </c>
      <c r="BM60" s="29"/>
      <c r="BN60" s="3"/>
    </row>
    <row r="61" spans="1:66" ht="15.75">
      <c r="A61" s="128"/>
      <c r="B61" s="29"/>
      <c r="C61" s="29"/>
      <c r="D61" s="128"/>
      <c r="E61" s="128"/>
      <c r="F61" s="128"/>
      <c r="G61" s="128"/>
      <c r="H61" s="23"/>
      <c r="I61" s="25"/>
      <c r="J61" s="128"/>
      <c r="K61" s="128"/>
      <c r="L61" s="128"/>
      <c r="P61" s="23"/>
      <c r="Q61" s="128"/>
      <c r="R61" s="29"/>
      <c r="S61" s="29"/>
      <c r="T61" s="29"/>
      <c r="U61" s="29"/>
      <c r="V61" s="23"/>
      <c r="W61" s="23"/>
      <c r="X61" s="23"/>
      <c r="Y61" s="447"/>
      <c r="Z61" s="14">
        <f>+Q22</f>
        <v>0</v>
      </c>
      <c r="AA61" s="233">
        <f>IF(ISTEXT(Z61),AA59,0)</f>
        <v>0</v>
      </c>
      <c r="AB61" s="67">
        <f>IF(ISTEXT(Z61),AB59,0)</f>
        <v>0</v>
      </c>
      <c r="AC61" s="72">
        <f>IF(ISTEXT(Z61),AC59,0)</f>
        <v>0</v>
      </c>
      <c r="AD61" s="24"/>
      <c r="AE61" s="14">
        <f>+T22</f>
        <v>0</v>
      </c>
      <c r="AF61" s="233">
        <f>IF(ISTEXT(AE61),AF59,0)</f>
        <v>0</v>
      </c>
      <c r="AG61" s="64">
        <f>IF(ISTEXT(AE61),AG59,0)</f>
        <v>0</v>
      </c>
      <c r="AH61" s="72">
        <f>IF(ISTEXT(AE61),AH59,0)</f>
        <v>0</v>
      </c>
      <c r="AI61" s="24"/>
      <c r="AJ61" s="14">
        <f>+W22</f>
        <v>0</v>
      </c>
      <c r="AK61" s="233">
        <f>IF(ISTEXT(AJ61),AK59,0)</f>
        <v>0</v>
      </c>
      <c r="AL61" s="64">
        <f>IF(ISTEXT(AJ61),AL59,0)</f>
        <v>0</v>
      </c>
      <c r="AM61" s="72">
        <f>IF(ISTEXT(AJ61),AM59,0)</f>
        <v>0</v>
      </c>
      <c r="AN61" s="23"/>
      <c r="AO61" s="54">
        <v>53</v>
      </c>
      <c r="AP61" s="323" t="str">
        <f>+Inscrits!F19</f>
        <v>C17</v>
      </c>
      <c r="AQ61" s="286" t="str">
        <f t="shared" si="3"/>
        <v xml:space="preserve"> </v>
      </c>
      <c r="AR61" s="99" t="str">
        <f t="shared" si="4"/>
        <v xml:space="preserve"> </v>
      </c>
      <c r="AS61" s="219" t="str">
        <f t="shared" si="5"/>
        <v xml:space="preserve"> </v>
      </c>
      <c r="AT61" s="328" t="str">
        <f t="shared" si="6"/>
        <v xml:space="preserve"> </v>
      </c>
      <c r="AU61" s="329" t="str">
        <f t="shared" si="7"/>
        <v xml:space="preserve"> </v>
      </c>
      <c r="AV61" s="330" t="str">
        <f t="shared" si="8"/>
        <v xml:space="preserve"> </v>
      </c>
      <c r="AW61" s="286" t="str">
        <f t="shared" si="9"/>
        <v xml:space="preserve"> </v>
      </c>
      <c r="AX61" s="99" t="str">
        <f t="shared" si="10"/>
        <v xml:space="preserve"> </v>
      </c>
      <c r="AY61" s="291" t="str">
        <f t="shared" si="11"/>
        <v xml:space="preserve"> </v>
      </c>
      <c r="AZ61" s="286">
        <f t="shared" si="17"/>
        <v>0</v>
      </c>
      <c r="BA61" s="99">
        <f t="shared" si="12"/>
        <v>0</v>
      </c>
      <c r="BB61" s="291">
        <f t="shared" si="13"/>
        <v>0</v>
      </c>
      <c r="BC61" s="294">
        <f t="shared" si="14"/>
        <v>0</v>
      </c>
      <c r="BD61" s="7">
        <f t="shared" si="15"/>
        <v>0</v>
      </c>
      <c r="BE61" s="218">
        <f t="shared" si="16"/>
        <v>25.000000610000001</v>
      </c>
      <c r="BF61" s="99">
        <f>IF(AP61="","",SMALL(BE$9:BE$62,ROWS(AZ$9:AZ61)))</f>
        <v>25.000000610000001</v>
      </c>
      <c r="BG61" s="88"/>
      <c r="BH61" s="95" t="str">
        <f>IF(OR(AP61="",AZ61=""),"",INDEX($AP$9:$AP$63,MATCH(BF61,$BE$9:BE$62,0)))</f>
        <v>C17</v>
      </c>
      <c r="BI61" s="294">
        <f t="shared" si="18"/>
        <v>0</v>
      </c>
      <c r="BJ61" s="7">
        <f t="shared" si="19"/>
        <v>0</v>
      </c>
      <c r="BK61" s="7">
        <f t="shared" si="20"/>
        <v>0</v>
      </c>
      <c r="BL61" s="280">
        <f>IF(BF61="","",IF(AND(BI60=BI61,BJ60=BJ61,BK60=BK61),BL60,$BL$9+52))</f>
        <v>25</v>
      </c>
      <c r="BM61" s="29"/>
      <c r="BN61" s="265"/>
    </row>
    <row r="62" spans="1:66" ht="16.5" thickBot="1">
      <c r="A62" s="128"/>
      <c r="B62" s="29"/>
      <c r="C62" s="29"/>
      <c r="D62" s="128"/>
      <c r="E62" s="128"/>
      <c r="F62" s="128"/>
      <c r="G62" s="128"/>
      <c r="H62" s="23"/>
      <c r="I62" s="25"/>
      <c r="J62" s="128"/>
      <c r="K62" s="128"/>
      <c r="L62" s="128"/>
      <c r="P62" s="23"/>
      <c r="Q62" s="128"/>
      <c r="R62" s="29"/>
      <c r="S62" s="29"/>
      <c r="T62" s="29"/>
      <c r="U62" s="29"/>
      <c r="V62" s="23"/>
      <c r="W62" s="23"/>
      <c r="X62" s="23"/>
      <c r="Y62" s="447"/>
      <c r="Z62" s="32"/>
      <c r="AA62" s="230" t="s">
        <v>5</v>
      </c>
      <c r="AB62" s="21"/>
      <c r="AC62" s="22"/>
      <c r="AD62" s="25"/>
      <c r="AE62" s="32"/>
      <c r="AF62" s="230" t="s">
        <v>5</v>
      </c>
      <c r="AG62" s="21"/>
      <c r="AH62" s="22"/>
      <c r="AI62" s="25"/>
      <c r="AJ62" s="32"/>
      <c r="AK62" s="230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 t="str">
        <f t="shared" si="3"/>
        <v xml:space="preserve"> </v>
      </c>
      <c r="AR62" s="224" t="str">
        <f t="shared" si="4"/>
        <v xml:space="preserve"> </v>
      </c>
      <c r="AS62" s="225" t="str">
        <f t="shared" si="5"/>
        <v xml:space="preserve"> </v>
      </c>
      <c r="AT62" s="348" t="str">
        <f t="shared" si="6"/>
        <v xml:space="preserve"> </v>
      </c>
      <c r="AU62" s="349" t="str">
        <f t="shared" si="7"/>
        <v xml:space="preserve"> </v>
      </c>
      <c r="AV62" s="350" t="str">
        <f t="shared" si="8"/>
        <v xml:space="preserve"> </v>
      </c>
      <c r="AW62" s="287" t="str">
        <f t="shared" si="9"/>
        <v xml:space="preserve"> </v>
      </c>
      <c r="AX62" s="224" t="str">
        <f t="shared" si="10"/>
        <v xml:space="preserve"> </v>
      </c>
      <c r="AY62" s="292" t="str">
        <f t="shared" si="11"/>
        <v xml:space="preserve"> </v>
      </c>
      <c r="AZ62" s="287">
        <f t="shared" si="17"/>
        <v>0</v>
      </c>
      <c r="BA62" s="224">
        <f t="shared" si="12"/>
        <v>0</v>
      </c>
      <c r="BB62" s="292">
        <f t="shared" si="13"/>
        <v>0</v>
      </c>
      <c r="BC62" s="295">
        <f t="shared" si="14"/>
        <v>0</v>
      </c>
      <c r="BD62" s="282">
        <f t="shared" si="15"/>
        <v>0</v>
      </c>
      <c r="BE62" s="218">
        <f t="shared" si="16"/>
        <v>25.000000620000002</v>
      </c>
      <c r="BF62" s="99">
        <f>IF(AP62="","",SMALL(BE$9:BE$62,ROWS(AZ$9:AZ62)))</f>
        <v>25.000000620000002</v>
      </c>
      <c r="BG62" s="88"/>
      <c r="BH62" s="368" t="str">
        <f>IF(OR(AP62="",AZ62=""),"",INDEX($AP$9:$AP$63,MATCH(BF62,$BE$9:BE$62,0)))</f>
        <v>C18</v>
      </c>
      <c r="BI62" s="295">
        <f t="shared" si="18"/>
        <v>0</v>
      </c>
      <c r="BJ62" s="282">
        <f t="shared" si="19"/>
        <v>0</v>
      </c>
      <c r="BK62" s="282">
        <f t="shared" si="20"/>
        <v>0</v>
      </c>
      <c r="BL62" s="280">
        <f>IF(BF62="","",IF(AND(BI61=BI62,BJ61=BJ62,BK61=BK62),BL61,$BL$9+53))</f>
        <v>25</v>
      </c>
      <c r="BM62" s="29"/>
      <c r="BN62" s="265"/>
    </row>
    <row r="63" spans="1:66" ht="15.75">
      <c r="A63" s="128"/>
      <c r="B63" s="29"/>
      <c r="C63" s="29"/>
      <c r="D63" s="128"/>
      <c r="E63" s="128"/>
      <c r="F63" s="128"/>
      <c r="G63" s="128"/>
      <c r="H63" s="23"/>
      <c r="I63" s="25"/>
      <c r="J63" s="128"/>
      <c r="K63" s="128"/>
      <c r="L63" s="128"/>
      <c r="P63" s="23"/>
      <c r="Q63" s="128"/>
      <c r="R63" s="29"/>
      <c r="S63" s="29"/>
      <c r="T63" s="29"/>
      <c r="U63" s="29"/>
      <c r="V63" s="23"/>
      <c r="W63" s="23"/>
      <c r="X63" s="23"/>
      <c r="Y63" s="447"/>
      <c r="Z63" s="14">
        <f>+O23</f>
        <v>0</v>
      </c>
      <c r="AA63" s="35">
        <v>0</v>
      </c>
      <c r="AB63" s="30">
        <f>IF(AA59+AA63=0,0,IF(AA59=AA63,2,IF(AA59&lt;AA63,3,1)))</f>
        <v>0</v>
      </c>
      <c r="AC63" s="15">
        <f>AA63-AA59</f>
        <v>0</v>
      </c>
      <c r="AD63" s="24"/>
      <c r="AE63" s="14">
        <f>+R23</f>
        <v>0</v>
      </c>
      <c r="AF63" s="127">
        <v>0</v>
      </c>
      <c r="AG63" s="30">
        <f>IF(AF59+AF63=0,0,IF(AF59=AF63,2,IF(AF59&lt;AF63,3,1)))</f>
        <v>0</v>
      </c>
      <c r="AH63" s="15">
        <f>AF63-AF59</f>
        <v>0</v>
      </c>
      <c r="AI63" s="24"/>
      <c r="AJ63" s="14">
        <f>+U23</f>
        <v>0</v>
      </c>
      <c r="AK63" s="37">
        <v>0</v>
      </c>
      <c r="AL63" s="30">
        <f>IF(AK59+AK63=0,0,IF(AK59=AK63,2,IF(AK59&lt;AK63,3,1)))</f>
        <v>0</v>
      </c>
      <c r="AM63" s="15">
        <f>AK63-AK59</f>
        <v>0</v>
      </c>
      <c r="AN63" s="23"/>
      <c r="AO63"/>
      <c r="AP63" s="8"/>
      <c r="AQ63" s="89">
        <f>SUM(IF(ISNA(AQ9:AQ62),0,AQ9:AQ62))</f>
        <v>36</v>
      </c>
      <c r="AR63" s="89">
        <f t="array" ref="AR63">SUM(IF(ISNA(AR9:AR62),0,AR9:AR62))</f>
        <v>0</v>
      </c>
      <c r="AS63" s="89"/>
      <c r="AT63" s="89">
        <f>SUM(IF(ISNA(AT9:AT62),0,AT9:AT62))</f>
        <v>36</v>
      </c>
      <c r="AU63" s="89">
        <f t="array" ref="AU63">SUM(IF(ISNA(AU9:AU62),0,AU9:AU62))</f>
        <v>0</v>
      </c>
      <c r="AV63" s="89"/>
      <c r="AW63" s="89">
        <f t="array" ref="AW63">SUM(IF(ISNA(AW9:AW62),0,AW9:AW62))</f>
        <v>36</v>
      </c>
      <c r="AX63" s="89">
        <f t="array" ref="AX63">SUM(IF(ISNA(AX9:AX62),0,AX9:AX62))</f>
        <v>0</v>
      </c>
      <c r="AY63" s="89"/>
      <c r="AZ63" s="39">
        <f t="array" ref="AZ63">SUM(AZ9:AZ62)</f>
        <v>108</v>
      </c>
      <c r="BA63" s="39">
        <f t="array" ref="BA63">SUM(BA9:BA62)</f>
        <v>0</v>
      </c>
      <c r="BB63" s="39"/>
      <c r="BC63" s="39"/>
      <c r="BD63" s="39"/>
      <c r="BE63" s="39"/>
      <c r="BF63" s="39"/>
      <c r="BH63" s="39"/>
      <c r="BI63" s="79"/>
      <c r="BJ63" s="39">
        <f t="array" ref="BJ63">SUM(BJ9:BJ62)</f>
        <v>0</v>
      </c>
      <c r="BK63" s="39"/>
      <c r="BL63" s="8"/>
      <c r="BM63" s="29"/>
    </row>
    <row r="64" spans="1:66" ht="16.5" thickBot="1">
      <c r="A64" s="128"/>
      <c r="B64" s="29"/>
      <c r="C64" s="29"/>
      <c r="D64" s="128"/>
      <c r="E64" s="128"/>
      <c r="F64" s="128"/>
      <c r="G64" s="128"/>
      <c r="H64" s="23"/>
      <c r="I64" s="25"/>
      <c r="J64" s="128"/>
      <c r="K64" s="128"/>
      <c r="L64" s="128"/>
      <c r="P64" s="23"/>
      <c r="Q64" s="128"/>
      <c r="R64" s="29"/>
      <c r="S64" s="29"/>
      <c r="T64" s="29"/>
      <c r="U64" s="29"/>
      <c r="V64" s="23"/>
      <c r="W64" s="23"/>
      <c r="X64" s="23"/>
      <c r="Y64" s="447"/>
      <c r="Z64" s="14">
        <f>+P23</f>
        <v>0</v>
      </c>
      <c r="AA64" s="17">
        <f>IF(ISTEXT(Z64),AA63,0)</f>
        <v>0</v>
      </c>
      <c r="AB64" s="18">
        <f>IF(ISTEXT(Z64),AB63,0)</f>
        <v>0</v>
      </c>
      <c r="AC64" s="19">
        <f>IF(ISTEXT(Z64),AC63,0)</f>
        <v>0</v>
      </c>
      <c r="AD64" s="9"/>
      <c r="AE64" s="14">
        <f>+S23</f>
        <v>0</v>
      </c>
      <c r="AF64" s="17">
        <f>IF(ISTEXT(AE64),AF63,0)</f>
        <v>0</v>
      </c>
      <c r="AG64" s="18">
        <f>IF(ISTEXT(AE64),AG63,0)</f>
        <v>0</v>
      </c>
      <c r="AH64" s="19">
        <f>IF(ISTEXT(AE64),AH63,0)</f>
        <v>0</v>
      </c>
      <c r="AI64" s="9"/>
      <c r="AJ64" s="14">
        <f>+V23</f>
        <v>0</v>
      </c>
      <c r="AK64" s="17">
        <f>IF(ISTEXT(AJ64),AK63,0)</f>
        <v>0</v>
      </c>
      <c r="AL64" s="18">
        <f>IF(ISTEXT(AJ64),AL63,0)</f>
        <v>0</v>
      </c>
      <c r="AM64" s="19">
        <f>IF(ISTEXT(AJ64),AM63,0)</f>
        <v>0</v>
      </c>
      <c r="AN64" s="23"/>
      <c r="AO64"/>
      <c r="AP64" s="8"/>
      <c r="AQ64" s="39"/>
      <c r="AR64" s="79" t="str">
        <f>IF(AR63=0,"OK","ERREUR")</f>
        <v>OK</v>
      </c>
      <c r="AS64" s="75"/>
      <c r="AT64" s="39"/>
      <c r="AU64" s="79" t="str">
        <f>IF(AU63=0,"OK","ERREUR")</f>
        <v>OK</v>
      </c>
      <c r="AV64" s="75"/>
      <c r="AW64" s="39"/>
      <c r="AX64" s="79" t="str">
        <f>IF(AX63=0,"OK","ERREUR")</f>
        <v>OK</v>
      </c>
      <c r="AY64" s="75"/>
      <c r="AZ64" s="8"/>
      <c r="BA64" s="79" t="str">
        <f>IF(BA63=0,"OK","ERREUR")</f>
        <v>OK</v>
      </c>
      <c r="BB64" s="75"/>
      <c r="BC64" s="9"/>
      <c r="BD64" s="9"/>
      <c r="BE64" s="9"/>
      <c r="BF64" s="39"/>
      <c r="BH64" s="39"/>
      <c r="BI64" s="79"/>
      <c r="BJ64" s="79" t="str">
        <f>IF(BJ63=0,"OK","ERREUR")</f>
        <v>OK</v>
      </c>
      <c r="BK64" s="75"/>
      <c r="BL64" s="8"/>
      <c r="BM64" s="29"/>
    </row>
    <row r="65" spans="1:65" ht="16.5" thickBot="1">
      <c r="A65" s="128"/>
      <c r="B65" s="29"/>
      <c r="C65" s="29"/>
      <c r="D65" s="128"/>
      <c r="E65" s="128"/>
      <c r="F65" s="128"/>
      <c r="G65" s="128"/>
      <c r="H65" s="23"/>
      <c r="I65" s="25"/>
      <c r="J65" s="128"/>
      <c r="K65" s="128"/>
      <c r="L65" s="128"/>
      <c r="P65" s="23"/>
      <c r="Q65" s="128"/>
      <c r="R65" s="29"/>
      <c r="S65" s="29"/>
      <c r="T65" s="29"/>
      <c r="U65" s="29"/>
      <c r="V65" s="23"/>
      <c r="W65" s="23"/>
      <c r="X65" s="23"/>
      <c r="Y65" s="448"/>
      <c r="Z65" s="16">
        <f>+Q23</f>
        <v>0</v>
      </c>
      <c r="AA65" s="17">
        <f>IF(ISTEXT(Z65),AA63,0)</f>
        <v>0</v>
      </c>
      <c r="AB65" s="18">
        <f>IF(ISTEXT(Z65),AB63,0)</f>
        <v>0</v>
      </c>
      <c r="AC65" s="19">
        <f>IF(ISTEXT(Z65),AC63,0)</f>
        <v>0</v>
      </c>
      <c r="AD65" s="9"/>
      <c r="AE65" s="16">
        <f>+T23</f>
        <v>0</v>
      </c>
      <c r="AF65" s="17">
        <f>IF(ISTEXT(AE65),AF63,0)</f>
        <v>0</v>
      </c>
      <c r="AG65" s="18">
        <f>IF(ISTEXT(AE65),AG63,0)</f>
        <v>0</v>
      </c>
      <c r="AH65" s="19">
        <f>IF(ISTEXT(AE65),AH63,0)</f>
        <v>0</v>
      </c>
      <c r="AI65" s="9"/>
      <c r="AJ65" s="16">
        <f>+W23</f>
        <v>0</v>
      </c>
      <c r="AK65" s="17">
        <f>IF(ISTEXT(AJ65),AK63,0)</f>
        <v>0</v>
      </c>
      <c r="AL65" s="18">
        <f>IF(ISTEXT(AJ65),AL63,0)</f>
        <v>0</v>
      </c>
      <c r="AM65" s="19">
        <f>IF(ISTEXT(AJ65),AM63,0)</f>
        <v>0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H65" s="39"/>
      <c r="BI65" s="79"/>
      <c r="BJ65" s="75"/>
      <c r="BK65" s="75"/>
      <c r="BL65" s="8"/>
      <c r="BM65" s="29"/>
    </row>
    <row r="66" spans="1:65" ht="16.5" thickBot="1">
      <c r="A66" s="128"/>
      <c r="B66" s="29"/>
      <c r="C66" s="29"/>
      <c r="D66" s="128"/>
      <c r="E66" s="128"/>
      <c r="F66" s="128"/>
      <c r="G66" s="128"/>
      <c r="H66" s="23"/>
      <c r="I66" s="25"/>
      <c r="J66" s="128"/>
      <c r="K66" s="128"/>
      <c r="L66" s="128"/>
      <c r="P66" s="23"/>
      <c r="Q66" s="128"/>
      <c r="R66" s="29"/>
      <c r="S66" s="29"/>
      <c r="T66" s="29"/>
      <c r="U66" s="29"/>
      <c r="V66" s="23"/>
      <c r="W66" s="23"/>
      <c r="X66" s="23"/>
      <c r="Y66" s="128"/>
      <c r="Z66" s="73"/>
      <c r="AA66" s="234"/>
      <c r="AB66" s="73"/>
      <c r="AC66" s="73"/>
      <c r="AD66" s="234"/>
      <c r="AE66" s="73"/>
      <c r="AF66" s="234"/>
      <c r="AG66" s="73"/>
      <c r="AH66" s="73"/>
      <c r="AI66" s="234"/>
      <c r="AJ66" s="73"/>
      <c r="AK66" s="234"/>
      <c r="AL66" s="73"/>
      <c r="AM66" s="73"/>
      <c r="AN66" s="23"/>
      <c r="AO66" s="128"/>
      <c r="AP66" s="23"/>
      <c r="AR66" s="119"/>
      <c r="AS66" s="119"/>
      <c r="AX66" s="119"/>
      <c r="AY66" s="119"/>
      <c r="AZ66" s="119"/>
      <c r="BA66" s="119"/>
      <c r="BB66" s="119"/>
      <c r="BC66" s="119"/>
      <c r="BD66" s="119"/>
      <c r="BE66" s="119"/>
      <c r="BF66" s="119"/>
      <c r="BH66" s="119"/>
      <c r="BI66" s="128"/>
      <c r="BJ66" s="128"/>
      <c r="BK66" s="128"/>
      <c r="BL66" s="23"/>
      <c r="BM66" s="29"/>
    </row>
    <row r="67" spans="1:65" ht="15.75">
      <c r="A67" s="128"/>
      <c r="B67" s="29"/>
      <c r="C67" s="29"/>
      <c r="D67" s="128"/>
      <c r="E67" s="128"/>
      <c r="F67" s="128"/>
      <c r="G67" s="128"/>
      <c r="H67" s="23"/>
      <c r="I67" s="25"/>
      <c r="J67" s="128"/>
      <c r="K67" s="128"/>
      <c r="L67" s="128"/>
      <c r="P67" s="23"/>
      <c r="Q67" s="128"/>
      <c r="R67" s="29"/>
      <c r="S67" s="29"/>
      <c r="T67" s="29"/>
      <c r="U67" s="29"/>
      <c r="V67" s="23"/>
      <c r="W67" s="23"/>
      <c r="X67" s="23"/>
      <c r="Y67" s="446">
        <v>8</v>
      </c>
      <c r="Z67" s="12">
        <f>+O24</f>
        <v>0</v>
      </c>
      <c r="AA67" s="33">
        <v>0</v>
      </c>
      <c r="AB67" s="48">
        <f>IF(AA67+AA71=0,0,IF(AA67=AA71,2,IF(AA67&gt;AA71,3,1)))</f>
        <v>0</v>
      </c>
      <c r="AC67" s="13">
        <f>AA67-AA71</f>
        <v>0</v>
      </c>
      <c r="AD67" s="24"/>
      <c r="AE67" s="12">
        <f>+R24</f>
        <v>0</v>
      </c>
      <c r="AF67" s="126">
        <v>0</v>
      </c>
      <c r="AG67" s="48">
        <f>IF(AF67+AF71=0,0,IF(AF67=AF71,2,IF(AF67&gt;AF71,3,1)))</f>
        <v>0</v>
      </c>
      <c r="AH67" s="13">
        <f>AF67-AF71</f>
        <v>0</v>
      </c>
      <c r="AI67" s="24"/>
      <c r="AJ67" s="12">
        <f>+U24</f>
        <v>0</v>
      </c>
      <c r="AK67" s="36">
        <v>0</v>
      </c>
      <c r="AL67" s="48">
        <f>IF(AK67+AK71=0,0,IF(AK67=AK71,2,IF(AK67&gt;AK71,3,1)))</f>
        <v>0</v>
      </c>
      <c r="AM67" s="13">
        <f>AK67-AK71</f>
        <v>0</v>
      </c>
      <c r="AN67" s="23"/>
      <c r="AO67" s="128"/>
      <c r="AP67" s="386" t="s">
        <v>28</v>
      </c>
      <c r="AQ67" s="383">
        <f>COUNTIF(AQ9:AQ56,1)</f>
        <v>9</v>
      </c>
      <c r="AR67" s="384"/>
      <c r="AS67" s="384"/>
      <c r="AT67" s="383">
        <f>COUNTIF(AT9:AT56,1)</f>
        <v>9</v>
      </c>
      <c r="AU67" s="383"/>
      <c r="AV67" s="383"/>
      <c r="AW67" s="383">
        <f>COUNTIF(AW9:AW56,1)</f>
        <v>9</v>
      </c>
      <c r="AX67" s="384"/>
      <c r="AY67" s="384"/>
      <c r="AZ67" s="383">
        <f>COUNTIF(AZ9:AZ62,3)</f>
        <v>5</v>
      </c>
      <c r="BC67" s="26">
        <f>COUNTIF(BC9:BC56,1)</f>
        <v>0</v>
      </c>
      <c r="BD67" s="26"/>
      <c r="BE67" s="26"/>
      <c r="BF67" s="26">
        <f>COUNTIF(BF9:BF56,1)</f>
        <v>0</v>
      </c>
      <c r="BH67" s="23"/>
      <c r="BI67" s="23"/>
      <c r="BJ67" s="23"/>
      <c r="BK67" s="23"/>
      <c r="BL67" s="23"/>
      <c r="BM67" s="29"/>
    </row>
    <row r="68" spans="1:65" ht="16.5" thickBot="1">
      <c r="A68" s="128"/>
      <c r="B68" s="29"/>
      <c r="C68" s="29"/>
      <c r="D68" s="128"/>
      <c r="E68" s="128"/>
      <c r="F68" s="128"/>
      <c r="G68" s="128"/>
      <c r="H68" s="23"/>
      <c r="I68" s="25"/>
      <c r="J68" s="128"/>
      <c r="K68" s="128"/>
      <c r="L68" s="128"/>
      <c r="P68" s="23"/>
      <c r="Q68" s="128"/>
      <c r="R68" s="29"/>
      <c r="S68" s="29"/>
      <c r="T68" s="29"/>
      <c r="U68" s="29"/>
      <c r="V68" s="23"/>
      <c r="W68" s="23"/>
      <c r="X68" s="23"/>
      <c r="Y68" s="447"/>
      <c r="Z68" s="14">
        <f>+P24</f>
        <v>0</v>
      </c>
      <c r="AA68" s="17">
        <f>IF(ISTEXT(Z68),AA67,0)</f>
        <v>0</v>
      </c>
      <c r="AB68" s="18">
        <f>IF(ISTEXT(Z68),AB67,0)</f>
        <v>0</v>
      </c>
      <c r="AC68" s="19">
        <f>IF(ISTEXT(Z68),AC67,0)</f>
        <v>0</v>
      </c>
      <c r="AD68" s="9"/>
      <c r="AE68" s="14">
        <f>+S24</f>
        <v>0</v>
      </c>
      <c r="AF68" s="17">
        <f>IF(ISTEXT(AE68),AF67,0)</f>
        <v>0</v>
      </c>
      <c r="AG68" s="59">
        <f>IF(ISTEXT(AE68),AG67,0)</f>
        <v>0</v>
      </c>
      <c r="AH68" s="19">
        <f>IF(ISTEXT(AE68),AH67,0)</f>
        <v>0</v>
      </c>
      <c r="AI68" s="9"/>
      <c r="AJ68" s="14">
        <f>+V24</f>
        <v>0</v>
      </c>
      <c r="AK68" s="17">
        <f>IF(ISTEXT(AJ68),AK67,0)</f>
        <v>0</v>
      </c>
      <c r="AL68" s="59">
        <f>IF(ISTEXT(AJ68),AL67,0)</f>
        <v>0</v>
      </c>
      <c r="AM68" s="19">
        <f>IF(ISTEXT(AJ68),AM67,0)</f>
        <v>0</v>
      </c>
      <c r="AN68" s="23"/>
      <c r="AO68" s="128"/>
      <c r="AP68" s="386" t="s">
        <v>44</v>
      </c>
      <c r="AQ68" s="383">
        <f>COUNTIF(AQ9:AQ56,2)</f>
        <v>0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3</v>
      </c>
      <c r="BC68" s="26">
        <f>COUNTIF(BC9:BC56,2)</f>
        <v>0</v>
      </c>
      <c r="BD68" s="235"/>
      <c r="BE68" s="235"/>
      <c r="BF68" s="26">
        <f>COUNTIF(BF9:BF56,2)</f>
        <v>0</v>
      </c>
      <c r="BH68" s="374" t="s">
        <v>31</v>
      </c>
      <c r="BI68" s="23"/>
      <c r="BJ68" s="23"/>
      <c r="BK68" s="23"/>
      <c r="BL68" s="23"/>
      <c r="BM68" s="29"/>
    </row>
    <row r="69" spans="1:65" ht="15.75">
      <c r="A69" s="128"/>
      <c r="B69" s="29"/>
      <c r="C69" s="29"/>
      <c r="D69" s="128"/>
      <c r="E69" s="128"/>
      <c r="F69" s="128"/>
      <c r="G69" s="128"/>
      <c r="H69" s="23"/>
      <c r="I69" s="25"/>
      <c r="J69" s="128"/>
      <c r="K69" s="128"/>
      <c r="L69" s="128"/>
      <c r="P69" s="23"/>
      <c r="Q69" s="128"/>
      <c r="R69" s="29"/>
      <c r="S69" s="29"/>
      <c r="T69" s="29"/>
      <c r="U69" s="29"/>
      <c r="V69" s="23"/>
      <c r="W69" s="23"/>
      <c r="X69" s="23"/>
      <c r="Y69" s="447"/>
      <c r="Z69" s="14">
        <f>+Q24</f>
        <v>0</v>
      </c>
      <c r="AA69" s="71">
        <f>IF(ISTEXT(Z69),AA67,0)</f>
        <v>0</v>
      </c>
      <c r="AB69" s="67">
        <f>IF(ISTEXT(Z69),AB67,0)</f>
        <v>0</v>
      </c>
      <c r="AC69" s="72">
        <f>IF(ISTEXT(Z69),AC67,0)</f>
        <v>0</v>
      </c>
      <c r="AD69" s="9"/>
      <c r="AE69" s="14">
        <f>+T24</f>
        <v>0</v>
      </c>
      <c r="AF69" s="71">
        <f>IF(ISTEXT(AE69),AF67,0)</f>
        <v>0</v>
      </c>
      <c r="AG69" s="64">
        <f>IF(ISTEXT(AE69),AG67,0)</f>
        <v>0</v>
      </c>
      <c r="AH69" s="72">
        <f>IF(ISTEXT(AE69),AH67,0)</f>
        <v>0</v>
      </c>
      <c r="AI69" s="9"/>
      <c r="AJ69" s="14">
        <f>+W24</f>
        <v>0</v>
      </c>
      <c r="AK69" s="71">
        <f>IF(ISTEXT(AJ69),AK67,0)</f>
        <v>0</v>
      </c>
      <c r="AL69" s="64">
        <f>IF(ISTEXT(AJ69),AL67,0)</f>
        <v>0</v>
      </c>
      <c r="AM69" s="72">
        <f>IF(ISTEXT(AJ69),AM67,0)</f>
        <v>0</v>
      </c>
      <c r="AN69" s="23"/>
      <c r="AO69" s="23"/>
      <c r="AP69" s="386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2</v>
      </c>
      <c r="BC69" s="26">
        <f>COUNTIF(BC9:BC56,3)</f>
        <v>0</v>
      </c>
      <c r="BD69" s="235"/>
      <c r="BE69" s="235"/>
      <c r="BF69" s="26">
        <f>COUNTIF(BF9:BF56,3)</f>
        <v>0</v>
      </c>
      <c r="BH69" s="23"/>
      <c r="BI69" s="23"/>
      <c r="BJ69" s="23"/>
      <c r="BK69" s="23"/>
      <c r="BL69" s="23"/>
      <c r="BM69" s="29"/>
    </row>
    <row r="70" spans="1:65" ht="15.75">
      <c r="A70" s="128"/>
      <c r="B70" s="29"/>
      <c r="C70" s="29"/>
      <c r="D70" s="128"/>
      <c r="E70" s="128"/>
      <c r="F70" s="128"/>
      <c r="G70" s="128"/>
      <c r="H70" s="23"/>
      <c r="I70" s="25"/>
      <c r="J70" s="128"/>
      <c r="K70" s="128"/>
      <c r="L70" s="128"/>
      <c r="P70" s="23"/>
      <c r="Q70" s="128"/>
      <c r="R70" s="29"/>
      <c r="S70" s="29"/>
      <c r="T70" s="29"/>
      <c r="U70" s="29"/>
      <c r="V70" s="23"/>
      <c r="W70" s="23"/>
      <c r="X70" s="23"/>
      <c r="Y70" s="447"/>
      <c r="Z70" s="32"/>
      <c r="AA70" s="230" t="s">
        <v>5</v>
      </c>
      <c r="AB70" s="21"/>
      <c r="AC70" s="22"/>
      <c r="AD70" s="25"/>
      <c r="AE70" s="32"/>
      <c r="AF70" s="230" t="s">
        <v>5</v>
      </c>
      <c r="AG70" s="21"/>
      <c r="AH70" s="22"/>
      <c r="AI70" s="25"/>
      <c r="AJ70" s="32"/>
      <c r="AK70" s="230" t="s">
        <v>5</v>
      </c>
      <c r="AL70" s="21"/>
      <c r="AM70" s="22"/>
      <c r="AN70" s="23"/>
      <c r="AO70" s="23"/>
      <c r="AP70" s="386" t="s">
        <v>45</v>
      </c>
      <c r="AQ70" s="383">
        <f>COUNTIF(AQ9:AQ56,3)</f>
        <v>9</v>
      </c>
      <c r="AR70" s="384"/>
      <c r="AS70" s="384"/>
      <c r="AT70" s="383">
        <f>COUNTIF(AT9:AT56,3)</f>
        <v>9</v>
      </c>
      <c r="AU70" s="384"/>
      <c r="AV70" s="384"/>
      <c r="AW70" s="383">
        <f>COUNTIF(AW9:AW56,3)</f>
        <v>9</v>
      </c>
      <c r="AX70" s="384"/>
      <c r="AY70" s="384"/>
      <c r="AZ70" s="383">
        <f>COUNTIF(AZ9:AZ62,7)</f>
        <v>5</v>
      </c>
      <c r="BC70" s="26">
        <f>COUNTIF(BC9:BC56,0)</f>
        <v>38</v>
      </c>
      <c r="BD70" s="235"/>
      <c r="BE70" s="235"/>
      <c r="BF70" s="26">
        <f>COUNTIF(BF9:BF56,0)</f>
        <v>0</v>
      </c>
      <c r="BG70" s="23"/>
      <c r="BH70" s="23"/>
      <c r="BI70" s="23"/>
      <c r="BJ70" s="23"/>
      <c r="BK70" s="23"/>
      <c r="BL70" s="23"/>
      <c r="BM70" s="29"/>
    </row>
    <row r="71" spans="1:65" ht="15.75">
      <c r="A71" s="128"/>
      <c r="B71" s="29"/>
      <c r="C71" s="29"/>
      <c r="D71" s="128"/>
      <c r="E71" s="128"/>
      <c r="F71" s="128"/>
      <c r="G71" s="128"/>
      <c r="H71" s="23"/>
      <c r="I71" s="25"/>
      <c r="J71" s="128"/>
      <c r="K71" s="128"/>
      <c r="L71" s="128"/>
      <c r="P71" s="23"/>
      <c r="Q71" s="128"/>
      <c r="R71" s="29"/>
      <c r="S71" s="29"/>
      <c r="T71" s="29"/>
      <c r="U71" s="29"/>
      <c r="V71" s="23"/>
      <c r="W71" s="23"/>
      <c r="X71" s="23"/>
      <c r="Y71" s="447"/>
      <c r="Z71" s="14">
        <f>+O25</f>
        <v>0</v>
      </c>
      <c r="AA71" s="35">
        <v>0</v>
      </c>
      <c r="AB71" s="30">
        <f>IF(AA67+AA71=0,0,IF(AA67=AA71,2,IF(AA67&lt;AA71,3,1)))</f>
        <v>0</v>
      </c>
      <c r="AC71" s="15">
        <f>AA71-AA67</f>
        <v>0</v>
      </c>
      <c r="AD71" s="24"/>
      <c r="AE71" s="14">
        <f>+R25</f>
        <v>0</v>
      </c>
      <c r="AF71" s="127">
        <v>0</v>
      </c>
      <c r="AG71" s="30">
        <f>IF(AF67+AF71=0,0,IF(AF67=AF71,2,IF(AF67&lt;AF71,3,1)))</f>
        <v>0</v>
      </c>
      <c r="AH71" s="15">
        <f>AF71-AF67</f>
        <v>0</v>
      </c>
      <c r="AI71" s="24"/>
      <c r="AJ71" s="14">
        <f>+U25</f>
        <v>0</v>
      </c>
      <c r="AK71" s="37">
        <v>0</v>
      </c>
      <c r="AL71" s="30">
        <f>IF(AK67+AK71=0,0,IF(AK67=AK71,2,IF(AK67&lt;AK71,3,1)))</f>
        <v>0</v>
      </c>
      <c r="AM71" s="15">
        <f>AK71-AK67</f>
        <v>0</v>
      </c>
      <c r="AN71" s="23"/>
      <c r="AO71" s="23"/>
      <c r="AP71" s="386" t="s">
        <v>46</v>
      </c>
      <c r="AQ71" s="383">
        <f>COUNTIF(AQ9:AQ56,0)</f>
        <v>12</v>
      </c>
      <c r="AR71" s="384"/>
      <c r="AS71" s="384"/>
      <c r="AT71" s="383">
        <f>COUNTIF(AT9:AT56,0)</f>
        <v>12</v>
      </c>
      <c r="AU71" s="384"/>
      <c r="AV71" s="384"/>
      <c r="AW71" s="383">
        <f>COUNTIF(AW9:AW56,0)</f>
        <v>12</v>
      </c>
      <c r="AX71" s="384"/>
      <c r="AY71" s="384"/>
      <c r="AZ71" s="383">
        <f>COUNTIF(AZ10:AZ63,9)</f>
        <v>1</v>
      </c>
      <c r="BC71" s="26">
        <f>COUNTIF(BC9:BC63,#N/A)</f>
        <v>0</v>
      </c>
      <c r="BD71" s="235"/>
      <c r="BE71" s="235"/>
      <c r="BF71" s="26">
        <f>COUNTIF(BF9:BF63,#N/A)</f>
        <v>0</v>
      </c>
      <c r="BG71" s="23"/>
      <c r="BH71" s="23"/>
      <c r="BI71" s="23"/>
      <c r="BJ71" s="23"/>
      <c r="BK71" s="23"/>
      <c r="BL71" s="23"/>
      <c r="BM71" s="29"/>
    </row>
    <row r="72" spans="1:65" ht="16.5" thickBot="1">
      <c r="A72" s="128"/>
      <c r="B72" s="29"/>
      <c r="C72" s="29"/>
      <c r="D72" s="128"/>
      <c r="E72" s="128"/>
      <c r="F72" s="128"/>
      <c r="G72" s="128"/>
      <c r="H72" s="23"/>
      <c r="I72" s="25"/>
      <c r="J72" s="128"/>
      <c r="K72" s="128"/>
      <c r="L72" s="128"/>
      <c r="P72" s="23"/>
      <c r="Q72" s="128"/>
      <c r="R72" s="29"/>
      <c r="S72" s="29"/>
      <c r="T72" s="29"/>
      <c r="U72" s="29"/>
      <c r="V72" s="23"/>
      <c r="W72" s="23"/>
      <c r="X72" s="23"/>
      <c r="Y72" s="447"/>
      <c r="Z72" s="14">
        <f>+P25</f>
        <v>0</v>
      </c>
      <c r="AA72" s="17">
        <f>IF(ISTEXT(Z72),AA71,0)</f>
        <v>0</v>
      </c>
      <c r="AB72" s="18">
        <f>IF(ISTEXT(Z72),AB71,0)</f>
        <v>0</v>
      </c>
      <c r="AC72" s="19">
        <f>IF(ISTEXT(Z72),AC71,0)</f>
        <v>0</v>
      </c>
      <c r="AD72" s="9"/>
      <c r="AE72" s="14">
        <f>+S25</f>
        <v>0</v>
      </c>
      <c r="AF72" s="17">
        <f>IF(ISTEXT(AE72),AF71,0)</f>
        <v>0</v>
      </c>
      <c r="AG72" s="18">
        <f>IF(ISTEXT(AE72),AG71,0)</f>
        <v>0</v>
      </c>
      <c r="AH72" s="19">
        <f>IF(ISTEXT(AE72),AH71,0)</f>
        <v>0</v>
      </c>
      <c r="AI72" s="9"/>
      <c r="AJ72" s="14">
        <f>+V25</f>
        <v>0</v>
      </c>
      <c r="AK72" s="17">
        <f>IF(ISTEXT(AJ72),AK71,0)</f>
        <v>0</v>
      </c>
      <c r="AL72" s="18">
        <f>IF(ISTEXT(AJ72),AL71,0)</f>
        <v>0</v>
      </c>
      <c r="AM72" s="19">
        <f>IF(ISTEXT(AJ72),AM71,0)</f>
        <v>0</v>
      </c>
      <c r="AN72" s="23"/>
      <c r="AO72" s="23"/>
      <c r="AP72" s="386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C72" s="26">
        <f>SUM(BC67:BC71)</f>
        <v>38</v>
      </c>
      <c r="BD72" s="26"/>
      <c r="BE72" s="26"/>
      <c r="BF72" s="26">
        <f>SUM(BF67:BF71)</f>
        <v>0</v>
      </c>
      <c r="BG72" s="23"/>
      <c r="BH72" s="23"/>
      <c r="BI72" s="23"/>
      <c r="BJ72" s="23"/>
      <c r="BK72" s="23"/>
      <c r="BL72" s="23"/>
      <c r="BM72" s="29"/>
    </row>
    <row r="73" spans="1:65" ht="16.5" thickBot="1">
      <c r="A73" s="128"/>
      <c r="B73" s="29"/>
      <c r="C73" s="29"/>
      <c r="D73" s="128"/>
      <c r="E73" s="128"/>
      <c r="F73" s="128"/>
      <c r="G73" s="128"/>
      <c r="H73" s="23"/>
      <c r="I73" s="25"/>
      <c r="J73" s="128"/>
      <c r="K73" s="128"/>
      <c r="L73" s="128"/>
      <c r="P73" s="23"/>
      <c r="Q73" s="128"/>
      <c r="R73" s="29"/>
      <c r="S73" s="29"/>
      <c r="T73" s="29"/>
      <c r="U73" s="29"/>
      <c r="V73" s="23"/>
      <c r="W73" s="23"/>
      <c r="X73" s="23"/>
      <c r="Y73" s="448"/>
      <c r="Z73" s="16">
        <f>+Q25</f>
        <v>0</v>
      </c>
      <c r="AA73" s="17">
        <f>IF(ISTEXT(Z73),AA71,0)</f>
        <v>0</v>
      </c>
      <c r="AB73" s="18">
        <f>IF(ISTEXT(Z73),AB71,0)</f>
        <v>0</v>
      </c>
      <c r="AC73" s="19">
        <f>IF(ISTEXT(Z73),AC71,0)</f>
        <v>0</v>
      </c>
      <c r="AD73" s="9"/>
      <c r="AE73" s="16">
        <f>+T25</f>
        <v>0</v>
      </c>
      <c r="AF73" s="17">
        <f>IF(ISTEXT(AE73),AF71,0)</f>
        <v>0</v>
      </c>
      <c r="AG73" s="18">
        <f>IF(ISTEXT(AE73),AG71,0)</f>
        <v>0</v>
      </c>
      <c r="AH73" s="19">
        <f>IF(ISTEXT(AE73),AH71,0)</f>
        <v>0</v>
      </c>
      <c r="AI73" s="9"/>
      <c r="AJ73" s="16">
        <f>+W25</f>
        <v>0</v>
      </c>
      <c r="AK73" s="17">
        <f>IF(ISTEXT(AJ73),AK71,0)</f>
        <v>0</v>
      </c>
      <c r="AL73" s="18">
        <f>IF(ISTEXT(AJ73),AL71,0)</f>
        <v>0</v>
      </c>
      <c r="AM73" s="19">
        <f>IF(ISTEXT(AJ73),AM71,0)</f>
        <v>0</v>
      </c>
      <c r="AN73" s="23"/>
      <c r="AO73" s="23"/>
      <c r="AP73" s="386"/>
      <c r="AQ73" s="383">
        <f>SUM(AQ67:AQ72)</f>
        <v>30</v>
      </c>
      <c r="AR73" s="383"/>
      <c r="AS73" s="383"/>
      <c r="AT73" s="383">
        <f>SUM(AT67:AT72)</f>
        <v>30</v>
      </c>
      <c r="AU73" s="383"/>
      <c r="AV73" s="383"/>
      <c r="AW73" s="383">
        <f>SUM(AW67:AW72)</f>
        <v>30</v>
      </c>
      <c r="AX73" s="384"/>
      <c r="AY73" s="384"/>
      <c r="AZ73" s="383">
        <f>SUM(AZ67:AZ72)</f>
        <v>16</v>
      </c>
      <c r="BA73" s="23"/>
      <c r="BB73" s="23"/>
      <c r="BC73" s="23"/>
      <c r="BD73" s="23"/>
      <c r="BE73" s="23"/>
      <c r="BF73" s="23"/>
      <c r="BG73" s="23"/>
      <c r="BH73" s="23"/>
      <c r="BI73" s="23"/>
      <c r="BJ73" s="29"/>
      <c r="BK73" s="29"/>
      <c r="BL73" s="29"/>
      <c r="BM73" s="29"/>
    </row>
    <row r="74" spans="1:65" ht="16.5" thickBot="1">
      <c r="A74" s="128"/>
      <c r="B74" s="29"/>
      <c r="C74" s="29"/>
      <c r="D74" s="128"/>
      <c r="E74" s="128"/>
      <c r="F74" s="128"/>
      <c r="G74" s="128"/>
      <c r="H74" s="23"/>
      <c r="I74" s="25"/>
      <c r="J74" s="128"/>
      <c r="K74" s="128"/>
      <c r="L74" s="128"/>
      <c r="P74" s="23"/>
      <c r="Q74" s="128"/>
      <c r="R74" s="29"/>
      <c r="S74" s="29"/>
      <c r="T74" s="29"/>
      <c r="U74" s="29"/>
      <c r="V74" s="23"/>
      <c r="W74" s="23"/>
      <c r="X74" s="23"/>
      <c r="Y74" s="128"/>
      <c r="Z74" s="70"/>
      <c r="AA74" s="231"/>
      <c r="AB74" s="70"/>
      <c r="AC74" s="70"/>
      <c r="AD74" s="231"/>
      <c r="AE74" s="70"/>
      <c r="AF74" s="231"/>
      <c r="AG74" s="70"/>
      <c r="AH74" s="70"/>
      <c r="AI74" s="231"/>
      <c r="AJ74" s="70"/>
      <c r="AK74" s="231"/>
      <c r="AL74" s="70"/>
      <c r="AM74" s="70"/>
      <c r="AN74" s="23"/>
      <c r="AO74" s="23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23"/>
      <c r="BB74" s="23"/>
      <c r="BC74" s="23"/>
      <c r="BD74" s="23"/>
      <c r="BE74" s="23"/>
      <c r="BF74" s="23"/>
      <c r="BG74" s="23"/>
      <c r="BH74" s="23"/>
      <c r="BI74" s="23"/>
      <c r="BJ74" s="29"/>
      <c r="BK74" s="29"/>
      <c r="BL74" s="29"/>
      <c r="BM74" s="29"/>
    </row>
    <row r="75" spans="1:65" ht="15.75">
      <c r="A75" s="128"/>
      <c r="B75" s="29"/>
      <c r="C75" s="29"/>
      <c r="D75" s="128"/>
      <c r="E75" s="128"/>
      <c r="F75" s="128"/>
      <c r="G75" s="128"/>
      <c r="H75" s="23"/>
      <c r="I75" s="25"/>
      <c r="J75" s="128"/>
      <c r="K75" s="128"/>
      <c r="L75" s="128"/>
      <c r="P75" s="23"/>
      <c r="Q75" s="128"/>
      <c r="R75" s="29"/>
      <c r="S75" s="29"/>
      <c r="T75" s="29"/>
      <c r="U75" s="29"/>
      <c r="V75" s="23"/>
      <c r="W75" s="23"/>
      <c r="X75" s="23"/>
      <c r="Y75" s="446">
        <v>9</v>
      </c>
      <c r="Z75" s="12">
        <f>+O26</f>
        <v>0</v>
      </c>
      <c r="AA75" s="33">
        <v>0</v>
      </c>
      <c r="AB75" s="48">
        <f>IF(AA75+AA79=0,0,IF(AA75=AA79,2,IF(AA75&gt;AA79,3,1)))</f>
        <v>0</v>
      </c>
      <c r="AC75" s="13">
        <f>AA75-AA79</f>
        <v>0</v>
      </c>
      <c r="AD75" s="24"/>
      <c r="AE75" s="12">
        <f>+R26</f>
        <v>0</v>
      </c>
      <c r="AF75" s="126">
        <v>0</v>
      </c>
      <c r="AG75" s="48">
        <f>IF(AF75+AF79=0,0,IF(AF75=AF79,2,IF(AF75&gt;AF79,3,1)))</f>
        <v>0</v>
      </c>
      <c r="AH75" s="13">
        <f>AF75-AF79</f>
        <v>0</v>
      </c>
      <c r="AI75" s="24"/>
      <c r="AJ75" s="12">
        <f>+U26</f>
        <v>0</v>
      </c>
      <c r="AK75" s="36">
        <v>0</v>
      </c>
      <c r="AL75" s="48">
        <f>IF(AK75+AK79=0,0,IF(AK75=AK79,2,IF(AK75&gt;AK79,3,1)))</f>
        <v>0</v>
      </c>
      <c r="AM75" s="13">
        <f>AK75-AK79</f>
        <v>0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9"/>
      <c r="BK75" s="29"/>
      <c r="BL75" s="29"/>
      <c r="BM75" s="29"/>
    </row>
    <row r="76" spans="1:65" ht="16.5" thickBot="1">
      <c r="A76" s="128"/>
      <c r="B76" s="29"/>
      <c r="C76" s="29"/>
      <c r="D76" s="128"/>
      <c r="E76" s="128"/>
      <c r="F76" s="128"/>
      <c r="G76" s="128"/>
      <c r="H76" s="23"/>
      <c r="I76" s="25"/>
      <c r="J76" s="128"/>
      <c r="K76" s="128"/>
      <c r="L76" s="128"/>
      <c r="P76" s="23"/>
      <c r="Q76" s="128"/>
      <c r="R76" s="29"/>
      <c r="S76" s="29"/>
      <c r="T76" s="29"/>
      <c r="U76" s="29"/>
      <c r="V76" s="23"/>
      <c r="W76" s="23"/>
      <c r="X76" s="23"/>
      <c r="Y76" s="447"/>
      <c r="Z76" s="14">
        <f>+P26</f>
        <v>0</v>
      </c>
      <c r="AA76" s="17">
        <f>IF(ISTEXT(Z76),AA75,0)</f>
        <v>0</v>
      </c>
      <c r="AB76" s="18">
        <f>IF(ISTEXT(Z76),AB75,0)</f>
        <v>0</v>
      </c>
      <c r="AC76" s="19">
        <f>IF(ISTEXT(Z76),AC75,0)</f>
        <v>0</v>
      </c>
      <c r="AD76" s="9"/>
      <c r="AE76" s="14">
        <f>+S26</f>
        <v>0</v>
      </c>
      <c r="AF76" s="17">
        <f>IF(ISTEXT(AE76),AF75,0)</f>
        <v>0</v>
      </c>
      <c r="AG76" s="59">
        <f>IF(ISTEXT(AE76),AG75,0)</f>
        <v>0</v>
      </c>
      <c r="AH76" s="19">
        <f>IF(ISTEXT(AE76),AH75,0)</f>
        <v>0</v>
      </c>
      <c r="AI76" s="9"/>
      <c r="AJ76" s="14">
        <f>+V26</f>
        <v>0</v>
      </c>
      <c r="AK76" s="17">
        <f>IF(ISTEXT(AJ76),AK75,0)</f>
        <v>0</v>
      </c>
      <c r="AL76" s="59">
        <f>IF(ISTEXT(AJ76),AL75,0)</f>
        <v>0</v>
      </c>
      <c r="AM76" s="19">
        <f>IF(ISTEXT(AJ76),AM75,0)</f>
        <v>0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9"/>
      <c r="BK76" s="29"/>
      <c r="BL76" s="29"/>
      <c r="BM76" s="29"/>
    </row>
    <row r="77" spans="1:65" ht="15.75">
      <c r="A77" s="128"/>
      <c r="B77" s="29"/>
      <c r="C77" s="29"/>
      <c r="D77" s="128"/>
      <c r="E77" s="128"/>
      <c r="F77" s="128"/>
      <c r="G77" s="128"/>
      <c r="H77" s="23"/>
      <c r="I77" s="25"/>
      <c r="J77" s="128"/>
      <c r="K77" s="128"/>
      <c r="L77" s="128"/>
      <c r="P77" s="23"/>
      <c r="Q77" s="128"/>
      <c r="R77" s="29"/>
      <c r="S77" s="29"/>
      <c r="T77" s="29"/>
      <c r="U77" s="29"/>
      <c r="V77" s="23"/>
      <c r="W77" s="23"/>
      <c r="X77" s="23"/>
      <c r="Y77" s="447"/>
      <c r="Z77" s="14">
        <f>+Q26</f>
        <v>0</v>
      </c>
      <c r="AA77" s="71">
        <f>IF(ISTEXT(Z77),AA75,0)</f>
        <v>0</v>
      </c>
      <c r="AB77" s="67">
        <f>IF(ISTEXT(Z77),AB75,0)</f>
        <v>0</v>
      </c>
      <c r="AC77" s="72">
        <f>IF(ISTEXT(Z77),AC75,0)</f>
        <v>0</v>
      </c>
      <c r="AD77" s="9"/>
      <c r="AE77" s="14">
        <f>+T26</f>
        <v>0</v>
      </c>
      <c r="AF77" s="71">
        <f>IF(ISTEXT(AE77),AF75,0)</f>
        <v>0</v>
      </c>
      <c r="AG77" s="64">
        <f>IF(ISTEXT(AE77),AG75,0)</f>
        <v>0</v>
      </c>
      <c r="AH77" s="72">
        <f>IF(ISTEXT(AE77),AH75,0)</f>
        <v>0</v>
      </c>
      <c r="AI77" s="9"/>
      <c r="AJ77" s="14">
        <f>+W26</f>
        <v>0</v>
      </c>
      <c r="AK77" s="71">
        <f>IF(ISTEXT(AJ77),AK75,0)</f>
        <v>0</v>
      </c>
      <c r="AL77" s="64">
        <f>IF(ISTEXT(AJ77),AL75,0)</f>
        <v>0</v>
      </c>
      <c r="AM77" s="72">
        <f>IF(ISTEXT(AJ77),AM75,0)</f>
        <v>0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9"/>
      <c r="BK77" s="29"/>
      <c r="BL77" s="29"/>
      <c r="BM77" s="29"/>
    </row>
    <row r="78" spans="1:65" ht="15.75">
      <c r="A78" s="128"/>
      <c r="B78" s="29"/>
      <c r="C78" s="29"/>
      <c r="D78" s="128"/>
      <c r="E78" s="128"/>
      <c r="F78" s="128"/>
      <c r="G78" s="128"/>
      <c r="H78" s="23"/>
      <c r="I78" s="25"/>
      <c r="J78" s="128"/>
      <c r="K78" s="128"/>
      <c r="L78" s="128"/>
      <c r="P78" s="23"/>
      <c r="Q78" s="128"/>
      <c r="R78" s="29"/>
      <c r="S78" s="29"/>
      <c r="T78" s="29"/>
      <c r="U78" s="29"/>
      <c r="V78" s="23"/>
      <c r="W78" s="23"/>
      <c r="X78" s="23"/>
      <c r="Y78" s="447"/>
      <c r="Z78" s="32"/>
      <c r="AA78" s="230" t="s">
        <v>5</v>
      </c>
      <c r="AB78" s="21"/>
      <c r="AC78" s="22"/>
      <c r="AD78" s="25"/>
      <c r="AE78" s="32"/>
      <c r="AF78" s="230" t="s">
        <v>5</v>
      </c>
      <c r="AG78" s="21"/>
      <c r="AH78" s="22"/>
      <c r="AI78" s="25"/>
      <c r="AJ78" s="32"/>
      <c r="AK78" s="230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9"/>
      <c r="BK78" s="29"/>
      <c r="BL78" s="29"/>
      <c r="BM78" s="29"/>
    </row>
    <row r="79" spans="1:65" ht="15.75">
      <c r="A79" s="128"/>
      <c r="B79" s="29"/>
      <c r="C79" s="29"/>
      <c r="D79" s="128"/>
      <c r="E79" s="128"/>
      <c r="F79" s="128"/>
      <c r="G79" s="128"/>
      <c r="H79" s="23"/>
      <c r="I79" s="25"/>
      <c r="J79" s="128"/>
      <c r="K79" s="128"/>
      <c r="L79" s="128"/>
      <c r="P79" s="23"/>
      <c r="Q79" s="128"/>
      <c r="R79" s="29"/>
      <c r="S79" s="29"/>
      <c r="T79" s="29"/>
      <c r="U79" s="29"/>
      <c r="V79" s="23"/>
      <c r="W79" s="23"/>
      <c r="X79" s="23"/>
      <c r="Y79" s="447"/>
      <c r="Z79" s="14">
        <f>+O27</f>
        <v>0</v>
      </c>
      <c r="AA79" s="35">
        <v>0</v>
      </c>
      <c r="AB79" s="30">
        <f>IF(AA75+AA79=0,0,IF(AA75=AA79,2,IF(AA75&lt;AA79,3,1)))</f>
        <v>0</v>
      </c>
      <c r="AC79" s="15">
        <f>AA79-AA75</f>
        <v>0</v>
      </c>
      <c r="AD79" s="24"/>
      <c r="AE79" s="14">
        <f>+R27</f>
        <v>0</v>
      </c>
      <c r="AF79" s="127">
        <v>0</v>
      </c>
      <c r="AG79" s="30">
        <f>IF(AF75+AF79=0,0,IF(AF75=AF79,2,IF(AF75&lt;AF79,3,1)))</f>
        <v>0</v>
      </c>
      <c r="AH79" s="15">
        <f>AF79-AF75</f>
        <v>0</v>
      </c>
      <c r="AI79" s="24"/>
      <c r="AJ79" s="14">
        <f>+U27</f>
        <v>0</v>
      </c>
      <c r="AK79" s="37">
        <v>0</v>
      </c>
      <c r="AL79" s="30">
        <f>IF(AK75+AK79=0,0,IF(AK75=AK79,2,IF(AK75&lt;AK79,3,1)))</f>
        <v>0</v>
      </c>
      <c r="AM79" s="15">
        <f>AK79-AK75</f>
        <v>0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9"/>
      <c r="BK79" s="29"/>
      <c r="BL79" s="29"/>
      <c r="BM79" s="29"/>
    </row>
    <row r="80" spans="1:65" ht="16.5" thickBot="1">
      <c r="A80" s="128"/>
      <c r="B80" s="29"/>
      <c r="C80" s="29"/>
      <c r="D80" s="128"/>
      <c r="E80" s="128"/>
      <c r="F80" s="128"/>
      <c r="G80" s="128"/>
      <c r="H80" s="23"/>
      <c r="I80" s="25"/>
      <c r="J80" s="128"/>
      <c r="K80" s="128"/>
      <c r="L80" s="128"/>
      <c r="P80" s="23"/>
      <c r="Q80" s="128"/>
      <c r="R80" s="29"/>
      <c r="S80" s="29"/>
      <c r="T80" s="29"/>
      <c r="U80" s="29"/>
      <c r="V80" s="23"/>
      <c r="W80" s="23"/>
      <c r="X80" s="23"/>
      <c r="Y80" s="447"/>
      <c r="Z80" s="14">
        <f>+P27</f>
        <v>0</v>
      </c>
      <c r="AA80" s="17">
        <f>IF(ISTEXT(Z80),AA79,0)</f>
        <v>0</v>
      </c>
      <c r="AB80" s="18">
        <f>IF(ISTEXT(Z80),AB79,0)</f>
        <v>0</v>
      </c>
      <c r="AC80" s="19">
        <f>IF(ISTEXT(Z80),AC79,0)</f>
        <v>0</v>
      </c>
      <c r="AD80" s="9"/>
      <c r="AE80" s="14">
        <f>+S27</f>
        <v>0</v>
      </c>
      <c r="AF80" s="17">
        <f>IF(ISTEXT(AE80),AF79,0)</f>
        <v>0</v>
      </c>
      <c r="AG80" s="18">
        <f>IF(ISTEXT(AE80),AG79,0)</f>
        <v>0</v>
      </c>
      <c r="AH80" s="19">
        <f>IF(ISTEXT(AE80),AH79,0)</f>
        <v>0</v>
      </c>
      <c r="AI80" s="9"/>
      <c r="AJ80" s="14">
        <f>+V27</f>
        <v>0</v>
      </c>
      <c r="AK80" s="17">
        <f>IF(ISTEXT(AJ80),AK79,0)</f>
        <v>0</v>
      </c>
      <c r="AL80" s="18">
        <f>IF(ISTEXT(AJ80),AL79,0)</f>
        <v>0</v>
      </c>
      <c r="AM80" s="19">
        <f>IF(ISTEXT(AJ80),AM79,0)</f>
        <v>0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9"/>
      <c r="BK80" s="29"/>
      <c r="BL80" s="29"/>
      <c r="BM80" s="29"/>
    </row>
    <row r="81" spans="1:65" ht="16.5" thickBot="1">
      <c r="A81" s="128"/>
      <c r="B81" s="29"/>
      <c r="C81" s="29"/>
      <c r="D81" s="128"/>
      <c r="E81" s="128"/>
      <c r="F81" s="128"/>
      <c r="G81" s="128"/>
      <c r="H81" s="23"/>
      <c r="I81" s="25"/>
      <c r="J81" s="128"/>
      <c r="K81" s="128"/>
      <c r="L81" s="128"/>
      <c r="P81" s="23"/>
      <c r="Q81" s="128"/>
      <c r="R81" s="29"/>
      <c r="S81" s="29"/>
      <c r="T81" s="29"/>
      <c r="U81" s="29"/>
      <c r="V81" s="23"/>
      <c r="W81" s="23"/>
      <c r="X81" s="23"/>
      <c r="Y81" s="448"/>
      <c r="Z81" s="16">
        <f>+Q27</f>
        <v>0</v>
      </c>
      <c r="AA81" s="17">
        <f>IF(ISTEXT(Z81),AA79,0)</f>
        <v>0</v>
      </c>
      <c r="AB81" s="18">
        <f>IF(ISTEXT(Z81),AB79,0)</f>
        <v>0</v>
      </c>
      <c r="AC81" s="19">
        <f>IF(ISTEXT(Z81),AC79,0)</f>
        <v>0</v>
      </c>
      <c r="AD81" s="9"/>
      <c r="AE81" s="16">
        <f>+T27</f>
        <v>0</v>
      </c>
      <c r="AF81" s="17">
        <f>IF(ISTEXT(AE81),AF79,0)</f>
        <v>0</v>
      </c>
      <c r="AG81" s="18">
        <f>IF(ISTEXT(AE81),AG79,0)</f>
        <v>0</v>
      </c>
      <c r="AH81" s="19">
        <f>IF(ISTEXT(AE81),AH79,0)</f>
        <v>0</v>
      </c>
      <c r="AI81" s="9"/>
      <c r="AJ81" s="16">
        <f>+W27</f>
        <v>0</v>
      </c>
      <c r="AK81" s="17">
        <f>IF(ISTEXT(AJ81),AK79,0)</f>
        <v>0</v>
      </c>
      <c r="AL81" s="18">
        <f>IF(ISTEXT(AJ81),AL79,0)</f>
        <v>0</v>
      </c>
      <c r="AM81" s="19">
        <f>IF(ISTEXT(AJ81),AM79,0)</f>
        <v>0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9"/>
      <c r="BK81" s="29"/>
      <c r="BL81" s="29"/>
      <c r="BM81" s="29"/>
    </row>
    <row r="82" spans="1:65" ht="15.75">
      <c r="A82" s="128"/>
      <c r="B82" s="29"/>
      <c r="C82" s="29"/>
      <c r="D82" s="128"/>
      <c r="E82" s="128"/>
      <c r="F82" s="128"/>
      <c r="G82" s="128"/>
      <c r="H82" s="23"/>
      <c r="I82" s="25"/>
      <c r="J82" s="128"/>
      <c r="K82" s="128"/>
      <c r="L82" s="128"/>
      <c r="P82" s="23"/>
      <c r="Q82" s="128"/>
      <c r="R82" s="29"/>
      <c r="S82" s="29"/>
      <c r="T82" s="29"/>
      <c r="U82" s="29"/>
      <c r="V82" s="23"/>
      <c r="W82" s="23"/>
      <c r="X82" s="23"/>
      <c r="Y82" s="128"/>
      <c r="Z82" s="231"/>
      <c r="AA82" s="231"/>
      <c r="AB82" s="70"/>
      <c r="AC82" s="70"/>
      <c r="AD82" s="231"/>
      <c r="AE82" s="231"/>
      <c r="AF82" s="231"/>
      <c r="AG82" s="70"/>
      <c r="AH82" s="70"/>
      <c r="AI82" s="231"/>
      <c r="AJ82" s="231"/>
      <c r="AK82" s="231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</row>
    <row r="83" spans="1:65" ht="15.75">
      <c r="A83" s="128"/>
      <c r="B83" s="29"/>
      <c r="C83" s="29"/>
      <c r="D83" s="128"/>
      <c r="E83" s="128"/>
      <c r="F83" s="128"/>
      <c r="G83" s="128"/>
      <c r="H83" s="23"/>
      <c r="I83" s="25"/>
      <c r="J83" s="128"/>
      <c r="K83" s="128"/>
      <c r="L83" s="128"/>
      <c r="P83" s="23"/>
      <c r="Q83" s="128"/>
      <c r="R83" s="29"/>
      <c r="S83" s="29"/>
      <c r="T83" s="29"/>
      <c r="U83" s="29"/>
      <c r="V83" s="23"/>
      <c r="W83" s="23"/>
      <c r="X83" s="23"/>
      <c r="Y83" s="128"/>
      <c r="Z83" s="23"/>
      <c r="AA83" s="23"/>
      <c r="AB83" s="79">
        <f t="array" ref="AB83">SUM(AB11:AB81)</f>
        <v>36</v>
      </c>
      <c r="AC83" s="79">
        <f t="array" ref="AC83">SUM(AC11:AC81)</f>
        <v>0</v>
      </c>
      <c r="AD83" s="23"/>
      <c r="AE83" s="23"/>
      <c r="AF83" s="23"/>
      <c r="AG83" s="79">
        <f t="array" ref="AG83">SUM(AG11:AG81)</f>
        <v>36</v>
      </c>
      <c r="AH83" s="79">
        <f t="array" ref="AH83">SUM(AH11:AH81)</f>
        <v>0</v>
      </c>
      <c r="AI83" s="23"/>
      <c r="AJ83" s="23"/>
      <c r="AK83" s="23"/>
      <c r="AL83" s="79">
        <f t="array" ref="AL83">SUM(AL11:AL81)</f>
        <v>36</v>
      </c>
      <c r="AM83" s="79">
        <f t="array" ref="AM83">SUM(AM11:AM81)</f>
        <v>0</v>
      </c>
      <c r="AN83" s="23"/>
      <c r="AO83" s="23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</row>
    <row r="84" spans="1:65" ht="15.75">
      <c r="A84" s="128"/>
      <c r="B84" s="29"/>
      <c r="C84" s="29"/>
      <c r="D84" s="128"/>
      <c r="E84" s="128"/>
      <c r="F84" s="128"/>
      <c r="G84" s="128"/>
      <c r="H84" s="23"/>
      <c r="I84" s="25"/>
      <c r="J84" s="128"/>
      <c r="K84" s="128"/>
      <c r="L84" s="128"/>
      <c r="P84" s="23"/>
      <c r="Q84" s="128"/>
      <c r="R84" s="29"/>
      <c r="S84" s="29"/>
      <c r="T84" s="29"/>
      <c r="U84" s="29"/>
      <c r="V84" s="23"/>
      <c r="W84" s="23"/>
      <c r="X84" s="23"/>
      <c r="Y84" s="128"/>
      <c r="Z84" s="23"/>
      <c r="AA84" s="23"/>
      <c r="AB84" s="8"/>
      <c r="AC84" s="79" t="str">
        <f>IF(AC83=0,"OK","ERREUR")</f>
        <v>OK</v>
      </c>
      <c r="AD84" s="23"/>
      <c r="AE84" s="23"/>
      <c r="AF84" s="23"/>
      <c r="AG84" s="8"/>
      <c r="AH84" s="79" t="str">
        <f>IF(AH83=0,"OK","ERREUR")</f>
        <v>OK</v>
      </c>
      <c r="AI84" s="23"/>
      <c r="AJ84" s="23"/>
      <c r="AK84" s="23"/>
      <c r="AL84" s="8"/>
      <c r="AM84" s="79" t="str">
        <f>IF(AM83=0,"OK","ERREUR")</f>
        <v>OK</v>
      </c>
      <c r="AN84" s="23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</row>
    <row r="85" spans="1:65" ht="15.75">
      <c r="A85" s="128"/>
      <c r="B85" s="29"/>
      <c r="C85" s="29"/>
      <c r="D85" s="128"/>
      <c r="E85" s="128"/>
      <c r="F85" s="128"/>
      <c r="G85" s="128"/>
      <c r="H85" s="23"/>
      <c r="I85" s="25"/>
      <c r="J85" s="128"/>
      <c r="K85" s="128"/>
      <c r="L85" s="128"/>
      <c r="P85" s="23"/>
      <c r="Q85" s="128"/>
      <c r="R85" s="29"/>
      <c r="S85" s="29"/>
      <c r="T85" s="29"/>
      <c r="U85" s="29"/>
      <c r="V85" s="23"/>
      <c r="W85" s="23"/>
      <c r="X85" s="23"/>
      <c r="Y85" s="128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</row>
    <row r="86" spans="1:65" ht="15.75">
      <c r="A86" s="128"/>
      <c r="B86" s="29"/>
      <c r="C86" s="29"/>
      <c r="D86" s="128"/>
      <c r="E86" s="128"/>
      <c r="F86" s="128"/>
      <c r="G86" s="128"/>
      <c r="H86" s="23"/>
      <c r="I86" s="25"/>
      <c r="J86" s="128"/>
      <c r="K86" s="128"/>
      <c r="L86" s="128"/>
      <c r="P86" s="23"/>
      <c r="Q86" s="128"/>
      <c r="R86" s="29"/>
      <c r="S86" s="29"/>
      <c r="T86" s="29"/>
      <c r="U86" s="29"/>
      <c r="V86" s="23"/>
      <c r="W86" s="23"/>
      <c r="X86" s="23"/>
      <c r="Y86" s="128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</row>
    <row r="87" spans="1:65" ht="15.75">
      <c r="A87" s="128"/>
      <c r="B87" s="29"/>
      <c r="C87" s="29"/>
      <c r="D87" s="128"/>
      <c r="E87" s="128"/>
      <c r="F87" s="128"/>
      <c r="G87" s="128"/>
      <c r="H87" s="23"/>
      <c r="I87" s="25"/>
      <c r="J87" s="128"/>
      <c r="K87" s="128"/>
      <c r="L87" s="128"/>
      <c r="P87" s="23"/>
      <c r="Q87" s="128"/>
      <c r="R87" s="29"/>
      <c r="S87" s="29"/>
      <c r="T87" s="29"/>
      <c r="U87" s="29"/>
      <c r="V87" s="23"/>
      <c r="W87" s="23"/>
      <c r="X87" s="23"/>
      <c r="AN87" s="29"/>
      <c r="AO87" s="29"/>
      <c r="BM87" s="29"/>
    </row>
    <row r="88" spans="1:65" ht="15.75">
      <c r="A88" s="128"/>
      <c r="B88" s="29"/>
      <c r="C88" s="29"/>
      <c r="D88" s="128"/>
      <c r="E88" s="128"/>
      <c r="F88" s="128"/>
      <c r="G88" s="128"/>
      <c r="H88" s="23"/>
      <c r="I88" s="25"/>
      <c r="J88" s="128"/>
      <c r="K88" s="128"/>
      <c r="L88" s="128"/>
      <c r="P88" s="23"/>
      <c r="Q88" s="128"/>
      <c r="R88" s="29"/>
      <c r="S88" s="29"/>
      <c r="T88" s="29"/>
      <c r="U88" s="29"/>
      <c r="V88" s="23"/>
      <c r="W88" s="23"/>
      <c r="X88" s="23"/>
      <c r="AN88" s="29"/>
      <c r="AO88" s="29"/>
      <c r="BM88" s="29"/>
    </row>
    <row r="89" spans="1:65" ht="15.75">
      <c r="A89" s="128"/>
      <c r="B89" s="29"/>
      <c r="C89" s="29"/>
      <c r="D89" s="128"/>
      <c r="E89" s="128"/>
      <c r="F89" s="128"/>
      <c r="G89" s="128"/>
      <c r="H89" s="23"/>
      <c r="I89" s="25"/>
      <c r="J89" s="128"/>
      <c r="K89" s="128"/>
      <c r="L89" s="128"/>
      <c r="P89" s="23"/>
      <c r="Q89" s="128"/>
      <c r="R89" s="29"/>
      <c r="S89" s="29"/>
      <c r="T89" s="29"/>
      <c r="U89" s="29"/>
      <c r="V89" s="23"/>
      <c r="W89" s="23"/>
      <c r="X89" s="23"/>
      <c r="AN89" s="29"/>
      <c r="BM89" s="29"/>
    </row>
  </sheetData>
  <sheetProtection sheet="1" objects="1" scenarios="1" formatCells="0" formatColumns="0" formatRows="0" insertColumns="0" insertRows="0" insertHyperlinks="0" deleteColumns="0" deleteRows="0" sort="0"/>
  <sortState ref="BN9:BN62">
    <sortCondition descending="1" ref="BN8"/>
  </sortState>
  <mergeCells count="34">
    <mergeCell ref="R9:T9"/>
    <mergeCell ref="U9:W9"/>
    <mergeCell ref="Y51:Y57"/>
    <mergeCell ref="Y59:Y65"/>
    <mergeCell ref="Y67:Y73"/>
    <mergeCell ref="Y75:Y81"/>
    <mergeCell ref="Y11:Y17"/>
    <mergeCell ref="Y19:Y25"/>
    <mergeCell ref="Y27:Y33"/>
    <mergeCell ref="Y35:Y41"/>
    <mergeCell ref="Y43:Y49"/>
    <mergeCell ref="D8:E8"/>
    <mergeCell ref="O8:W8"/>
    <mergeCell ref="Q5:Q6"/>
    <mergeCell ref="S5:S6"/>
    <mergeCell ref="T5:T6"/>
    <mergeCell ref="B5:D5"/>
    <mergeCell ref="B9:C9"/>
    <mergeCell ref="D9:E9"/>
    <mergeCell ref="F9:G9"/>
    <mergeCell ref="J9:L9"/>
    <mergeCell ref="O9:Q9"/>
    <mergeCell ref="BH7:BL7"/>
    <mergeCell ref="Z7:AC7"/>
    <mergeCell ref="AE7:AH7"/>
    <mergeCell ref="AJ7:AM7"/>
    <mergeCell ref="AQ7:AS7"/>
    <mergeCell ref="AT7:AV7"/>
    <mergeCell ref="AW7:AY7"/>
    <mergeCell ref="B1:D1"/>
    <mergeCell ref="D7:E7"/>
    <mergeCell ref="Q3:R3"/>
    <mergeCell ref="N1:P1"/>
    <mergeCell ref="AZ7:BB7"/>
  </mergeCells>
  <conditionalFormatting sqref="J10:L27">
    <cfRule type="duplicateValues" dxfId="116" priority="72"/>
  </conditionalFormatting>
  <conditionalFormatting sqref="O10:Q27">
    <cfRule type="cellIs" dxfId="115" priority="70" operator="equal">
      <formula>0</formula>
    </cfRule>
    <cfRule type="duplicateValues" dxfId="114" priority="71"/>
  </conditionalFormatting>
  <conditionalFormatting sqref="R10:T27">
    <cfRule type="cellIs" dxfId="113" priority="68" operator="equal">
      <formula>0</formula>
    </cfRule>
    <cfRule type="duplicateValues" dxfId="112" priority="69"/>
  </conditionalFormatting>
  <conditionalFormatting sqref="U10:W27">
    <cfRule type="cellIs" dxfId="111" priority="66" operator="equal">
      <formula>0</formula>
    </cfRule>
    <cfRule type="duplicateValues" dxfId="110" priority="67"/>
  </conditionalFormatting>
  <conditionalFormatting sqref="AC55:AC57 AH55:AH57 AM55:AM57 AC59:AC61 AH59:AH61 AM59:AM61 AC63:AC69 AH63:AH69 AM63:AM69 AC71:AC81 AH71:AH81 AM71:AM81 AC11:AC12 AH11:AH12 AM11:AM13 AC15:AC17 AH15:AH17 AM15:AM17 AC19:AC21 AH19:AH21 AM19:AM21 AC23:AC25 AH23:AH25 AM23:AM25 AC27:AC29 AH27:AH29 AM27:AM29 AC31:AC37 AH31:AH37 AM31:AM37 AC39:AC45 AH39:AH45 AM39:AM45 AC47:AC53 AH47:AH53 AM47:AM53 BC9:BD62">
    <cfRule type="cellIs" dxfId="109" priority="65" stopIfTrue="1" operator="lessThan">
      <formula>0</formula>
    </cfRule>
  </conditionalFormatting>
  <conditionalFormatting sqref="AH83">
    <cfRule type="colorScale" priority="63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AM84 AH84 AC84 BA64 AX64 AU64 AR64 BJ64">
    <cfRule type="containsText" dxfId="108" priority="61" operator="containsText" text="ERREUR">
      <formula>NOT(ISERROR(SEARCH("ERREUR",AC64)))</formula>
    </cfRule>
    <cfRule type="containsText" dxfId="107" priority="62" operator="containsText" text="OK">
      <formula>NOT(ISERROR(SEARCH("OK",AC64)))</formula>
    </cfRule>
  </conditionalFormatting>
  <conditionalFormatting sqref="AH84 AC84">
    <cfRule type="containsText" dxfId="106" priority="60" operator="containsText" text="OK">
      <formula>NOT(ISERROR(SEARCH("OK",AC84)))</formula>
    </cfRule>
  </conditionalFormatting>
  <conditionalFormatting sqref="BA64:BB65 AX64:AY65 AU64:AV65 AR64:AS65 BJ64:BK65 BA62:BB62 BJ62:BK62">
    <cfRule type="containsText" dxfId="105" priority="57" operator="containsText" text="ERREUR">
      <formula>NOT(ISERROR(SEARCH("ERREUR",AR62)))</formula>
    </cfRule>
    <cfRule type="containsText" dxfId="104" priority="58" operator="containsText" text="OK">
      <formula>NOT(ISERROR(SEARCH("OK",AR62)))</formula>
    </cfRule>
  </conditionalFormatting>
  <conditionalFormatting sqref="BL55:BL62">
    <cfRule type="duplicateValues" dxfId="103" priority="55"/>
  </conditionalFormatting>
  <conditionalFormatting sqref="E10:E27">
    <cfRule type="cellIs" dxfId="102" priority="53" operator="equal">
      <formula>0</formula>
    </cfRule>
    <cfRule type="cellIs" dxfId="101" priority="54" operator="equal">
      <formula>6.5</formula>
    </cfRule>
  </conditionalFormatting>
  <conditionalFormatting sqref="C10:C27 G10:G27">
    <cfRule type="cellIs" dxfId="100" priority="52" operator="equal">
      <formula>0</formula>
    </cfRule>
  </conditionalFormatting>
  <conditionalFormatting sqref="E10:E27">
    <cfRule type="top10" dxfId="99" priority="42" rank="1"/>
    <cfRule type="cellIs" dxfId="98" priority="43" operator="equal">
      <formula>0</formula>
    </cfRule>
  </conditionalFormatting>
  <conditionalFormatting sqref="BN9:BN18">
    <cfRule type="duplicateValues" dxfId="97" priority="40"/>
  </conditionalFormatting>
  <conditionalFormatting sqref="BN9:BN62">
    <cfRule type="duplicateValues" dxfId="96" priority="37"/>
  </conditionalFormatting>
  <conditionalFormatting sqref="BN57:BN62">
    <cfRule type="duplicateValues" dxfId="95" priority="36"/>
  </conditionalFormatting>
  <conditionalFormatting sqref="AM83 BA63 AR63 AU63 AX63 BJ63">
    <cfRule type="colorScale" priority="32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O10:W27">
    <cfRule type="cellIs" dxfId="94" priority="24" operator="equal">
      <formula>0</formula>
    </cfRule>
  </conditionalFormatting>
  <conditionalFormatting sqref="AC83">
    <cfRule type="colorScale" priority="3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6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L9:BL62">
    <cfRule type="duplicateValues" dxfId="93" priority="202"/>
  </conditionalFormatting>
  <conditionalFormatting sqref="BL62">
    <cfRule type="duplicateValues" dxfId="92" priority="2"/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BN89"/>
  <sheetViews>
    <sheetView zoomScale="70" zoomScaleNormal="70" workbookViewId="0">
      <selection activeCell="G29" sqref="G29"/>
    </sheetView>
  </sheetViews>
  <sheetFormatPr baseColWidth="10" defaultRowHeight="12.75"/>
  <cols>
    <col min="1" max="1" width="8.42578125" customWidth="1"/>
    <col min="2" max="2" width="21" customWidth="1"/>
    <col min="3" max="3" width="6.5703125" customWidth="1"/>
    <col min="4" max="4" width="26" customWidth="1"/>
    <col min="5" max="5" width="7.5703125" customWidth="1"/>
    <col min="6" max="6" width="26.140625" customWidth="1"/>
    <col min="7" max="7" width="6.7109375" customWidth="1"/>
    <col min="8" max="12" width="11.42578125" hidden="1" customWidth="1"/>
    <col min="13" max="13" width="7.140625" customWidth="1"/>
    <col min="15" max="15" width="21" customWidth="1"/>
    <col min="16" max="16" width="23.5703125" customWidth="1"/>
    <col min="17" max="17" width="23.28515625" customWidth="1"/>
    <col min="18" max="18" width="22.85546875" customWidth="1"/>
    <col min="19" max="19" width="23.7109375" customWidth="1"/>
    <col min="20" max="20" width="23.28515625" customWidth="1"/>
    <col min="21" max="21" width="22.7109375" customWidth="1"/>
    <col min="22" max="22" width="23.28515625" customWidth="1"/>
    <col min="23" max="23" width="22.28515625" customWidth="1"/>
    <col min="24" max="24" width="6.5703125" customWidth="1"/>
    <col min="25" max="25" width="8.5703125" customWidth="1"/>
    <col min="26" max="26" width="20.85546875" customWidth="1"/>
    <col min="27" max="27" width="6.7109375" customWidth="1"/>
    <col min="28" max="28" width="7.28515625" customWidth="1"/>
    <col min="29" max="29" width="6.140625" customWidth="1"/>
    <col min="30" max="30" width="4.140625" customWidth="1"/>
    <col min="31" max="31" width="20" customWidth="1"/>
    <col min="32" max="32" width="7.28515625" customWidth="1"/>
    <col min="33" max="33" width="7.7109375" customWidth="1"/>
    <col min="34" max="34" width="7" customWidth="1"/>
    <col min="35" max="35" width="3.7109375" customWidth="1"/>
    <col min="36" max="36" width="20.140625" customWidth="1"/>
    <col min="37" max="37" width="8.7109375" customWidth="1"/>
    <col min="38" max="38" width="7" customWidth="1"/>
    <col min="39" max="39" width="7.7109375" customWidth="1"/>
    <col min="40" max="40" width="6.140625" customWidth="1"/>
    <col min="41" max="41" width="11.42578125" customWidth="1"/>
    <col min="42" max="42" width="24" customWidth="1"/>
    <col min="43" max="43" width="8.5703125" customWidth="1"/>
    <col min="44" max="45" width="8.140625" customWidth="1"/>
    <col min="46" max="47" width="8.5703125" customWidth="1"/>
    <col min="48" max="48" width="7.7109375" customWidth="1"/>
    <col min="49" max="49" width="7.5703125" customWidth="1"/>
    <col min="50" max="51" width="7.140625" customWidth="1"/>
    <col min="52" max="53" width="8.7109375" customWidth="1"/>
    <col min="54" max="54" width="12.28515625" customWidth="1"/>
    <col min="55" max="55" width="8.5703125" hidden="1" customWidth="1"/>
    <col min="56" max="56" width="8.140625" hidden="1" customWidth="1"/>
    <col min="57" max="57" width="15.5703125" hidden="1" customWidth="1"/>
    <col min="58" max="58" width="11.85546875" hidden="1" customWidth="1"/>
    <col min="59" max="59" width="7.7109375" customWidth="1"/>
    <col min="60" max="60" width="22.28515625" customWidth="1"/>
    <col min="66" max="66" width="0" hidden="1" customWidth="1"/>
  </cols>
  <sheetData>
    <row r="1" spans="1:66" ht="27" thickBot="1">
      <c r="A1" s="128"/>
      <c r="B1" s="420" t="s">
        <v>36</v>
      </c>
      <c r="C1" s="420"/>
      <c r="D1" s="420"/>
      <c r="E1" s="132"/>
      <c r="F1" s="132"/>
      <c r="G1" s="132"/>
      <c r="H1" s="132"/>
      <c r="I1" s="132"/>
      <c r="J1" s="84"/>
      <c r="K1" s="84"/>
      <c r="L1" s="133" t="s">
        <v>37</v>
      </c>
      <c r="N1" s="443" t="s">
        <v>121</v>
      </c>
      <c r="O1" s="444"/>
      <c r="P1" s="445"/>
      <c r="R1" s="84"/>
      <c r="S1" s="84"/>
      <c r="T1" s="132"/>
      <c r="Y1" s="134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6" ht="18.75">
      <c r="A2" s="128"/>
      <c r="B2" s="29"/>
      <c r="C2" s="29"/>
      <c r="D2" s="80"/>
      <c r="E2" s="80"/>
      <c r="F2" s="128"/>
      <c r="G2" s="128"/>
      <c r="H2" s="23"/>
      <c r="I2" s="25"/>
      <c r="J2" s="128"/>
      <c r="K2" s="128"/>
      <c r="L2" s="128"/>
      <c r="P2" s="23"/>
      <c r="Q2" s="128"/>
      <c r="R2" s="29"/>
      <c r="S2" s="29"/>
      <c r="T2" s="29"/>
      <c r="U2" s="29"/>
      <c r="V2" s="128"/>
      <c r="W2" s="23"/>
      <c r="X2" s="23"/>
      <c r="Y2" s="43"/>
      <c r="Z2" s="23"/>
      <c r="AA2" s="45"/>
      <c r="AB2" s="45"/>
      <c r="AC2" s="45" t="s">
        <v>8</v>
      </c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374" t="s">
        <v>41</v>
      </c>
      <c r="BA2" s="23"/>
      <c r="BB2" s="23"/>
      <c r="BC2" s="23"/>
      <c r="BD2" s="23"/>
      <c r="BE2" s="23"/>
      <c r="BF2" s="23"/>
      <c r="BG2" s="23"/>
      <c r="BH2" s="23"/>
      <c r="BI2" s="23"/>
      <c r="BJ2" s="29"/>
      <c r="BK2" s="29"/>
      <c r="BL2" s="29"/>
      <c r="BM2" s="29"/>
    </row>
    <row r="3" spans="1:66" ht="23.25">
      <c r="A3" s="134"/>
      <c r="B3" s="277" t="s">
        <v>62</v>
      </c>
      <c r="C3" s="29"/>
      <c r="D3" s="276" t="s">
        <v>50</v>
      </c>
      <c r="E3" s="80"/>
      <c r="F3" s="128"/>
      <c r="G3" s="128"/>
      <c r="H3" s="23"/>
      <c r="I3" s="25"/>
      <c r="J3" s="128"/>
      <c r="K3" s="128"/>
      <c r="L3" s="128"/>
      <c r="P3" s="23"/>
      <c r="Q3" s="442" t="s">
        <v>38</v>
      </c>
      <c r="R3" s="442"/>
      <c r="S3" s="331"/>
      <c r="T3" s="29"/>
      <c r="U3" s="134"/>
      <c r="V3" s="134"/>
      <c r="W3" s="134"/>
      <c r="X3" s="134"/>
      <c r="Y3" s="128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9"/>
      <c r="BK3" s="29"/>
      <c r="BL3" s="29"/>
      <c r="BM3" s="29"/>
    </row>
    <row r="4" spans="1:66" ht="24" thickBot="1">
      <c r="A4" s="134"/>
      <c r="B4" s="134"/>
      <c r="C4" s="29"/>
      <c r="D4" s="80"/>
      <c r="E4" s="80"/>
      <c r="F4" s="128"/>
      <c r="G4" s="128"/>
      <c r="H4" s="23"/>
      <c r="I4" s="25"/>
      <c r="J4" s="128"/>
      <c r="K4" s="128"/>
      <c r="L4" s="128"/>
      <c r="P4" s="23"/>
      <c r="Q4" s="128"/>
      <c r="R4" s="156"/>
      <c r="S4" s="156"/>
      <c r="V4" s="134"/>
      <c r="W4" s="134"/>
      <c r="Y4" s="44" t="s">
        <v>22</v>
      </c>
      <c r="Z4" s="45"/>
      <c r="AA4" s="45"/>
      <c r="AB4" s="46"/>
      <c r="AC4" s="47"/>
      <c r="AD4" s="46"/>
      <c r="AE4" s="46"/>
      <c r="AF4" s="45"/>
      <c r="AG4" s="45"/>
      <c r="AH4" s="45"/>
      <c r="AI4" s="45"/>
      <c r="AJ4" s="45"/>
      <c r="AK4" s="45"/>
      <c r="AL4" s="45"/>
      <c r="AM4" s="45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9"/>
      <c r="BI4" s="29"/>
      <c r="BJ4" s="29"/>
      <c r="BK4" s="29"/>
      <c r="BL4" s="29"/>
      <c r="BM4" s="29"/>
    </row>
    <row r="5" spans="1:66" ht="26.25" thickBot="1">
      <c r="A5" s="135">
        <f>+Q5</f>
        <v>30</v>
      </c>
      <c r="B5" s="424" t="s">
        <v>120</v>
      </c>
      <c r="C5" s="425"/>
      <c r="D5" s="426"/>
      <c r="P5" s="84"/>
      <c r="Q5" s="451">
        <v>30</v>
      </c>
      <c r="R5" s="84"/>
      <c r="S5" s="479">
        <f>IF(Q5=8,2,IF($Q$5=9,2,IF($Q$5=10,2,IF($Q$5=11,2,IF($Q$5=12,2,IF($Q$5=13,3,IF(Q5=14,3,IF($Q$5=15,3,IF(Q5=16,3,IF($Q$5=17,3,IF(Q5=18,3,IF($Q$5=19,4,IF(Q5=20,4,IF($Q$5=21,4,IF(Q5=22,4,IF($Q$5=23,4,IF(Q5=24,4,IF($Q$5=25,5,IF(Q5=26,5,IF($Q$5=27,5,IF(Q5=28,5,IF($Q$5=29,5,IF(Q5=30,5,IF($Q$5=31,6,IF(Q5=32,6,IF($Q$5=33,6,IF($Q$5=34,6,IF($Q$5=35,6,IF($Q$5=36,6,IF($Q$5=37,7,IF($Q$5=38,7,IF($Q$5=39,7,IF($Q$5=40,7,IF($Q$5=41,7,IF($Q$5=42,7,IF($Q$5=43,8,IF($Q$5=44,8,IF($Q$5=45,8,IF($Q$5=46,8,IF($Q$5=47,8,IF($Q$5=48,8,IF($Q$5=49,9,IF($Q$5=50,9,IF($Q$5=51,9,IF($Q$5=52,9,IF($Q$5=53,9,IF($Q$5=54,9,0)))))))))))))))))))))))))))))))))))))))))))))))</f>
        <v>5</v>
      </c>
      <c r="T5" s="477" t="s">
        <v>39</v>
      </c>
      <c r="Y5" s="128"/>
      <c r="Z5" s="23"/>
      <c r="AA5" s="23"/>
      <c r="AB5" s="23"/>
      <c r="AC5" s="23"/>
      <c r="AD5" s="23"/>
      <c r="AE5" s="45" t="s">
        <v>23</v>
      </c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9"/>
      <c r="BI5" s="29"/>
      <c r="BJ5" s="29"/>
      <c r="BK5" s="29"/>
      <c r="BL5" s="29"/>
      <c r="BM5" s="29"/>
    </row>
    <row r="6" spans="1:66" ht="27" customHeight="1" thickBot="1">
      <c r="P6" s="84"/>
      <c r="Q6" s="452"/>
      <c r="R6" s="84"/>
      <c r="S6" s="480"/>
      <c r="T6" s="478"/>
      <c r="Y6" s="12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50"/>
      <c r="BI6" s="50"/>
      <c r="BJ6" s="50"/>
      <c r="BK6" s="50"/>
      <c r="BL6" s="50"/>
      <c r="BM6" s="50"/>
    </row>
    <row r="7" spans="1:66" ht="31.5" customHeight="1" thickTop="1" thickBot="1">
      <c r="D7" s="440" t="s">
        <v>60</v>
      </c>
      <c r="E7" s="441"/>
      <c r="P7" s="84"/>
      <c r="Q7" s="84"/>
      <c r="R7" s="84"/>
      <c r="S7" s="84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375" t="s">
        <v>0</v>
      </c>
      <c r="AQ7" s="421" t="s">
        <v>1</v>
      </c>
      <c r="AR7" s="422"/>
      <c r="AS7" s="423"/>
      <c r="AT7" s="465" t="s">
        <v>2</v>
      </c>
      <c r="AU7" s="466"/>
      <c r="AV7" s="476"/>
      <c r="AW7" s="470" t="s">
        <v>3</v>
      </c>
      <c r="AX7" s="471"/>
      <c r="AY7" s="472"/>
      <c r="AZ7" s="462" t="s">
        <v>7</v>
      </c>
      <c r="BA7" s="463"/>
      <c r="BB7" s="464"/>
      <c r="BC7" s="361"/>
      <c r="BD7" s="362"/>
      <c r="BE7" s="25"/>
      <c r="BF7" s="25"/>
      <c r="BG7" s="312"/>
      <c r="BH7" s="462" t="s">
        <v>21</v>
      </c>
      <c r="BI7" s="463"/>
      <c r="BJ7" s="463"/>
      <c r="BK7" s="463"/>
      <c r="BL7" s="464"/>
      <c r="BM7" s="84"/>
    </row>
    <row r="8" spans="1:66" ht="34.5" customHeight="1" thickTop="1" thickBot="1">
      <c r="A8" s="193"/>
      <c r="D8" s="453" t="s">
        <v>61</v>
      </c>
      <c r="E8" s="454"/>
      <c r="G8" s="194"/>
      <c r="H8" s="195"/>
      <c r="I8" s="194"/>
      <c r="J8" s="194"/>
      <c r="K8" s="194"/>
      <c r="L8" s="194"/>
      <c r="M8" s="194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06" t="s">
        <v>10</v>
      </c>
      <c r="AR8" s="107" t="s">
        <v>11</v>
      </c>
      <c r="AS8" s="110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376" t="s">
        <v>15</v>
      </c>
      <c r="BG8" s="84"/>
      <c r="BH8" s="118" t="s">
        <v>6</v>
      </c>
      <c r="BI8" s="123" t="s">
        <v>16</v>
      </c>
      <c r="BJ8" s="49" t="s">
        <v>17</v>
      </c>
      <c r="BK8" s="281" t="s">
        <v>12</v>
      </c>
      <c r="BL8" s="270" t="s">
        <v>18</v>
      </c>
      <c r="BM8" s="194"/>
      <c r="BN8" s="261" t="s">
        <v>16</v>
      </c>
    </row>
    <row r="9" spans="1:66" ht="2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H9" s="23"/>
      <c r="I9" s="136"/>
      <c r="J9" s="459" t="s">
        <v>40</v>
      </c>
      <c r="K9" s="460"/>
      <c r="L9" s="461"/>
      <c r="M9" s="154"/>
      <c r="N9" s="81"/>
      <c r="O9" s="450" t="s">
        <v>1</v>
      </c>
      <c r="P9" s="450"/>
      <c r="Q9" s="450"/>
      <c r="R9" s="465" t="s">
        <v>2</v>
      </c>
      <c r="S9" s="466"/>
      <c r="T9" s="466"/>
      <c r="U9" s="470" t="s">
        <v>3</v>
      </c>
      <c r="V9" s="471"/>
      <c r="W9" s="472"/>
      <c r="X9" s="23"/>
      <c r="Y9" s="257" t="s">
        <v>30</v>
      </c>
      <c r="Z9" s="258" t="s">
        <v>4</v>
      </c>
      <c r="AA9" s="258" t="s">
        <v>12</v>
      </c>
      <c r="AB9" s="258" t="s">
        <v>10</v>
      </c>
      <c r="AC9" s="258" t="s">
        <v>11</v>
      </c>
      <c r="AD9" s="259"/>
      <c r="AE9" s="258" t="s">
        <v>4</v>
      </c>
      <c r="AF9" s="258" t="s">
        <v>12</v>
      </c>
      <c r="AG9" s="258" t="s">
        <v>10</v>
      </c>
      <c r="AH9" s="258" t="s">
        <v>11</v>
      </c>
      <c r="AI9" s="259"/>
      <c r="AJ9" s="258" t="s">
        <v>4</v>
      </c>
      <c r="AK9" s="258" t="s">
        <v>12</v>
      </c>
      <c r="AL9" s="258" t="s">
        <v>10</v>
      </c>
      <c r="AM9" s="258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1</v>
      </c>
      <c r="AR9" s="38">
        <f>IF(ISNA(VLOOKUP(AP9,$Z$11:$AC$81,4,0))," ",IF(VLOOKUP(AP9,$Z$11:$AC$81,4,0)=0,"0",VLOOKUP(AP9,$Z$11:$AC$81,4,0)))</f>
        <v>-5</v>
      </c>
      <c r="AS9" s="94">
        <f>IF(ISNA(VLOOKUP(AP9,$Z$11:$AC$81,2,0))," ",IF(VLOOKUP(AP9,$Z$11:$AC$81,2,0)=0,"0",VLOOKUP(AP9,$Z$11:$AC$81,2,0)))</f>
        <v>5</v>
      </c>
      <c r="AT9" s="91">
        <f>IF(ISNA(VLOOKUP(AP9,$AE$11:$AH$81,3,0))," ",IF(VLOOKUP(AP9,$AE$11:$AH$81,3,0)=0,"0",VLOOKUP(AP9,$AE$11:$AH$81,3,0)))</f>
        <v>1</v>
      </c>
      <c r="AU9" s="38">
        <f>IF(ISNA(VLOOKUP(AP9,$AE$11:$AH$81,4,0))," ",IF(VLOOKUP(AP9,$AE$11:$AH$81,4,0)=0,"0",VLOOKUP(AP9,$AE$11:$AH$81,4,0)))</f>
        <v>-6</v>
      </c>
      <c r="AV9" s="288">
        <f>IF(ISNA(VLOOKUP(AP9,$AE$11:$AH$81,2,0))," ",IF(VLOOKUP(AP9,$AE$11:$AH$81,2,0)=0,"0",VLOOKUP(AP9,$AE$11:$AH$81,2,0)))</f>
        <v>7</v>
      </c>
      <c r="AW9" s="285">
        <f>IF(ISNA(VLOOKUP(AP9,$AJ$11:$AM$81,3,0))," ",IF(VLOOKUP(AP9,$AJ$11:$AM$81,3,0)=0,"0",VLOOKUP(AP9,$AJ$11:$AM$81,3,0)))</f>
        <v>3</v>
      </c>
      <c r="AX9" s="38">
        <f>IF(ISNA(VLOOKUP(AP9,$AJ$11:$AM$81,4,0))," ",IF(VLOOKUP(AP9,$AJ$11:$AM$81,4,0)=0,"0",VLOOKUP(AP9,$AJ$11:$AM$81,4,0)))</f>
        <v>4</v>
      </c>
      <c r="AY9" s="288">
        <f>IF(ISNA(VLOOKUP(AP9,$AJ$11:$AM$81,2,0))," ",IF(VLOOKUP(AP9,$AJ$11:$AM$81,2,0)=0,"0",VLOOKUP(AP9,$AJ$11:$AM$81,2,0)))</f>
        <v>9</v>
      </c>
      <c r="AZ9" s="285">
        <f>SUMIFS(AQ9:AW9,$AQ$8:$AW$8,"Pts",AQ9:AW9,"&lt;&gt;#N/A")</f>
        <v>5</v>
      </c>
      <c r="BA9" s="38">
        <f>SUMIFS(AQ9:AX9,$AQ$8:$AX$8,"GA",AQ9:AX9,"&lt;&gt;#N/A")</f>
        <v>-7</v>
      </c>
      <c r="BB9" s="288">
        <f>SUMIFS(AQ9:AY9,$AQ$8:$AY$8,"Score",AQ9:AY9,"&lt;&gt;#N/A")</f>
        <v>21</v>
      </c>
      <c r="BC9" s="293">
        <f>IF(BA9="","",IF(BA9&lt;0,BA9,0))</f>
        <v>-7</v>
      </c>
      <c r="BD9" s="217">
        <f>IF(BA9="","",IF(BA9&gt;0,BA9,0))</f>
        <v>0</v>
      </c>
      <c r="BE9" s="218">
        <f>IF(OR(AP9="",AZ9="",BA9="",BB9=""),"",RANK(AZ9,$AZ$9:$AZ$62)+SUM(-BA9/100)-(+BB9/10000)+COUNTIF(AP$9:AP$62,"&lt;="&amp;AP9+1)/1000000+ROW()/100000000)</f>
        <v>18.067900090000002</v>
      </c>
      <c r="BF9" s="217">
        <f>IF(AP9="","",SMALL(BE$9:BE$62,ROWS(AZ$9:AZ9)))</f>
        <v>0.80630032000000007</v>
      </c>
      <c r="BG9" s="88"/>
      <c r="BH9" s="91" t="str">
        <f>IF(OR(AP9="",AZ9=""),"",INDEX($AP$9:$AP$63,MATCH(BF9,$BE$9:BE$62,0)))</f>
        <v>B6</v>
      </c>
      <c r="BI9" s="2">
        <f t="shared" ref="BI9:BI40" si="0">IF(AP9="","",INDEX($AZ$9:$AZ$63,MATCH(BF9,$BE$9:$BE$62,0)))</f>
        <v>9</v>
      </c>
      <c r="BJ9" s="2">
        <f t="shared" ref="BJ9:BJ40" si="1">IF(AP9="","",INDEX($BA$9:$BA$63,MATCH(BF9,$BE$9:$BE$62,0)))</f>
        <v>19</v>
      </c>
      <c r="BK9" s="2">
        <f t="shared" ref="BK9:BK40" si="2">IF(AP9="","",INDEX($BB$9:$BB$63,MATCH(BF9,$BE$9:$BE$62,0)))</f>
        <v>37</v>
      </c>
      <c r="BL9" s="278">
        <f>IF(BF9="","",1)</f>
        <v>1</v>
      </c>
      <c r="BM9" s="29"/>
      <c r="BN9" s="7"/>
    </row>
    <row r="10" spans="1:66" ht="21" thickBot="1">
      <c r="A10" s="130">
        <v>1</v>
      </c>
      <c r="B10" s="392" t="s">
        <v>66</v>
      </c>
      <c r="C10" s="271">
        <f>IF($Q$5&gt;7,1,0)</f>
        <v>1</v>
      </c>
      <c r="D10" s="400" t="s">
        <v>84</v>
      </c>
      <c r="E10" s="271">
        <f>IF($Q$5&gt;7,1,0)</f>
        <v>1</v>
      </c>
      <c r="F10" s="399" t="s">
        <v>102</v>
      </c>
      <c r="G10" s="271">
        <f>IF($Q$5&gt;7,1,0)</f>
        <v>1</v>
      </c>
      <c r="H10" s="23"/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M10" s="155"/>
      <c r="N10" s="82">
        <v>1</v>
      </c>
      <c r="O10" s="138" t="str">
        <f>IF($Q$5&lt;55&gt;7,J10,0)</f>
        <v>A1</v>
      </c>
      <c r="P10" s="139" t="str">
        <f>IF($Q$5&gt;=8,K10,0)</f>
        <v>B1</v>
      </c>
      <c r="Q10" s="140" t="str">
        <f>IF($Q$5&gt;9,L10,IF($Q$5=9,L10,0))</f>
        <v>C1</v>
      </c>
      <c r="R10" s="178" t="str">
        <f>IF($Q$5=8,K12,IF($Q$5=9,O13,IF($Q$5=10,J12,IF($Q$5=11,J10,IF($Q$5=12,J10,IF($Q$5=13,J11,IF($Q$5=14,J11,IF($Q$5=15,J11,IF($Q$5=16,J11,IF($Q$5=17,J10,IF($Q$5=18,J10,IF($Q$5=19,J11,IF($Q$5=20,J10,IF($Q$5=21,J10,IF($Q$5=22,J11,IF($Q$5=23,J11,IF($Q$5=24,J11,IF($Q$5=25,J11,IF($Q$5=26,J11,IF($Q$5=27,J11,IF($Q$5=28,J11,IF($Q$5=29,J11,IF($Q$5=30,J11,IF($Q$5=31,J11,IF($Q$5=32,J11,IF($Q$5=33,J11,IF($Q$5=34,J11,IF($Q$5=35,J11,IF($Q$5=36,J11,IF($Q$5=37,J11,IF($Q$5=38,J11,IF($Q$5=39,J11,IF($Q$5=40,J11,IF($Q$5=41,J11,IF($Q$5=42,J11,IF($Q$5=43,J11,IF($Q$5=44,J11,IF($Q$5=45,J11,IF($Q$5=46,J11,IF($Q$5=47,J11,IF($Q$5=48,J11,IF($Q$5=49,J11,IF($Q$5=50,J11,IF($Q$5=51,J11,IF($Q$5=52,J11,IF($Q$5=53,J11,IF($Q$5=54,J11,0)))))))))))))))))))))))))))))))))))))))))))))))</f>
        <v>A2</v>
      </c>
      <c r="S10" s="157" t="str">
        <f>IF($Q$5=8,L11,IF($Q$5=9,L11,IF($Q$5=10,K10,IF($Q$5=11,K13,IF($Q$5=12,K13,IF($Q$5=13,L10,IF($Q$5=14,K12,IF($Q$5=15,K13,IF($Q$5=16,K12,IF($Q$5=17,K13,IF($Q$5=18,K13,IF($Q$5=19,K13,IF($Q$5=20,P17,IF($Q$5=21,K13,IF($Q$5=22,K13,IF($Q$5=23,K13,IF($Q$5=24,K16,IF($Q$5=25,K13,IF($Q$5=26,K16,IF($Q$5=27,K13,IF($Q$5=28,K13,IF($Q$5=29,K13,IF($Q$5=30,K13,IF($Q$5=31,K13,IF($Q$5=32,K13,IF($Q$5=33,K13,IF($Q$5=34,K13,IF($Q$5=35,K13,IF($Q$5=36,K12,IF($Q$5=37,K12,IF($Q$5=38,K12,IF($Q$5=39,K12,IF($Q$5=40,K12,IF($Q$5=41,K12,IF($Q$5=42,K12,IF($Q$5=43,K12,IF($Q$5=44,K12,IF($Q$5=45,K12,IF($Q$5=46,K12,IF($Q$5=47,K12,IF($Q$5=48,K12,IF($Q$5=49,K12,IF($Q$5=50,K12,IF($Q$5=51,K12,IF($Q$5=52,K12,IF($Q$5=53,K12,IF($Q$5=54,K12,0)))))))))))))))))))))))))))))))))))))))))))))))</f>
        <v>B4</v>
      </c>
      <c r="T10" s="179" t="str">
        <f>IF($Q$5=9,P13,IF($Q$5=10,L12,IF($Q$5=11,L11,IF($Q$5=12,L12,IF($Q$5=13,P15,IF($Q$5=14,P15,IF($Q$5=15,P14,IF($Q$5=16,L13,IF($Q$5=17,L12,IF($Q$5=18,L12,IF($Q$5=19,P17,IF($Q$5=20,L12,IF($Q$5=21,P10,IF($Q$5=22,L12,IF($Q$5=23,L12,IF($Q$5=24,L12,IF($Q$5=25,L12,IF($Q$5=26,L12,IF($Q$5=27,L12,IF($Q$5=28,L12,IF($Q$5=29,L12,IF($Q$5=30,L12,IF($Q$5=31,L12,IF($Q$5=32,L12,IF($Q$5=33,L12,IF($Q$5=34,L12,IF($Q$5=35,L12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)))))))</f>
        <v>C3</v>
      </c>
      <c r="U10" s="191" t="str">
        <f>IF($Q$5=8,J11,IF($Q$5=9,R11,IF($Q$5=10,J13,IF($Q$5=11,J13,IF($Q$5=12,J10,IF($Q$5=13,R12,IF($Q$5=14,R11,IF($Q$5=15,R11,IF($Q$5=16,R15,IF($Q$5=17,R10,IF(Q$5=18,R10,IF($Q$5=19,R13,IF($Q$5=20,R10,IF($Q$5=21,O10,IF($Q$5=22,R17,IF($Q$5=23,R11,IF($Q$5=24,R17,IF($Q$5=25,R19,IF($Q$5=26,R19,IF($Q$5=27,R18,IF($Q$5=28,R19,IF($Q$5=29,R19,IF($Q$5=30,R19,IF($Q$5=31,R20,IF($Q$5=32,R21,IF($Q$5=33,O10,IF($Q$5=34,O10,IF($Q$5=35,R21,IF($Q$5=36,O12,IF($Q$5=37,R11,IF($Q$5=38,R11,IF($Q$5=39,R11,IF($Q$5=40,R11,IF($Q$5=41,R11,IF($Q$5=42,R11,IF($Q$5=43,R11,IF($Q$5=44,R11,IF($Q$5=45,R11,IF($Q$5=46,R11,IF($Q$5=47,R11,IF($Q$5=48,R11,IF($Q$5=49,R11,IF($Q$5=50,R11,IF($Q$5=51,R11,IF($Q$5=52,R11,IF($Q$5=53,R11,IF($Q$5=54,R11,0)))))))))))))))))))))))))))))))))))))))))))))))</f>
        <v>A1</v>
      </c>
      <c r="V10" s="157" t="str">
        <f>IF($Q$5=8,L10,IF($Q$5=9,T10,IF($Q$5=10,K12,IF($Q$5=11,S12,IF($Q$5=12,P12,IF($Q$5=13,S13,IF($Q$5=14,S12,IF($Q$5=15,S14,IF($Q$5=16,S10,IF($Q$5=17,S13,IF($Q$5=18,S13,IF($Q$5=19,S14,IF($Q$5=20,S13,IF($Q$5=21,S13,IF($Q$5=22,S13,IF($Q$5=23,S13,IF($Q$5=24,S13,IF($Q$5=25,S10,IF($Q$5=26,S13,IF($Q$5=27,S13,IF($Q$5=28,S10,IF($Q$5=29,S13,IF($Q$5=30,S13,IF($Q$5=31,S13,IF($Q$5=32,S10,IF($Q$5=33,S10,IF($Q$5=34,S10,IF($Q$5=35,S10,IF($Q$5=36,S12,IF($Q$5=37,S12,IF($Q$5=38,S12,IF($Q$5=39,S12,IF($Q$5=40,S12,IF($Q$5=41,S12,IF($Q$5=42,S12,IF($Q$5=43,S12,IF($Q$5=44,S12,IF($Q$5=45,S12,IF($Q$5=46,S12,IF($Q$5=47,S12,IF($Q$5=48,S12,IF($Q$5=49,S12,IF($Q$5=50,S12,IF($Q$5=51,S12,IF($Q$5=52,S12,IF($Q$5=53,S12,IF($Q$5=54,S12,0)))))))))))))))))))))))))))))))))))))))))))))))</f>
        <v>B3</v>
      </c>
      <c r="W10" s="172" t="str">
        <f>IF($Q$5=9,L11,IF($Q$5=10,L11,IF($Q$5=11,T11,IF($Q$5=12,T11,IF($Q$5=13,S11,IF($Q$5=14,S14,IF($Q$5=15,T12,IF($Q$5=16,T11,IF($Q$5=17,T12,IF($Q$5=18,T12,IF($Q$5=19,T12,IF($Q$5=20,T12,IF($Q$5=21,T12,IF($Q$5=22,T12,IF(Q$5=23,T12,IF($Q$5=24,T12,IF($Q$5=25,T12,IF($Q$5=26,T12,IF($Q$5=27,T12,IF($Q$5=28,T12,IF($Q$5=29,T11,IF($Q$5=30,T12,IF($Q$5=31,T12,IF($Q$5=32,T11,IF($Q$5=33,T11,IF($Q$5=34,T11,IF($Q$5=35,T11,IF($Q$5=36,T13,IF($Q$5=37,T13,IF($Q$5=38,T13,IF($Q$5=39,T13,IF($Q$5=40,T13,IF($Q$5=41,T13,IF($Q$5=42,T13,IF($Q$5=43,T13,IF($Q$5=44,T13,IF($Q$5=45,T13,IF($Q$5=46,T13,IF($Q$5=47,T13,IF($Q$5=48,T13,IF($Q$5=49,T13,IF($Q$5=50,T13,IF($Q$5=51,T13,IF($Q$5=52,T13,IF($Q$5=53,T13,IF($Q$5=54,T13,0))))))))))))))))))))))))))))))))))))))))))))))</f>
        <v>C5</v>
      </c>
      <c r="X10" s="23"/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3</v>
      </c>
      <c r="AR10" s="99">
        <f t="shared" ref="AR10:AR62" si="4">IF(ISNA(VLOOKUP(AP10,$Z$11:$AC$81,4,0))," ",IF(VLOOKUP(AP10,$Z$11:$AC$81,4,0)=0,"0",VLOOKUP(AP10,$Z$11:$AC$81,4,0)))</f>
        <v>5</v>
      </c>
      <c r="AS10" s="219">
        <f t="shared" ref="AS10:AS62" si="5">IF(ISNA(VLOOKUP(AP10,$Z$11:$AC$81,2,0))," ",IF(VLOOKUP(AP10,$Z$11:$AC$81,2,0)=0,"0",VLOOKUP(AP10,$Z$11:$AC$81,2,0)))</f>
        <v>10</v>
      </c>
      <c r="AT10" s="289">
        <f t="shared" ref="AT10:AT62" si="6">IF(ISNA(VLOOKUP(AP10,$AE$11:$AH$81,3,0))," ",IF(VLOOKUP(AP10,$AE$11:$AH$81,3,0)=0,"0",VLOOKUP(AP10,$AE$11:$AH$81,3,0)))</f>
        <v>1</v>
      </c>
      <c r="AU10" s="99">
        <f t="shared" ref="AU10:AU62" si="7">IF(ISNA(VLOOKUP(AP10,$AE$11:$AH$81,4,0))," ",IF(VLOOKUP(AP10,$AE$11:$AH$81,4,0)=0,"0",VLOOKUP(AP10,$AE$11:$AH$81,4,0)))</f>
        <v>-3</v>
      </c>
      <c r="AV10" s="291">
        <f t="shared" ref="AV10:AV62" si="8">IF(ISNA(VLOOKUP(AP10,$AE$11:$AH$81,2,0))," ",IF(VLOOKUP(AP10,$AE$11:$AH$81,2,0)=0,"0",VLOOKUP(AP10,$AE$11:$AH$81,2,0)))</f>
        <v>5</v>
      </c>
      <c r="AW10" s="286">
        <f t="shared" ref="AW10:AW62" si="9">IF(ISNA(VLOOKUP(AP10,$AJ$11:$AM$81,3,0))," ",IF(VLOOKUP(AP10,$AJ$11:$AM$81,3,0)=0,"0",VLOOKUP(AP10,$AJ$11:$AM$81,3,0)))</f>
        <v>3</v>
      </c>
      <c r="AX10" s="99">
        <f t="shared" ref="AX10:AX62" si="10">IF(ISNA(VLOOKUP(AP10,$AJ$11:$AM$81,4,0))," ",IF(VLOOKUP(AP10,$AJ$11:$AM$81,4,0)=0,"0",VLOOKUP(AP10,$AJ$11:$AM$81,4,0)))</f>
        <v>2</v>
      </c>
      <c r="AY10" s="291">
        <f t="shared" ref="AY10:AY62" si="11">IF(ISNA(VLOOKUP(AP10,$AJ$11:$AM$81,2,0))," ",IF(VLOOKUP(AP10,$AJ$11:$AM$81,2,0)=0,"0",VLOOKUP(AP10,$AJ$11:$AM$81,2,0)))</f>
        <v>11</v>
      </c>
      <c r="AZ10" s="286">
        <f>SUMIFS(AQ10:AW10,$AQ$8:$AW$8,"Pts",AQ10:AW10,"&lt;&gt;#N/A")</f>
        <v>7</v>
      </c>
      <c r="BA10" s="99">
        <f t="shared" ref="BA10:BA62" si="12">SUMIFS(AQ10:AX10,$AQ$8:$AX$8,"GA",AQ10:AX10,"&lt;&gt;#N/A")</f>
        <v>4</v>
      </c>
      <c r="BB10" s="291">
        <f t="shared" ref="BB10:BB62" si="13">SUMIFS(AQ10:AY10,$AQ$8:$AY$8,"Score",AQ10:AY10,"&lt;&gt;#N/A")</f>
        <v>26</v>
      </c>
      <c r="BC10" s="294">
        <f t="shared" ref="BC10:BC62" si="14">IF(BA10="","",IF(BA10&lt;0,BA10,0))</f>
        <v>0</v>
      </c>
      <c r="BD10" s="7">
        <f t="shared" ref="BD10:BD62" si="15">IF(BA10="","",IF(BA10&gt;0,BA10,0))</f>
        <v>4</v>
      </c>
      <c r="BE10" s="218">
        <f t="shared" ref="BE10:BE62" si="16">IF(OR(AP10="",AZ10="",BA10="",BB10=""),"",RANK(AZ10,$AZ$9:$AZ$62)+SUM(-BA10/100)-(+BB10/10000)+COUNTIF(AP$9:AP$62,"&lt;="&amp;AP10+1)/1000000+ROW()/100000000)</f>
        <v>3.9574000999999996</v>
      </c>
      <c r="BF10" s="99">
        <f>IF(AP10="","",SMALL(BE$9:BE$62,ROWS(AZ$9:AZ10)))</f>
        <v>0.82810016999999991</v>
      </c>
      <c r="BG10" s="88"/>
      <c r="BH10" s="289" t="str">
        <f>IF(OR(AP10="",AZ10=""),"",INDEX($AP$9:$AP$63,MATCH(BF10,$BE$9:BE$62,0)))</f>
        <v>A9</v>
      </c>
      <c r="BI10" s="7">
        <f t="shared" si="0"/>
        <v>9</v>
      </c>
      <c r="BJ10" s="7">
        <f t="shared" si="1"/>
        <v>17</v>
      </c>
      <c r="BK10" s="7">
        <f t="shared" si="2"/>
        <v>19</v>
      </c>
      <c r="BL10" s="279">
        <f>IF(BF10="","",IF(AND(BI9=BI10,BJ9=BJ10,BK9=BK10),BL9,$BL$9+1))</f>
        <v>2</v>
      </c>
      <c r="BM10" s="29"/>
      <c r="BN10" s="7"/>
    </row>
    <row r="11" spans="1:66" ht="21" thickBot="1">
      <c r="A11" s="131">
        <v>2</v>
      </c>
      <c r="B11" s="393" t="s">
        <v>67</v>
      </c>
      <c r="C11" s="272">
        <f>IF($Q$5&gt;7,2,0)</f>
        <v>2</v>
      </c>
      <c r="D11" s="398" t="s">
        <v>85</v>
      </c>
      <c r="E11" s="272">
        <f>IF($Q$5&gt;7,2,0)</f>
        <v>2</v>
      </c>
      <c r="F11" s="396" t="s">
        <v>103</v>
      </c>
      <c r="G11" s="272">
        <f>IF($Q$5&gt;7,2,0)</f>
        <v>2</v>
      </c>
      <c r="H11" s="23"/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M11" s="155"/>
      <c r="N11" s="52" t="s">
        <v>5</v>
      </c>
      <c r="O11" s="141" t="str">
        <f>IF($Q$5&gt;=8,J11,0)</f>
        <v>A2</v>
      </c>
      <c r="P11" s="144" t="str">
        <f>IF($Q$5&gt;=8,K11,0)</f>
        <v>B2</v>
      </c>
      <c r="Q11" s="152" t="str">
        <f>IF($Q$5=10,L11,IF($Q$5=11,L11,IF($Q$5=12,L11,IF($Q$5=14,L11,IF($Q$5=15,L11,IF($Q$5=16,L11,IF($Q$5=17,L11,IF($Q$5=18,L11,IF($Q$5=19,L11,IF($Q$5=20,L11,IF($Q$5=21,L11,IF($Q$5=22,L11,IF($Q$5=23,L11,IF($Q$5=24,L11,IF($Q$5=25,L11,IF($Q$5=26,L11,IF($Q$5=27,L11,IF($Q$5=28,L11,IF($Q$5=29,L11,IF($Q$5=30,L11,IF($Q$5=31,L11,IF($Q$5=32,L11,IF($Q$5=33,L11,IF($Q$5=34,L11,IF($Q$5=35,L11,IF($Q$5=36,L11,IF($Q$5=37,L11,IF($Q$5=38,L11,IF($Q$5=39,L11,IF($Q$5=40,L11,IF($Q$5=41,L11,IF($Q$5=42,L11,IF($Q$5=43,L11,IF($Q$5=44,L11,IF($Q$5=45,L11,IF($Q$5=46,L11,IF($Q$5=47,L11,IF($Q$5=48,L11,IF($Q$5=49,L11,IF($Q$5=50,L11,IF($Q$5=51,L11,IF($Q$5=52,L11,IF($Q$5=53,L11,IF($Q$5=54,L11,0))))))))))))))))))))))))))))))))))))))))))))</f>
        <v>C2</v>
      </c>
      <c r="R11" s="158" t="str">
        <f>IF($Q$5=8,J10,IF($Q$5=9,O10,IF($Q$5=10,J13,IF($Q$5=11,J12,IF($Q$5=12,J13,IF($Q$5=13,J12,IF($Q$5=14,J12,IF($Q$5=15,J12,IF($Q$5=16,J12,IF($Q$5=17,J12,IF($Q$5=18,J12,IF($Q$5=19,J13,IF($Q$5=20,J12,IF($Q$5=21,J12,IF($Q$5=22,J12,IF($Q$5=23,J12,IF($Q$5=24,J12,IF($Q$5=25,J12,IF($Q$5=26,J12,IF($Q$5=27,J12,IF($Q$5=28,J12,IF($Q$5=29,J12,IF($Q$5=30,J12,IF($Q$5=31,J12,IF($Q$5=32,J12,IF($Q$5=33,J12,IF($Q$5=34,J12,IF($Q$5=35,J12,IF($Q$5=36,J12,IF($Q$5=37,J12,IF($Q$5=38,J12,IF($Q$5=39,J12,IF($Q$5=40,J12,IF($Q$5=41,J12,IF($Q$5=42,J12,IF($Q$5=43,J12,IF($Q$5=44,J12,IF($Q$5=45,J12,IF($Q$5=46,J12,IF($Q$5=47,J12,IF($Q$5=48,J12,IF($Q$5=49,J12,IF($Q$5=50,J12,IF($Q$5=51,J12,IF($Q$5=52,J12,IF($Q$5=53,J12,IF($Q$5=54,J12,0)))))))))))))))))))))))))))))))))))))))))))))))</f>
        <v>A3</v>
      </c>
      <c r="S11" s="159" t="str">
        <f>IF($Q$5=8,L10,IF($Q$5=9,K11,IF($Q$5=10,L11,IF($Q$5=11,K10,IF($Q$5=12,K12,IF($Q$5=13,P13,IF($Q$5=14,K13,IF($Q$5=15,K10,IF($Q$5=16,K13,IF($Q$5=17,K14,IF($Q$5=18,K14,IF($Q$5=19,K14,IF($Q$5=20,K14,IF($Q$5=21,K14,IF($Q$5=22,K14,IF($Q$5=23,K14,IF($Q$5=24,K14,IF($Q$5=25,K14,IF($Q$5=26,K14,IF(Q$5=27,K14,IF($Q$5=28,K14,IF($Q$5=29,K14,IF($Q$5=30,K14,IF($Q$5=31,K14,IF($Q$5=32,K14,IF($Q$5=33,K14,IF($Q$5=34,K14,IF($Q$5=35,K14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B5</v>
      </c>
      <c r="T11" s="180" t="str">
        <f>IF($Q$5=10,L10,IF($Q$5=11,L12,IF($Q$5=12,L11,IF($Q$5=14,L10,IF($Q$5=15,P15,IF($Q$5=16,P15,IF($Q$5=17,L11,IF($Q$5=18,L13,IF($Q$5=19,L10,IF($Q$5=20,L11,IF($Q$5=21,P17,IF($Q$5=22,L13,IF($Q$5=23,L13,IF($Q$5=24,L13,IF($Q$5=25,L13,IF($Q$5=26,L13,IF($Q$5=27,L13,IF($Q$5=28,L13,IF($Q$5=29,L10,IF($Q$5=30,L10,IF($Q$5=31,L13,IF($Q$5=32,L11,IF($Q$5=33,L11,IF($Q$5=34,L11,IF($Q$5=35,L11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))))))))</f>
        <v>C1</v>
      </c>
      <c r="U11" s="185" t="str">
        <f>IF($Q$5=8,J12,IF($Q$5=9,R12,IF($Q$5=10,J10,IF($Q$5=11,O11,IF($Q$5=12,O12,IF($Q$5=13,R11,IF($Q$5=14,R12,IF($Q$5=15,O13,IF($Q$5=16,O12,IF($Q$5=17,R12,IF($Q$5=18,R14,IF($Q$5=19,R14,IF($Q$5=20,R13,IF($Q$5=21,O14,IF($Q$5=22,O12,IF(Q$5=23,R13,IF($Q$5=24,O13,IF($Q$5=25,R12,IF($Q$5=26,O13,IF($Q$5=27,O13,IF($Q$5=28,O13,IF($Q$5=29,O13,IF($Q$5=30,O13,IF($Q$5=31,O13,IF($Q$5=32,R12,IF($Q$5=33,O13,IF($Q$5=34,O13,IF($Q$5=35,R12,IF($Q$5=36,O13,IF($Q$5=37,O13,IF($Q$5=38,O13,IF($Q$5=39,O13,IF($Q$5=40,O13,IF($Q$5=41,O13,IF($Q$5=42,R12,IF($Q$5=43,R12,IF($Q$5=44,O13,IF($Q$5=45,O13,IF($Q$5=46,R12,IF($Q$5=47,O13,IF($Q$5=48,O13,IF($Q$5=49,O13,IF($Q$5=50,O13,IF($Q$5=51,O13,IF($Q$5=52,O13,IF($Q$5=53,R12,IF($Q$5=54,O13,0)))))))))))))))))))))))))))))))))))))))))))))))</f>
        <v>A4</v>
      </c>
      <c r="V11" s="163" t="str">
        <f>IF($Q$5=8,K10,IF($Q$5=9,S12,IF($Q$5=10,K10,IF(Q$5=11,S10,IF($Q$5=12,S10,IF($Q$5=13,R15,IF($Q$5=14,S10,IF($Q$5=15,S10,IF($Q$5=16,S11,IF($Q$5=17,S10,IF($Q$5=18,S12,IF($Q$5=19,S10,IF($Q$5=20,S10,IF($Q$5=21,S17,IF($Q$5=22,S10,IF($Q$5=23,S10,IF($Q$5=24,S10,IF($Q$5=25,S13,IF($Q$5=26,S10,IF($Q$5=27,S10,IF($Q$5=28,S13,IF($Q$5=29,S10,IF($Q$5=30,S11,IF($Q$5=31,S10,IF($Q$5=32,S11,IF($Q$5=33,S11,IF($Q$5=34,S11,IF($Q$5=35,S11,IF($Q$5=36,S13,IF($Q$5=37,S13,IF($Q$5=38,S13,IF($Q$5=39,S13,IF($Q$5=40,S13,IF($Q$5=41,S13,IF($Q$5=42,S13,IF($Q$5=43,S13,IF($Q$5=44,S13,IF($Q$5=45,S13,IF($Q$5=46,S13,IF($Q$5=47,S13,IF($Q$5=48,S13,IF($Q$5=49,S13,IF($Q$5=50,S13,IF($Q$5=51,S13,IF($Q$5=52,S13,IF($Q$5=53,S13,IF($Q$5=54,S13,0)))))))))))))))))))))))))))))))))))))))))))))))</f>
        <v>B5</v>
      </c>
      <c r="W11" s="173" t="str">
        <f>IF($Q$5=10,L12,IF($Q$5=11,T10,IF($Q$5=12,Q10,IF(Q$5=14,T11,IF($Q$5=15,T11,IF(Q$5=16,S15,IF($Q$5=17,T13,IF($Q$5=18,T13,IF($Q$5=19,S17,IF($Q$5=20,T11,IF($Q$5=21,T10,IF($Q$5=22,T13,IF($Q$5=23,T13,IF($Q$5=24,T13,IF($Q$5=25,T13,IF($Q$5=26,T13,IF($Q$5=27,T13,IF($Q$5=28,T13,IF($Q$5=29,T13,IF($Q$5=30,T13,IF($Q$5=31,T13,IF($Q$5=32,T10,IF($Q$5=33,T10,IF($Q$5=34,T10,IF($Q$5=35,T10,IF($Q$5=36,T14,IF($Q$5=37,T14,IF($Q$5=38,T14,IF($Q$5=39,T14,IF($Q$5=40,T14,IF($Q$5=41,T14,IF($Q$5=42,T14,IF($Q$5=43,T14,IF($Q$5=44,T14,IF($Q$5=45,T14,IF($Q$5=46,T14,IF($Q$5=47,T14,IF($Q$5=48,T14,IF($Q$5=49,T14,IF($Q$5=50,T14,IF($Q$5=51,T14,IF($Q$5=52,T14,IF($Q$5=53,T14,IF($Q$5=54,T14,0))))))))))))))))))))))))))))))))))))))))))))</f>
        <v>C6</v>
      </c>
      <c r="X11" s="23"/>
      <c r="Y11" s="446">
        <v>1</v>
      </c>
      <c r="Z11" s="12" t="str">
        <f>+O10</f>
        <v>A1</v>
      </c>
      <c r="AA11" s="33">
        <v>5</v>
      </c>
      <c r="AB11" s="48">
        <f>IF(AA11+AA15=0,0,IF(AA11=AA15,2,IF(AA11&gt;AA15,3,1)))</f>
        <v>1</v>
      </c>
      <c r="AC11" s="13">
        <f>AA11-AA15</f>
        <v>-5</v>
      </c>
      <c r="AD11" s="9"/>
      <c r="AE11" s="12" t="str">
        <f>+R10</f>
        <v>A2</v>
      </c>
      <c r="AF11" s="126">
        <v>5</v>
      </c>
      <c r="AG11" s="48">
        <f>IF(AF11+AF15=0,0,IF(AF11=AF15,2,IF(AF11&gt;AF15,3,1)))</f>
        <v>1</v>
      </c>
      <c r="AH11" s="13">
        <f>AF11-AF15</f>
        <v>-3</v>
      </c>
      <c r="AI11" s="9"/>
      <c r="AJ11" s="12" t="str">
        <f>+U10</f>
        <v>A1</v>
      </c>
      <c r="AK11" s="36">
        <v>9</v>
      </c>
      <c r="AL11" s="48">
        <f>IF(AK11+AK15=0,0,IF(AK11=AK15,2,IF(AK11&gt;AK15,3,1)))</f>
        <v>3</v>
      </c>
      <c r="AM11" s="13">
        <f>AK11-AK15</f>
        <v>4</v>
      </c>
      <c r="AN11" s="23"/>
      <c r="AO11" s="54">
        <v>3</v>
      </c>
      <c r="AP11" s="321" t="str">
        <f>+Inscrits!B5</f>
        <v>A3</v>
      </c>
      <c r="AQ11" s="286">
        <f t="shared" si="3"/>
        <v>3</v>
      </c>
      <c r="AR11" s="99">
        <f t="shared" si="4"/>
        <v>4</v>
      </c>
      <c r="AS11" s="219">
        <f t="shared" si="5"/>
        <v>8</v>
      </c>
      <c r="AT11" s="289">
        <f t="shared" si="6"/>
        <v>3</v>
      </c>
      <c r="AU11" s="99">
        <f t="shared" si="7"/>
        <v>3</v>
      </c>
      <c r="AV11" s="291">
        <f t="shared" si="8"/>
        <v>8</v>
      </c>
      <c r="AW11" s="286">
        <f t="shared" si="9"/>
        <v>1</v>
      </c>
      <c r="AX11" s="99">
        <f t="shared" si="10"/>
        <v>-3</v>
      </c>
      <c r="AY11" s="291">
        <f t="shared" si="11"/>
        <v>10</v>
      </c>
      <c r="AZ11" s="286">
        <f t="shared" ref="AZ11:AZ62" si="17">SUMIFS(AQ11:AW11,$AQ$8:$AW$8,"Pts",AQ11:AW11,"&lt;&gt;#N/A")</f>
        <v>7</v>
      </c>
      <c r="BA11" s="99">
        <f t="shared" si="12"/>
        <v>4</v>
      </c>
      <c r="BB11" s="291">
        <f t="shared" si="13"/>
        <v>26</v>
      </c>
      <c r="BC11" s="294">
        <f t="shared" si="14"/>
        <v>0</v>
      </c>
      <c r="BD11" s="7">
        <f t="shared" si="15"/>
        <v>4</v>
      </c>
      <c r="BE11" s="218">
        <f t="shared" si="16"/>
        <v>3.95740011</v>
      </c>
      <c r="BF11" s="99">
        <f>IF(AP11="","",SMALL(BE$9:BE$62,ROWS(AZ$9:AZ11)))</f>
        <v>0.84700028999999999</v>
      </c>
      <c r="BG11" s="88"/>
      <c r="BH11" s="289" t="str">
        <f>IF(OR(AP11="",AZ11=""),"",INDEX($AP$9:$AP$63,MATCH(BF11,$BE$9:BE$62,0)))</f>
        <v>B3</v>
      </c>
      <c r="BI11" s="7">
        <f t="shared" si="0"/>
        <v>9</v>
      </c>
      <c r="BJ11" s="7">
        <f t="shared" si="1"/>
        <v>15</v>
      </c>
      <c r="BK11" s="7">
        <f t="shared" si="2"/>
        <v>30</v>
      </c>
      <c r="BL11" s="280">
        <f>IF(BF11="","",IF(AND(BI10=BI11,BJ10=BJ11,BK10=BK11),BL10,$BL$9+2))</f>
        <v>3</v>
      </c>
      <c r="BM11" s="29"/>
      <c r="BN11" s="7"/>
    </row>
    <row r="12" spans="1:66" ht="21" thickBot="1">
      <c r="A12" s="131">
        <v>3</v>
      </c>
      <c r="B12" s="393" t="s">
        <v>68</v>
      </c>
      <c r="C12" s="272">
        <f>IF($Q$5&gt;7,3,0)</f>
        <v>3</v>
      </c>
      <c r="D12" s="398" t="s">
        <v>86</v>
      </c>
      <c r="E12" s="272">
        <f>IF($Q$5&gt;7,3,0)</f>
        <v>3</v>
      </c>
      <c r="F12" s="396" t="s">
        <v>104</v>
      </c>
      <c r="G12" s="272">
        <f>IF($Q$5=8,0,3)</f>
        <v>3</v>
      </c>
      <c r="H12" s="23"/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M12" s="155"/>
      <c r="N12" s="82">
        <v>2</v>
      </c>
      <c r="O12" s="138" t="str">
        <f>IF($Q$5&gt;=8,J12,0)</f>
        <v>A3</v>
      </c>
      <c r="P12" s="139" t="str">
        <f>IF($Q$5&gt;=10,K12,IF($Q$5=8,L10,IF($Q$5=9,L11,0)))</f>
        <v>B3</v>
      </c>
      <c r="Q12" s="153" t="str">
        <f>IF($Q$5=11,L12,IF($Q$5=12,L12,IF($Q$5=15,L14,IF($Q$5=16,L12,IF($Q$5=17,L12,IF($Q$5=18,L12,IF($Q$5=19,L12,IF($Q$5=20,L12,IF($Q$5=21,L12,IF($Q$5=22,L12,IF($Q$5=23,L12,IF($Q$5=24,L12,IF($Q$5=25,L12,IF($Q$5=26,L12,IF($Q$5=27,L12,IF($Q$5=28,L12,IF($Q$5=29,L12,IF($Q$5=30,L12,IF($Q$5=31,L12,IF($Q$5=32,L12,IF($Q$5=33,L12,IF($Q$5=34,L12,IF($Q$5=35,L12,IF($Q$5=36,L12,IF($Q$5=37,L12,IF($Q$5=38,L12,IF($Q$5=39,L12,IF($Q$5=40,L12,IF($Q$5=41,L12,IF($Q$5=42,L12,IF($Q$5=43,L12,IF($Q$5=44,L12,IF($Q$5=45,L12,IF($Q$5=46,L12,IF($Q$5=47,L12,IF($Q$5=48,L12,IF($Q$5=49,L12,IF($Q$5=50,L12,IF($Q$5=51,L12,IF($Q$5=52,L12,IF($Q$5=53,L12,IF($Q$5=54,L12,0))))))))))))))))))))))))))))))))))))))))))</f>
        <v>C3</v>
      </c>
      <c r="R12" s="160" t="str">
        <f>IF($Q$5=8,J11,IF($Q$5=9,O11,IF($Q$5=10,J10,IF($Q$5=11,J11,IF(Q$5=12,J12,IF($Q$5=13,J10,IF($Q$5=14,J13,IF($Q$5=15,J13,IF($Q$5=16,J13,IF($Q$5=17,J14,IF($Q$5=18,J14,IF($Q$5=19,J12,IF($Q$5=20,J11,IF($Q$5=21,J11,IF($Q$5=22,J13,IF($Q$5=23,J13,IF($Q$5=24,J13,IF($Q$5=25,J13,IF($Q$5=26,J13,IF($Q$5=27,J13,IF($Q$5=28,J13,IF($Q$5=29,J13,IF($Q$5=30,J13,IF($Q$5=31,J13,IF($Q$5=32,J13,IF($Q$5=33,J13,IF($Q$5=34,J13,IF($Q$5=35,J13,IF($Q$5=36,J13,IF($Q$5=37,J13,IF($Q$5=38,J13,IF($Q$5=39,J13,IF($Q$5=40,J13,IF($Q$5=41,J13,IF($Q$5=42,J13,IF($Q$5=43,J13,IF($Q$5=44,J13,IF($Q$5=45,J13,IF($Q$5=46,J13,IF($Q$5=47,J13,IF($Q$5=48,J13,IF($Q$5=49,J13,IF($Q$5=50,C13,IF($Q$5=51,C13,IF($Q$5=52,C13,IF($Q$5=53,O13,IF($Q$5=54,O13,0)))))))))))))))))))))))))))))))))))))))))))))))</f>
        <v>A4</v>
      </c>
      <c r="S12" s="157" t="str">
        <f>IF($Q$5=8,K11,IF($Q$5=9,P10,IF($Q$5=10,K11,IF($Q$5=11,K11,IF($Q$5=12,K11,IF($Q$5=13,K11,IF($Q$5=14,K10,IF($Q$5=15,K11,IF($Q$5=16,K14,IF($Q$5=17,K11,IF($Q$5=18,K11,IF($Q$5=19,K11,IF($Q$5=20,K10,IF($Q$5=21,K11,IF($Q$5=22,K11,IF($Q$5=23,K15,IF($Q$5=24,K10,IF($Q$5=25,K11,IF($Q$5=26,K11,IF($Q$5=27,K11,IF($Q$5=28,K11,IF($Q$5=29,K11,IF($Q$5=30,K11,IF($Q$5=31,K10,IF($Q$5=32,K11,IF($Q$5=33,K11,IF($Q$5=34,K11,IF($Q$5=35,K11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)))))</f>
        <v>B2</v>
      </c>
      <c r="T12" s="179" t="str">
        <f>IF($Q$5=11,L10,IF($Q$5=12,L10,IF($Q$5=15,Q12,IF($Q$5=16,L10,IF($Q$5=17,L13,IF($Q$5=18,L15,IF($Q$5=19,P15,IF($Q$5=20,L13,IF($Q$5=21,L13,IF($Q$5=22,L14,IF($Q$5=23,L11,IF($Q$5=24,L11,IF($Q$5=25,P19,IF($Q$5=26,P19,IF($Q$5=27,P19,IF($Q$5=28,L10,IF($Q$5=29,L13,IF($Q$5=30,L14,IF($Q$5=31,L14,IF($Q$5=32,L14,IF($Q$5=33,L14,IF($Q$5=34,L14,IF($Q$5=35,L14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)))))))))</f>
        <v>C5</v>
      </c>
      <c r="U12" s="165" t="str">
        <f>IF($Q$5=8,J10,IF($Q$5=9,O12,IF($Q$5=10,J11,IF($Q$5=11,O10,IF($Q$5=12,O11,IF($Q$5=13,R14,IF(Q$5=14,R13,IF($Q$5=15,R13,IF(Q$5=16,O14,IF($Q$5=17,O13,IF($Q$5=18,R11,IF($Q$5=19,R12,IF($Q$5=20,R12,IF($Q$5=21,O13,IF($Q$5=22,R10,IF($Q$5=23,O13,IF($Q$5=24,O12,IF($Q$5=25,O12,IF($Q$5=26,O12,IF($Q$5=27,O12,IF($Q$5=28,O12,IF($Q$5=29,O12,IF($Q$5=30,O12,IF($Q$5=31,O12,IF($Q$5=32,O12,IF($Q$5=33,O12,IF($Q$5=34,O12,IF($Q$5=35,R11,IF($Q$5=36,O14,IF($Q$5=37,O14,IF($Q$5=38,O14,IF($Q$5=39,O14,IF($Q$5=40,O14,IF($Q$5=41,O14,IF($Q$5=42,O14,IF($Q$5=43,O14,IF($Q$5=44,O14,IF($Q$5=45,O14,IF($Q$5=46,O14,IF($Q$5=47,O14,IF($Q$5=48,O14,IF($Q$5=49,R13,IF($Q$5=50,O14,IF($Q$5=51,O14,IF($Q$5=52,O14,IF($Q$5=53,O14,IF($Q$5=54,O14,0)))))))))))))))))))))))))))))))))))))))))))))))</f>
        <v>A3</v>
      </c>
      <c r="V12" s="157" t="str">
        <f>IF($Q$5=8,L11,IF($Q$5=9,Q10,IF($Q$5=10,L10,IF($Q$5=11,S13,IF($Q$5=12,P10,IF($Q$5=13,S10,IF($Q$5=14,S13,IF($Q$5=15,S11,IF($Q$5=16,S14,IF($Q$5=17,S11,IF($Q$5=18,S11,IF($Q$5=19,S11,IF($Q$5=20,S11,IF($Q$5=21,S11,IF($Q$5=22,S11,IF($Q$5=23,S11,IF($Q$5=24,S11,IF($Q$5=25,S11,IF($Q$5=26,S11,IF($Q$5=27,S11,IF($Q$5=28,S11,IF($Q$5=29,S11,IF($Q$5=30,S10,IF($Q$5=31,S11,IF($Q$5=32,S16,IF($Q$5=33,S16,IF($Q$5=34,S16,IF($Q$5=35,S16,IF($Q$5=36,S14,IF($Q$5=37,S14,IF($Q$5=38,S14,IF($Q$5=39,S14,IF($Q$5=40,S14,IF($Q$5=41,S14,IF($Q$5=42,S14,IF($Q$5=43,S14,IF($Q$5=44,S14,IF($Q$5=45,S14,IF($Q$5=46,S14,IF($Q$5=47,S14,IF($Q$5=48,S14,IF($Q$5=49,S14,IF($Q$5=50,S14,IF($Q$5=51,S14,IF($Q$5=52,S14,IF($Q$5=53,S14,IF($Q$5=54,S14,0)))))))))))))))))))))))))))))))))))))))))))))))</f>
        <v>B4</v>
      </c>
      <c r="W12" s="172" t="str">
        <f>IF($Q$5=11,T12,IF($Q$5=12,T13,IF($Q$5=14,T14,IF($Q$5=15,S15,IF(Q$5=16,T10,IF($Q$5=17,T14,IF($Q$5=18,T14,IF($Q$5=19,S16,IF($Q$5=20,S16,IF($Q$5=21,T14,IF($Q$5=22,T14,IF($Q$5=23,T14,IF($Q$5=24,T14,IF($Q$5=25,S19,IF($Q$5=26,T14,IF($Q$5=27,T14,IF($Q$5=28,T14,IF($Q$5=29,T14,IF($Q$5=30,T14,IF($Q$5=31,T14,IF($Q$5=32,T12,IF($Q$5=33,T12,IF($Q$5=34,T12,IF($Q$5=35,T12,IF($Q$5=36,T15,IF($Q$5=37,T15,IF($Q$5=38,T15,IF($Q$5=39,T15,IF($Q$5=40,T15,IF($Q$5=41,T15,IF($Q$5=42,T15,IF($Q$5=43,T15,IF($Q$5=44,T15,IF($Q$5=45,T15,IF($Q$5=46,T15,IF($Q$5=47,T15,IF($Q$5=48,T15,IF($Q$5=49,T15,IF($Q$5=50,T15,IF($Q$5=51,T15,IF($Q$5=52,T15,IF($Q$5=53,T15,IF($Q$5=54,T15,0)))))))))))))))))))))))))))))))))))))))))))</f>
        <v>C2</v>
      </c>
      <c r="X12" s="23"/>
      <c r="Y12" s="447"/>
      <c r="Z12" s="14" t="str">
        <f>+P10</f>
        <v>B1</v>
      </c>
      <c r="AA12" s="59">
        <f>IF(ISTEXT(Z12),AA11,0)</f>
        <v>5</v>
      </c>
      <c r="AB12" s="59">
        <f>IF(ISTEXT(Z12),AB11,0)</f>
        <v>1</v>
      </c>
      <c r="AC12" s="60">
        <f>IF(ISTEXT(Z12),AC11,0)</f>
        <v>-5</v>
      </c>
      <c r="AD12" s="11"/>
      <c r="AE12" s="14" t="str">
        <f>+S10</f>
        <v>B4</v>
      </c>
      <c r="AF12" s="59">
        <f>IF(ISTEXT(AE12),AF11,0)</f>
        <v>5</v>
      </c>
      <c r="AG12" s="59">
        <f>IF(ISTEXT(AE12),AG11,0)</f>
        <v>1</v>
      </c>
      <c r="AH12" s="61">
        <f>IF(ISTEXT(AE12),AH11,0)</f>
        <v>-3</v>
      </c>
      <c r="AI12" s="11"/>
      <c r="AJ12" s="14" t="str">
        <f>+V10</f>
        <v>B3</v>
      </c>
      <c r="AK12" s="18">
        <f>IF(ISTEXT(AJ12),AK11,0)</f>
        <v>9</v>
      </c>
      <c r="AL12" s="59">
        <f>IF(ISTEXT(AJ12),AL11,0)</f>
        <v>3</v>
      </c>
      <c r="AM12" s="62">
        <f>IF(ISTEXT(AJ12),AM11,0)</f>
        <v>4</v>
      </c>
      <c r="AN12" s="23"/>
      <c r="AO12" s="54">
        <v>4</v>
      </c>
      <c r="AP12" s="321" t="str">
        <f>+Inscrits!B6</f>
        <v>A4</v>
      </c>
      <c r="AQ12" s="286">
        <f t="shared" si="3"/>
        <v>1</v>
      </c>
      <c r="AR12" s="99">
        <f t="shared" si="4"/>
        <v>-4</v>
      </c>
      <c r="AS12" s="219">
        <f t="shared" si="5"/>
        <v>4</v>
      </c>
      <c r="AT12" s="289">
        <f t="shared" si="6"/>
        <v>1</v>
      </c>
      <c r="AU12" s="99">
        <f t="shared" si="7"/>
        <v>-7</v>
      </c>
      <c r="AV12" s="291">
        <f t="shared" si="8"/>
        <v>6</v>
      </c>
      <c r="AW12" s="286">
        <f t="shared" si="9"/>
        <v>1</v>
      </c>
      <c r="AX12" s="99">
        <f t="shared" si="10"/>
        <v>-4</v>
      </c>
      <c r="AY12" s="291">
        <f t="shared" si="11"/>
        <v>5</v>
      </c>
      <c r="AZ12" s="286">
        <f t="shared" si="17"/>
        <v>3</v>
      </c>
      <c r="BA12" s="99">
        <f t="shared" si="12"/>
        <v>-15</v>
      </c>
      <c r="BB12" s="291">
        <f t="shared" si="13"/>
        <v>15</v>
      </c>
      <c r="BC12" s="294">
        <f t="shared" si="14"/>
        <v>-15</v>
      </c>
      <c r="BD12" s="7">
        <f t="shared" si="15"/>
        <v>0</v>
      </c>
      <c r="BE12" s="218">
        <f t="shared" si="16"/>
        <v>26.148500119999998</v>
      </c>
      <c r="BF12" s="99">
        <f>IF(AP12="","",SMALL(BE$9:BE$62,ROWS(AZ$9:AZ12)))</f>
        <v>3.8482003600000003</v>
      </c>
      <c r="BG12" s="88"/>
      <c r="BH12" s="289" t="str">
        <f>IF(OR(AP12="",AZ12=""),"",INDEX($AP$9:$AP$63,MATCH(BF12,$BE$9:BE$62,0)))</f>
        <v>B10</v>
      </c>
      <c r="BI12" s="7">
        <f t="shared" si="0"/>
        <v>7</v>
      </c>
      <c r="BJ12" s="7">
        <f t="shared" si="1"/>
        <v>15</v>
      </c>
      <c r="BK12" s="7">
        <f t="shared" si="2"/>
        <v>18</v>
      </c>
      <c r="BL12" s="280">
        <f>IF(BF12="","",IF(AND(BI11=BI12,BJ11=BJ12,BK11=BK12),BL11,$BL$9+3))</f>
        <v>4</v>
      </c>
      <c r="BM12" s="29"/>
      <c r="BN12" s="7"/>
    </row>
    <row r="13" spans="1:66" ht="21" thickBot="1">
      <c r="A13" s="131">
        <v>4</v>
      </c>
      <c r="B13" s="393" t="s">
        <v>69</v>
      </c>
      <c r="C13" s="273">
        <f>IF($Q$5=8,0,IF($Q$5=9,0,4))</f>
        <v>4</v>
      </c>
      <c r="D13" s="398" t="s">
        <v>87</v>
      </c>
      <c r="E13" s="272">
        <f>IF($Q$5&gt;=11,4,0)</f>
        <v>4</v>
      </c>
      <c r="F13" s="396" t="s">
        <v>105</v>
      </c>
      <c r="G13" s="272">
        <f>IF($Q$5&gt;=12,4,0)</f>
        <v>4</v>
      </c>
      <c r="H13" s="23"/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M13" s="155"/>
      <c r="N13" s="52" t="s">
        <v>5</v>
      </c>
      <c r="O13" s="208" t="str">
        <f>IF($Q$5&gt;=10,J13,IF($Q$5=8,K12,IF($Q$5=9,K12,0)))</f>
        <v>A4</v>
      </c>
      <c r="P13" s="142" t="str">
        <f>IF($Q$5=8,L11,IF($Q$5=9,L12,IF($Q$5=10,L12,IF($Q$5=11,K13,IF($Q$5=12,K13,IF($Q$5=13,L11,IF($Q$5=14,K13,IF($Q$5=15,K13,IF($Q$5=16,K13,IF($Q$5=17,K13,IF($Q$5=18,K13,IF($Q$5=19,K13,IF($Q$5=20,K13,IF($Q$5=21,K13,IF(Q$5=22,K13,IF($Q$5=23,K13,IF($Q$5=24,K13,IF($Q$5=25,K13,IF($Q$5=26,K13,IF($Q$5=27,K13,IF($Q$5=28,K13,IF($Q$5=29,K13,IF($Q$5=30,K13,IF($Q$5=31,K13,IF($Q$5=32,K13,IF($Q$5=33,K13,IF($Q$5=34,K13,IF($Q$5=35,K13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Q13" s="152" t="str">
        <f>IF($Q$5=12,L13,IF($Q$5=16,L13,IF($Q$5=17,L13,IF($Q$5=18,L13,IF($Q$5=20,L13,IF($Q$5=21,L13,IF($Q$5=22,L13,IF($Q$5=23,L13,IF($Q$5=24,L13,IF($Q$5=25,L13,IF($Q$5=26,L13,IF($Q$5=27,L13,IF($Q$5=28,L13,IF($Q$5=29,L13,IF($Q$5=30,L13,IF($Q$5=31,L13,IF($Q$5=32,L13,IF($Q$5=33,L13,IF($Q$5=34,L13,IF($Q$5=35,L13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</f>
        <v>C4</v>
      </c>
      <c r="R13" s="161" t="str">
        <f>IF($Q$5=8,J12,IF($Q$5=9,O12,IF($Q$5=10,J11,IF($Q$5=11,J13,IF($Q$5=12,J11,IF($Q$5=13,J14,IF($Q$5=14,J14,IF($Q$5=15,J14,IF($Q$5=16,J14,IF($Q$5=17,J13,IF($Q$5=18,J11,IF($Q$5=19,J10,IF($Q$5=20,J13,IF($Q$5=21,J14,IF($Q$5=22,J14,IF($Q$5=23,J14,IF($Q$5=24,J14,IF($Q$5=25,J14,IF($Q$5=26,J14,IF($Q$5=27,J14,IF($Q$5=28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))))</f>
        <v>A5</v>
      </c>
      <c r="S13" s="162" t="str">
        <f>IF($Q$5=8,K10,IF($Q$5=9,Q10,IF($Q$5=10,K12,IF($Q$5=11,K12,IF($Q$5=12,K10,IF($Q$5=13,K12,IF($Q$5=14,K11,IF($Q$5=15,P12,IF($Q$5=16,K10,IF($Q$5=17,K12,IF($Q$5=18,K12,IF($Q$5=19,K12,IF($Q$5=20,K12,IF($Q$5=21,K12,IF($Q$5=22,K12,IF($Q$5=23,K16,IF($Q$5=24,K12,IF($Q$5=25,K12,IF($Q$5=26,K12,IF($Q$5=27,K12,IF($Q$5=28,K12,IF($Q$5=29,K12,IF($Q$5=30,K12,IF($Q$5=31,K12,IF($Q$5=32,K12,IF($Q$5=33,K12,IF($Q$5=34,K12,IF($Q$5=35,K12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)))))</f>
        <v>B3</v>
      </c>
      <c r="T13" s="181" t="str">
        <f>IF($Q$5=12,L13,IF($Q$5=16,L11,IF($Q$5=17,L14,IF($Q$5=18,L14,IF($Q$5=19,0,IF($Q$5=20,P16,IF($Q$5=21,L14,IF($Q$5=22,L15,IF($Q$5=23,L16,IF($Q$5=24,L15,IF($Q$5=25,L14,IF($Q$5=26,L14,IF($Q$5=27,L14,IF($Q$5=28,L14,IF($Q$5=29,L14,IF($Q$5=30,L15,IF($Q$5=31,L11,IF($Q$5=32,L13,IF($Q$5=33,L13,IF($Q$5=34,L13,IF($Q$5=35,L13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))))))))))</f>
        <v>C6</v>
      </c>
      <c r="U13" s="184" t="str">
        <f>IF($Q$5=8,K12,IF($Q$5=9,R10,IF($Q$5=10,J12,IF($Q$5=11,O12,IF($Q$5=12,O13,IF($Q$5=13,R13,IF($Q$5=14,R14,IF($Q$5=15,R14,IF(Q$5=16,O15,IF($Q$5=17,R11,IF($Q$5=18,O14,IF($Q$5=19,R11,IF($Q$5=20,R11,IF($Q$5=21,R12,IF($Q$5=22,O13,IF($Q$5=23,R14,IF($Q$5=24,O14,IF($Q$5=25,R13,IF($Q$5=26,O14,IF($Q$5=27,O14,IF($Q$5=28,O14,IF($Q$5=29,O14,IF($Q$5=30,O14,IF($Q$5=31,O14,IF($Q$5=32,O14,IF($Q$5=33,O14,IF($Q$5=34,O14,IF($Q$5=35,R13,IF($Q$5=36,O15,IF($Q$5=37,O15,IF($Q$5=38,O15,IF($Q$5=39,O15,IF($Q$5=40,O15,IF($Q$5=41,O15,IF($Q$5=42,O15,IF($Q$5=43,O15,IF($Q$5=44,O15,IF($Q$5=45,O15,IF($Q$5=46,O15,IF($Q$5=47,O15,IF($Q$5=48,O15,IF($Q$5=49,R14,IF($Q$5=50,O15,IF($Q$5=51,O15,IF($Q$5=52,O15,IF($Q$5=53,O15,IF($Q$5=54,O15,0)))))))))))))))))))))))))))))))))))))))))))))))</f>
        <v>A5</v>
      </c>
      <c r="V13" s="162" t="str">
        <f>IF($Q$5=8,K11,IF($Q$5=9,S11,IF($Q$5=10,K11,IF($Q$5=11,S11,IF($Q$5=12,S12,IF($Q$5=13,S14,IF($Q$5=14,S11,IF($Q$5=15,S12,IF($Q$5=16,S13,IF($Q$5=17,S14,IF($Q$5=18,S14,IF($Q$5=19,S12,IF($Q$5=20,S14,IF($Q$5=21,S14,IF($Q$5=22,S14,IF($Q$5=23,S14,IF($Q$5=24,S14,IF($Q$5=25,S14,IF($Q$5=26,S14,IF($Q$5=27,S14,IF($Q$5=28,S14,IF($Q$5=29,S16,IF($Q$5=30,S14,IF($Q$5=31,S14,IF($Q$5=32,S17,IF($Q$5=33,S17,IF($Q$5=34,S17,IF($Q$5=35,S17,IF($Q$5=36,S15,IF($Q$5=37,S15,IF($Q$5=38,S15,IF($Q$5=39,S15,IF($Q$5=40,S15,IF($Q$5=41,S15,IF($Q$5=42,S15,IF($Q$5=43,S15,IF($Q$5=44,S15,IF($Q$5=45,S15,IF($Q$5=46,S15,IF($Q$5=47,S15,IF($Q$5=48,S15,IF($Q$5=49,S15,IF($Q$5=50,S15,IF($Q$5=51,S15,IF($Q$5=52,S15,IF($Q$5=53,S15,IF($Q$5=54,S15,0)))))))))))))))))))))))))))))))))))))))))))))))</f>
        <v>B6</v>
      </c>
      <c r="W13" s="174" t="str">
        <f>IF($Q$5=12,T10,IF($Q$5=16,T13,IF($Q$5=17,T11,IF($Q$5=18,T15,IF($Q$5=20,T13,IF($Q$5=21,T11,IF($Q$5=22,T15,IF($Q$5=23,T15,IF($Q$5=24,T15,IF($Q$5=25,T14,IF($Q$5=26,T15,IF($Q$5=27,T15,IF($Q$5=28,T15,IF($Q$5=29,T15,IF($Q$5=30,T15,IF($Q$5=31,T15,IF($Q$5=32,T14,IF($Q$5=33,T14,IF($Q$5=34,T14,IF($Q$5=35,T14,IF($Q$5=36,T16,IF($Q$5=37,T16,IF($Q$5=38,T16,IF($Q$5=39,T16,IF($Q$5=40,T16,IF($Q$5=41,T16,IF($Q$5=42,T16,IF($Q$5=43,T16,IF($Q$5=44,T16,IF($Q$5=45,T16,IF($Q$5=46,T16,IF($Q$5=47,T16,IF($Q$5=48,T16,IF($Q$5=49,T16,IF($Q$5=50,T16,IF($Q$5=51,T16,IF($Q$5=52,T16,IF($Q$5=53,T16,IF($Q$5=54,T16,0)))))))))))))))))))))))))))))))))))))))</f>
        <v>C7</v>
      </c>
      <c r="X13" s="23"/>
      <c r="Y13" s="447"/>
      <c r="Z13" s="14" t="str">
        <f>+Q10</f>
        <v>C1</v>
      </c>
      <c r="AA13" s="63">
        <f>IF(ISTEXT(Z13),AA11,0)</f>
        <v>5</v>
      </c>
      <c r="AB13" s="64">
        <f>IF(ISTEXT(Z13),AB11,0)</f>
        <v>1</v>
      </c>
      <c r="AC13" s="65">
        <f>IF(ISTEXT(Z13),AC11,0)</f>
        <v>-5</v>
      </c>
      <c r="AD13" s="11"/>
      <c r="AE13" s="14" t="str">
        <f>+T10</f>
        <v>C3</v>
      </c>
      <c r="AF13" s="63">
        <f>IF(ISTEXT(AE13),AF11,0)</f>
        <v>5</v>
      </c>
      <c r="AG13" s="64">
        <f>IF(ISTEXT(AE13),AG11,0)</f>
        <v>1</v>
      </c>
      <c r="AH13" s="66">
        <f>IF(ISTEXT(AE13),AH11,0)</f>
        <v>-3</v>
      </c>
      <c r="AI13" s="11"/>
      <c r="AJ13" s="14" t="str">
        <f>+W10</f>
        <v>C5</v>
      </c>
      <c r="AK13" s="67">
        <f>IF(ISTEXT(AJ13),AK11,0)</f>
        <v>9</v>
      </c>
      <c r="AL13" s="64">
        <f>IF(ISTEXT(AJ13),AL11,0)</f>
        <v>3</v>
      </c>
      <c r="AM13" s="68">
        <f>IF(ISTEXT(AJ13),AM11,0)</f>
        <v>4</v>
      </c>
      <c r="AN13" s="23"/>
      <c r="AO13" s="54">
        <v>5</v>
      </c>
      <c r="AP13" s="321" t="str">
        <f>+Inscrits!B7</f>
        <v>A5</v>
      </c>
      <c r="AQ13" s="286">
        <f t="shared" si="3"/>
        <v>1</v>
      </c>
      <c r="AR13" s="99">
        <f t="shared" si="4"/>
        <v>-10</v>
      </c>
      <c r="AS13" s="219">
        <f t="shared" si="5"/>
        <v>3</v>
      </c>
      <c r="AT13" s="289">
        <f t="shared" si="6"/>
        <v>3</v>
      </c>
      <c r="AU13" s="99">
        <f t="shared" si="7"/>
        <v>7</v>
      </c>
      <c r="AV13" s="291">
        <f t="shared" si="8"/>
        <v>13</v>
      </c>
      <c r="AW13" s="286">
        <f t="shared" si="9"/>
        <v>3</v>
      </c>
      <c r="AX13" s="99">
        <f t="shared" si="10"/>
        <v>3</v>
      </c>
      <c r="AY13" s="291">
        <f t="shared" si="11"/>
        <v>13</v>
      </c>
      <c r="AZ13" s="286">
        <f t="shared" si="17"/>
        <v>7</v>
      </c>
      <c r="BA13" s="99">
        <f t="shared" si="12"/>
        <v>0</v>
      </c>
      <c r="BB13" s="291">
        <f t="shared" si="13"/>
        <v>29</v>
      </c>
      <c r="BC13" s="294">
        <f t="shared" si="14"/>
        <v>0</v>
      </c>
      <c r="BD13" s="7">
        <f t="shared" si="15"/>
        <v>0</v>
      </c>
      <c r="BE13" s="218">
        <f t="shared" si="16"/>
        <v>3.9971001300000002</v>
      </c>
      <c r="BF13" s="99">
        <f>IF(AP13="","",SMALL(BE$9:BE$62,ROWS(AZ$9:AZ13)))</f>
        <v>3.8669005000000003</v>
      </c>
      <c r="BG13" s="88"/>
      <c r="BH13" s="289" t="str">
        <f>IF(OR(AP13="",AZ13=""),"",INDEX($AP$9:$AP$63,MATCH(BF13,$BE$9:BE$62,0)))</f>
        <v>C6</v>
      </c>
      <c r="BI13" s="7">
        <f t="shared" si="0"/>
        <v>7</v>
      </c>
      <c r="BJ13" s="7">
        <f t="shared" si="1"/>
        <v>13</v>
      </c>
      <c r="BK13" s="7">
        <f t="shared" si="2"/>
        <v>31</v>
      </c>
      <c r="BL13" s="280">
        <f>IF(BF13="","",IF(AND(BI12=BI13,BJ12=BJ13,BK12=BK13),BL12,$BL$9+4))</f>
        <v>5</v>
      </c>
      <c r="BM13" s="29"/>
      <c r="BN13" s="7"/>
    </row>
    <row r="14" spans="1:66" ht="20.25">
      <c r="A14" s="131">
        <v>5</v>
      </c>
      <c r="B14" s="393" t="s">
        <v>70</v>
      </c>
      <c r="C14" s="272">
        <f>IF($Q$5&gt;=13,5,0)</f>
        <v>5</v>
      </c>
      <c r="D14" s="398" t="s">
        <v>88</v>
      </c>
      <c r="E14" s="272">
        <f>IF($Q$5&gt;=14,5,0)</f>
        <v>5</v>
      </c>
      <c r="F14" s="396" t="s">
        <v>106</v>
      </c>
      <c r="G14" s="272">
        <f>IF($Q$5&gt;=15,5,0)</f>
        <v>5</v>
      </c>
      <c r="H14" s="23"/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M14" s="155"/>
      <c r="N14" s="82">
        <v>3</v>
      </c>
      <c r="O14" s="138" t="str">
        <f>IF($Q$5=13,J14,IF($Q$5=14,J14,IF($Q$5=15,J14,IF($Q$5=16,J14,IF($Q$5=17,J14,IF($Q$5=18,J14,IF($Q$5=19,J14,IF($Q$5=20,J14,IF($Q$5=21,J14,IF($Q$5=22,J14,IF($Q$5=23,J14,IF($Q$5=24,J14,IF($Q$5=25,J14,IF($Q$5=26,J14,IF($Q$5=27,J14,IF($Q$5=28,J14,IF($Q$5=29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</f>
        <v>A5</v>
      </c>
      <c r="P14" s="139" t="str">
        <f>IF($Q$5=13,L12,IF($Q$5=14,L12,IF($Q$5=15,L12,IF($Q$5=16,K14,IF($Q$5=17,K14,IF($Q$5=18,K14,IF($Q$5=19,K14,IF($Q$5=20,K14,IF($Q$5=21,K14,IF($Q$5=22,K14,IF($Q$5=23,K14,IF($Q$5=24,K14,IF($Q$5=25,K14,IF($Q$5=26,K14,IF($Q$5=27,K14,IF($Q$5=28,K14,IF($Q$5=29,K14,IF($Q$5=30,K14,IF($Q$5=31,K14,IF($Q$5=32,K14,IF($Q$5=33,K14,IF($Q$5=34,K14,IF($Q$5=35,K14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</f>
        <v>B5</v>
      </c>
      <c r="Q14" s="153" t="str">
        <f>IF($Q$5=17,L14,IF($Q$5=18,L14,IF($Q$5=21,L14,IF($Q$5=22,L14,IF($Q$5=23,L14,IF($Q$5=24,L14,IF($Q$5=25,L14,IF($Q$5=26,L14,IF($Q$5=27,L14,IF($Q$5=28,L14,IF($Q$5=29,L14,IF($Q$5=30,L14,IF($Q$5=31,L14,IF($Q$5=32,L14,IF($Q$5=33,L14,IF($Q$5=34,L14,IF($Q$5=35,L14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</f>
        <v>C5</v>
      </c>
      <c r="R14" s="160" t="str">
        <f>IF($Q$5=13,J13,IF($Q$5=14,J10,IF($Q$5=15,J10,IF($Q$5=16,J15,IF($Q$5=17,J11,IF($Q$5=18,J13,IF($Q$5=19,J14,IF($Q$5=20,J14,IF($Q$5=21,J13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S14" s="163" t="str">
        <f>IF($Q$5=13,P14,IF($Q$5=14,L11,IF($Q$5=15,L10,IF($Q$5=16,K11,IF($Q$5=17,K15,IF($Q$5=18,K15,IF($Q$5=19,P10,IF($Q$5=20,K11,IF($Q$5=21,K15,IF($Q$5=22,K15,IF($Q$5=23,D17,IF($Q$5=24,K17,IF($Q$5=25,K16,IF($Q$5=26,K17,IF($Q$5=27,K15,IF($Q$5=28,K17,IF($Q$5=29,K15,IF($Q$5=30,K15,IF($Q$5=31,K17,IF($Q$5=32,K17,IF($Q$5=33,K17,IF($Q$5=34,K17,IF($Q$5=35,K17,IF($Q$5=36,K16,IF($Q$5=37,K16,IF($Q$5=38,K16,IF($Q$5=39,K16,IF($Q$5=40,K16,IF($Q$5=41,K16,IF($Q$5=42,K16,IF($Q$5=43,K16,IF($Q$5=44,K16,IF($Q$5=45,K16,IF($Q$5=46,K16,IF($Q$5=47,K16,IF($Q$5=48,K16,IF($Q$5=49,K16,IF($Q$5=50,K16,IF($Q$5=51,K16,IF($Q$5=52,K16,IF($Q$5=53,K16,IF($Q$5=54,K16,0))))))))))))))))))))))))))))))))))))))))))</f>
        <v>B6</v>
      </c>
      <c r="T14" s="182" t="str">
        <f>IF($Q$5=17,L10,IF($Q$5=18,L11,IF($Q$5=20,0,IF($Q$5=21,P16,IF($Q$5=22,P17,IF($Q$5=23,L15,IF($Q$5=24,L14,IF($Q$5=25,P17,IF($Q$5=26,L15,IF($Q$5=27,L15,IF($Q$5=28,L15,IF($Q$5=29,L15,IF($Q$5=30,L11,IF($Q$5=31,L16,IF($Q$5=32,L16,IF($Q$5=33,L16,IF($Q$5=34,L16,IF($Q$5=35,L16,IF($Q$5=36,L17,IF($Q$5=37,L17,IF($Q$5=38,L17,IF($Q$5=39,L17,IF($Q$5=40,L17,IF($Q$5=41,L17,IF($Q$5=42,L17,IF($Q$5=43,L17,IF($Q$5=44,L17,IF($Q$5=45,L17,IF($Q$5=46,L17,IF($Q$5=47,L17,IF($Q$5=48,L17,IF($Q$5=49,L17,IF($Q$5=50,L17,IF($Q$5=51,L17,IF($Q$5=52,L17,IF($Q$5=53,L17,IF($Q$5=54,L17,0)))))))))))))))))))))))))))))))))))))</f>
        <v>C2</v>
      </c>
      <c r="U14" s="160" t="str">
        <f>IF($Q$5=13,R10,IF($Q$5=14,R10,IF($Q$5=15,O11,IF($Q$5=16,O13,IF($Q$5=17,O11,IF($Q$5=18,R13,IF($Q$5=19,R10,IF($Q$5=20,R14,IF($Q$5=21,R11,IF($Q$5=22,O14,IF($Q$5=23,R17,IF($Q$5=24,R10,IF($Q$5=25,R10,IF($Q$5=26,O11,IF($Q$5=27,O11,IF($Q$5=28,R10,IF($Q$5=29,O11,IF($Q$5=30,R10,IF($Q$5=31,O15,IF($Q$5=32,O15,IF($Q$5=33,O15,IF($Q$5=34,O15,IF($Q$5=35,O15,IF($Q$5=36,O16,IF($Q$5=37,O16,IF($Q$5=38,O16,IF($Q$5=39,O16,IF($Q$5=40,O16,IF($Q$5=41,O16,IF($Q$5=42,O16,IF($Q$5=43,O16,IF($Q$5=44,O16,IF($Q$5=45,O16,IF($Q$5=46,O16,IF($Q$5=47,O16,IF($Q$5=48,O16,IF($Q$5=49,R15,IF($Q$5=50,O16,IF($Q$5=51,O16,IF($Q$5=52,O16,IF($Q$5=53,O16,IF($Q$5=54,O16,0))))))))))))))))))))))))))))))))))))))))))</f>
        <v>A2</v>
      </c>
      <c r="V14" s="157" t="str">
        <f>IF($Q$5=13,T10,IF($Q$5=14,P14,IF($Q$5=15,S13,IF($Q$5=16,S12,IF($Q$5=17,S15,IF($Q$5=18,S15,IF($Q$5=19,S13,IF($Q$5=20,S15,IF($Q$5=21,S10,IF($Q$5=22,S15,IF($Q$5=23,S17,IF($Q$5=24,S15,IF($Q$5=25,S15,IF($Q$5=26,S15,IF($Q$5=27,S15,IF($Q$5=28,S15,IF($Q$5=29,S15,IF($Q$5=30,S15,IF($Q$5=31,T11,IF($Q$5=32,S15,IF($Q$5=33,S15,IF($Q$5=34,S15,IF($Q$5=35,S15,IF($Q$5=36,S16,IF($Q$5=37,S16,IF($Q$5=38,S16,IF($Q$5=39,S16,IF($Q$5=40,S16,IF($Q$5=41,S16,IF($Q$5=42,S16,IF($Q$5=43,S16,IF($Q$5=44,S16,IF($Q$5=45,S16,IF($Q$5=46,S16,IF($Q$5=47,S16,IF($Q$5=48,S16,IF($Q$5=49,S16,IF($Q$5=50,S16,IF($Q$5=51,S16,IF($Q$5=52,S16,IF($Q$5=53,S16,IF($Q$5=54,S16,0))))))))))))))))))))))))))))))))))))))))))</f>
        <v>B7</v>
      </c>
      <c r="W14" s="172" t="str">
        <f>IF($Q$5=17,T10,IF($Q$5=18,T11,IF($Q$5=21,T13,IF($Q$5=22,T11,IF($Q$5=23,T11,IF($Q$5=24,T16,IF($Q$5=25,S17,IF($Q$5=26,S17,IF($Q$5=27,T16,IF($Q$5=28,T16,IF($Q$5=29,T16,IF($Q$5=30,T16,IF($Q$5=31,S19,IF($Q$5=32,T15,IF($Q$5=33,T15,IF($Q$5=34,T18,IF($Q$5=35,T20,IF($Q$5=36,T17,IF($Q$5=37,T17,IF($Q$5=38,T17,IF($Q$5=39,T17,IF($Q$5=40,T17,IF($Q$5=41,T17,IF($Q$5=42,T17,IF($Q$5=43,T17,IF($Q$5=44,T17,IF($Q$5=45,T17,IF($Q$5=46,T17,IF($Q$5=47,T17,IF($Q$5=48,T17,IF($Q$5=49,T17,IF($Q$5=50,T17,IF($Q$5=51,T17,IF($Q$5=52,T17,IF($Q$5=53,T17,IF($Q$5=54,T17,0))))))))))))))))))))))))))))))))))))</f>
        <v>C8</v>
      </c>
      <c r="X14" s="23"/>
      <c r="Y14" s="447"/>
      <c r="Z14" s="32"/>
      <c r="AA14" s="21" t="s">
        <v>5</v>
      </c>
      <c r="AB14" s="21"/>
      <c r="AC14" s="22"/>
      <c r="AD14" s="1"/>
      <c r="AE14" s="32"/>
      <c r="AF14" s="21" t="s">
        <v>5</v>
      </c>
      <c r="AG14" s="21"/>
      <c r="AH14" s="22"/>
      <c r="AI14" s="1"/>
      <c r="AJ14" s="32"/>
      <c r="AK14" s="21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>
        <f t="shared" si="3"/>
        <v>3</v>
      </c>
      <c r="AR14" s="99">
        <f t="shared" si="4"/>
        <v>10</v>
      </c>
      <c r="AS14" s="219">
        <f t="shared" si="5"/>
        <v>13</v>
      </c>
      <c r="AT14" s="289">
        <f t="shared" si="6"/>
        <v>3</v>
      </c>
      <c r="AU14" s="99">
        <f t="shared" si="7"/>
        <v>6</v>
      </c>
      <c r="AV14" s="291">
        <f t="shared" si="8"/>
        <v>11</v>
      </c>
      <c r="AW14" s="286">
        <f t="shared" si="9"/>
        <v>1</v>
      </c>
      <c r="AX14" s="99">
        <f t="shared" si="10"/>
        <v>-7</v>
      </c>
      <c r="AY14" s="291">
        <f t="shared" si="11"/>
        <v>1</v>
      </c>
      <c r="AZ14" s="286">
        <f t="shared" si="17"/>
        <v>7</v>
      </c>
      <c r="BA14" s="99">
        <f t="shared" si="12"/>
        <v>9</v>
      </c>
      <c r="BB14" s="291">
        <f t="shared" si="13"/>
        <v>25</v>
      </c>
      <c r="BC14" s="294">
        <f t="shared" si="14"/>
        <v>0</v>
      </c>
      <c r="BD14" s="7">
        <f t="shared" si="15"/>
        <v>9</v>
      </c>
      <c r="BE14" s="218">
        <f t="shared" si="16"/>
        <v>3.9075001400000002</v>
      </c>
      <c r="BF14" s="99">
        <f>IF(AP14="","",SMALL(BE$9:BE$62,ROWS(AZ$9:AZ14)))</f>
        <v>3.9075001400000002</v>
      </c>
      <c r="BG14" s="88"/>
      <c r="BH14" s="289" t="str">
        <f>IF(OR(AP14="",AZ14=""),"",INDEX($AP$9:$AP$63,MATCH(BF14,$BE$9:BE$62,0)))</f>
        <v>A6</v>
      </c>
      <c r="BI14" s="7">
        <f t="shared" si="0"/>
        <v>7</v>
      </c>
      <c r="BJ14" s="7">
        <f t="shared" si="1"/>
        <v>9</v>
      </c>
      <c r="BK14" s="7">
        <f t="shared" si="2"/>
        <v>25</v>
      </c>
      <c r="BL14" s="280">
        <f>IF(BF14="","",IF(AND(BI13=BI14,BJ13=BJ14,BK13=BK14),BL13,$BL$9+5))</f>
        <v>6</v>
      </c>
      <c r="BM14" s="29"/>
      <c r="BN14" s="7"/>
    </row>
    <row r="15" spans="1:66" ht="21" thickBot="1">
      <c r="A15" s="131">
        <v>6</v>
      </c>
      <c r="B15" s="393" t="s">
        <v>71</v>
      </c>
      <c r="C15" s="272">
        <f>IF($Q$5&gt;=16,6,0)</f>
        <v>6</v>
      </c>
      <c r="D15" s="398" t="s">
        <v>89</v>
      </c>
      <c r="E15" s="272">
        <f>IF($Q$5&gt;=17,6,0)</f>
        <v>6</v>
      </c>
      <c r="F15" s="396" t="s">
        <v>107</v>
      </c>
      <c r="G15" s="272">
        <f>IF($Q$5&gt;=18,6,0)</f>
        <v>6</v>
      </c>
      <c r="H15" s="23"/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M15" s="155"/>
      <c r="N15" s="52" t="s">
        <v>5</v>
      </c>
      <c r="O15" s="141" t="str">
        <f>IF($Q$5=13,K13,IF($Q$5=14,K14,IF($Q$5=15,K14,IF($Q$5=16,J15,IF($Q$5=17,J15,IF($Q5=18,J15,IF($Q$5=19,J15,IF($Q$5=20,J15,IF($Q$5=21,J15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P15" s="142" t="str">
        <f>IF($Q$5=13,L13,IF($Q$5=14,L13,IF($Q$5=15,L13,IF($Q$5=16,L14,IF($Q$5=17,K15,IF($Q$5=18,K15,IF($Q$5=19,L13,IF($Q$5=20,K15,IF($Q$5=21,K15,IF($Q$5=22,K15,IF($Q$5=23,K15,IF($Q$5=24,K15,IF($Q$5=25,K15,IF($Q$5=26,K15,IF($Q$5=27,K15,IF($Q$5=28,K15,IF($Q$5=29,K15,IF($Q$5=30,K15,IF($Q$5=31,K15,IF($Q$5=32,K15,IF($Q$5=33,K15,IF($Q$5=34,K15,IF($Q$5=35,K15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</f>
        <v>B6</v>
      </c>
      <c r="Q15" s="152" t="str">
        <f>IF($Q$5=18,L15,IF($Q$5=22,L15,IF($Q$5=23,L15,IF(Q$5=24,L15,IF($Q$5=26,L15,IF($Q$5=27,L15,IF($Q$5=28,L15,IF($Q$5=29,L15,IF($Q$5=30,L15,IF($Q$5=31,L15,IF($Q$5=32,L15,IF($Q$5=33,L15,IF($Q$5=34,L15,IF($Q$5=35,L15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</f>
        <v>C6</v>
      </c>
      <c r="R15" s="164" t="str">
        <f>IF($Q$5=13,K10,IF($Q$5=14,O15,IF($Q$5=15,O15,IF($Q$5=16,J10,IF($Q$5=17,J15,IF($Q$5=18,J15,IF($Q$5=19,J15,IF($Q$5=20,J15,IF($Q$5=21,J15,IF($Q$5=22,J16,IF($Q$5=23,J16,IF($Q$5=24,J16,IF($Q$5=25,J16,IF($Q$5=26,J16,IF($Q$5=27,J16,IF($Q$5=28,J16,IF($Q$5=29,O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))))))</f>
        <v>A7</v>
      </c>
      <c r="S15" s="159" t="str">
        <f>IF($Q$5=13,O15,IF($Q$5=14,P14,IF($Q$5=15,L11,IF($Q$5=16,L12,IF(Q$5=17,P10,IF($Q$5=18,K10,IF($Q$5=19,L11,IF($Q$5=20,K13,IF($Q$5=21,L10,IF($Q$5=22,K16,IF($Q$5=23,D10,IF($Q$5=24,K13,IF($Q$5=25,K15,IF($Q$5=26,K13,IF($Q$5=27,K16,IF($Q$5=28,K16,IF($Q$5=29,K16,IF($Q$5=30,K16,IF($Q$5=31,K15,IF($Q$5=32,K18,IF($Q$5=33,K18,IF($Q$5=34,K18,IF($Q$5=35,K18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))))))</f>
        <v>B7</v>
      </c>
      <c r="T15" s="183" t="str">
        <f>IF($Q$5=17,0,IF($Q$5=18,L10,IF($Q$5=21,0,IF($Q$5=22,L10,IF($Q$5=23,L14,IF($Q$5=24,L16,IF($Q$5=25,0,IF($Q$5=26,P18,IF($Q$5=27,L16,IF($Q$5=28,L16,IF($Q$5=29,L16,IF($Q$5=30,L16,IF($Q$5=31,L10,IF($Q$5=32,L15,IF($Q$5=33,L15,IF($Q$5=34,L15,IF($Q$5=35,L15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))))))))))))</f>
        <v>C7</v>
      </c>
      <c r="U15" s="185" t="str">
        <f>IF($Q$5=13,O15,IF($Q$5=14,R15,IF($Q$5=15,R15,IF($Q$5=16,R10,IF($Q$5=17,R15,IF($Q$5=18,R15,IF($Q$5=19,R15,IF($Q$5=20,R15,IF($Q$5=21,R15,IF($Q$5=22,R15,IF($Q$5=23,R15,IF($Q$5=24,O16,IF($Q$5=25,R15,IF($Q$5=26,R15,IF($Q$5=27,O16,IF($Q$5=28,O16,IF($Q$5=29,O16,IF($Q$5=30,O16,IF($Q$5=31,R15,IF($Q$5=32,O17,IF($Q$5=33,O17,IF($Q$5=34,R16,IF($Q$5=35,R16,IF($Q$5=36,O17,IF($Q$5=37,O17,IF($Q$5=38,O17,IF($Q$5=39,O17,IF($Q$5=40,O17,IF($Q$5=41,O17,IF($Q$5=42,O17,IF($Q$5=43,O17,IF($Q$5=44,O17,IF($Q$5=45,O17,IF($Q$5=46,O17,IF($Q$5=47,O17,IF($Q$5=48,O17,IF($Q$5=49,R16,IF($Q$5=50,O17,IF($Q$5=51,O17,IF($Q$5=52,O17,IF($Q$5=53,O17,IF($Q$5=54,O17,0))))))))))))))))))))))))))))))))))))))))))</f>
        <v>A7</v>
      </c>
      <c r="V15" s="162" t="str">
        <f>IF($Q$5=13,S12,IF($Q$5=14,L13,IF($Q$5=15,T10,IF($Q$5=16,T12,IF($Q$5=17,S12,IF($Q$5=18,S10,IF($Q$5=19,T11,IF($Q$5=20,S12,IF($Q$5=21,S12,IF($Q$5=22,S16,IF($Q$5=23,S16,IF($Q$5=24,S16,IF($Q$5=25,S18,IF($Q$5=26,S16,IF($Q$5=27,S16,IF($Q$5=28,S16,IF($Q$5=29,S14,IF($Q$5=30,S16,IF($Q$5=31,S16,IF($Q$5=32,S21,IF($Q$5=33,S19,IF($Q$5=34,S19,IF($Q$5=35,S19,IF($Q$5=36,S17,IF($Q$5=37,S17,IF($Q$5=38,S17,IF($Q$5=39,S17,IF($Q$5=40,S17,IF($Q$5=41,S17,IF($Q$5=42,S17,IF($Q$5=43,S17,IF($Q$5=44,S17,IF($Q$5=45,S17,IF($Q$5=46,S17,IF($Q$5=47,S17,IF($Q$5=48,S17,IF($Q$5=49,S17,IF($Q$5=50,S17,IF($Q$5=51,S17,IF($Q$5=52,S17,IF($Q$5=53,S17,IF($Q$5=54,S17,0))))))))))))))))))))))))))))))))))))))))))</f>
        <v>B8</v>
      </c>
      <c r="W15" s="174" t="str">
        <f>IF($Q$5=18,T10,IF($Q$5=22,S17,IF($Q$5=23,T16,IF($Q$5=24,T17,IF($Q$5=25,0,IF($Q$5=26,T11,IF($Q$5=27,S17,IF($Q$5=28,T17,IF($Q$5=29,T17,IF($Q$5=30,T17,IF($Q$5=31,S20,IF($Q$5=32,T13,IF($Q$5=33,T13,IF($Q$5=34,T13,IF($Q$5=35,T13,IF($Q$5=36,T18,IF($Q$5=37,T18,IF($Q$5=38,T18,IF($Q$5=39,S23,IF($Q$5=40,T18,IF($Q$5=41,T18,IF($Q$5=42,T18,IF($Q$5=43,T18,IF($Q$5=44,T18,IF($Q$5=45,T18,IF($Q$5=46,T18,IF($Q$5=47,T18,IF($Q$5=48,T18,IF($Q$5=49,T18,IF($Q$5=50,T18,IF($Q$5=51,T18,IF($Q$5=52,T18,IF($Q$5=53,T18,IF($Q$5=54,T18,0))))))))))))))))))))))))))))))))))</f>
        <v>C9</v>
      </c>
      <c r="X15" s="23"/>
      <c r="Y15" s="447"/>
      <c r="Z15" s="14" t="str">
        <f>+O11</f>
        <v>A2</v>
      </c>
      <c r="AA15" s="34">
        <v>10</v>
      </c>
      <c r="AB15" s="30">
        <f>IF(AA11+AA15=0,0,IF(AA11=AA15,2,IF(AA11&lt;AA15,3,1)))</f>
        <v>3</v>
      </c>
      <c r="AC15" s="15">
        <f>AA15-AA11</f>
        <v>5</v>
      </c>
      <c r="AD15" s="9"/>
      <c r="AE15" s="14" t="str">
        <f>+R11</f>
        <v>A3</v>
      </c>
      <c r="AF15" s="127">
        <v>8</v>
      </c>
      <c r="AG15" s="30">
        <f>IF(AF11+AF15=0,0,IF(AF11=AF15,2,IF(AF11&lt;AF15,3,1)))</f>
        <v>3</v>
      </c>
      <c r="AH15" s="15">
        <f>AF15-AF11</f>
        <v>3</v>
      </c>
      <c r="AI15" s="9"/>
      <c r="AJ15" s="14" t="str">
        <f>+U11</f>
        <v>A4</v>
      </c>
      <c r="AK15" s="37">
        <v>5</v>
      </c>
      <c r="AL15" s="30">
        <f>IF(AK11+AK15=0,0,IF(AK11=AK15,2,IF(AK11&lt;AK15,3,1)))</f>
        <v>1</v>
      </c>
      <c r="AM15" s="15">
        <f>AK15-AK11</f>
        <v>-4</v>
      </c>
      <c r="AN15" s="23"/>
      <c r="AO15" s="54">
        <v>7</v>
      </c>
      <c r="AP15" s="321" t="str">
        <f>+Inscrits!B9</f>
        <v>A7</v>
      </c>
      <c r="AQ15" s="286">
        <f t="shared" si="3"/>
        <v>3</v>
      </c>
      <c r="AR15" s="99">
        <f t="shared" si="4"/>
        <v>5</v>
      </c>
      <c r="AS15" s="219">
        <f t="shared" si="5"/>
        <v>10</v>
      </c>
      <c r="AT15" s="289">
        <f t="shared" si="6"/>
        <v>1</v>
      </c>
      <c r="AU15" s="99">
        <f t="shared" si="7"/>
        <v>-6</v>
      </c>
      <c r="AV15" s="291">
        <f t="shared" si="8"/>
        <v>5</v>
      </c>
      <c r="AW15" s="286">
        <f t="shared" si="9"/>
        <v>1</v>
      </c>
      <c r="AX15" s="99">
        <f t="shared" si="10"/>
        <v>-2</v>
      </c>
      <c r="AY15" s="291">
        <f t="shared" si="11"/>
        <v>9</v>
      </c>
      <c r="AZ15" s="286">
        <f t="shared" si="17"/>
        <v>5</v>
      </c>
      <c r="BA15" s="99">
        <f t="shared" si="12"/>
        <v>-3</v>
      </c>
      <c r="BB15" s="291">
        <f t="shared" si="13"/>
        <v>24</v>
      </c>
      <c r="BC15" s="294">
        <f t="shared" si="14"/>
        <v>-3</v>
      </c>
      <c r="BD15" s="7">
        <f t="shared" si="15"/>
        <v>0</v>
      </c>
      <c r="BE15" s="218">
        <f t="shared" si="16"/>
        <v>18.027600150000001</v>
      </c>
      <c r="BF15" s="99">
        <f>IF(AP15="","",SMALL(BE$9:BE$62,ROWS(AZ$9:AZ15)))</f>
        <v>3.9075004800000004</v>
      </c>
      <c r="BG15" s="88"/>
      <c r="BH15" s="289" t="str">
        <f>IF(OR(AP15="",AZ15=""),"",INDEX($AP$9:$AP$63,MATCH(BF15,$BE$9:BE$62,0)))</f>
        <v>C4</v>
      </c>
      <c r="BI15" s="7">
        <f t="shared" si="0"/>
        <v>7</v>
      </c>
      <c r="BJ15" s="7">
        <f t="shared" si="1"/>
        <v>9</v>
      </c>
      <c r="BK15" s="7">
        <f t="shared" si="2"/>
        <v>25</v>
      </c>
      <c r="BL15" s="280">
        <f>IF(BF15="","",IF(AND(BI14=BI15,BJ14=BJ15,BK14=BK15),BL14,$BL$9+6))</f>
        <v>6</v>
      </c>
      <c r="BM15" s="29"/>
      <c r="BN15" s="7"/>
    </row>
    <row r="16" spans="1:66" ht="21" thickBot="1">
      <c r="A16" s="131">
        <v>7</v>
      </c>
      <c r="B16" s="393" t="s">
        <v>72</v>
      </c>
      <c r="C16" s="272">
        <f>IF($Q$5&gt;=19,7,0)</f>
        <v>7</v>
      </c>
      <c r="D16" s="398" t="s">
        <v>90</v>
      </c>
      <c r="E16" s="272">
        <f>IF($Q$5&gt;=20,7,0)</f>
        <v>7</v>
      </c>
      <c r="F16" s="396" t="s">
        <v>108</v>
      </c>
      <c r="G16" s="272">
        <f>IF($Q$5&gt;=21,7,0)</f>
        <v>7</v>
      </c>
      <c r="H16" s="23"/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M16" s="155"/>
      <c r="N16" s="82">
        <v>4</v>
      </c>
      <c r="O16" s="138" t="str">
        <f>IF($Q$5=19,J16,IF($Q$5=20,J16,IF($Q$5=21,J16,IF($Q$5=22,J16,IF($Q$5=23,J16,IF(Q$5=24,J16,IF($Q$5=25,J16,IF($Q$5=26,J16,IF(Q$5=27,J16,IF($Q$5=28,J16,IF($Q$5=29,J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</f>
        <v>A7</v>
      </c>
      <c r="P16" s="139" t="str">
        <f>IF($Q$5=19,L15,IF($Q$5=20,L14,IF($Q$5=21,L15,IF($Q$5=22,K16,IF($Q$5=23,K16,IF($Q$5=24,K16,IF($Q$5=25,K16,IF($Q$5=26,K16,IF($Q$5=27,K16,IF($Q$5=28,K16,IF($Q$5=29,K16,IF($Q$5=30,K16,IF($Q$5=31,K16,IF($Q$5=32,K16,IF($Q$5=33,K16,IF($Q$5=34,K16,IF($Q$5=35,K16,IF($Q$5=36,K16,IF($Q$5=37,K16,IF($Q$5=38,K16,IF($Q$5=39,K16,IF($Q$5=40,K16,IF($Q$5=41,K16,IF($Q$5=42,K16,IF($Q$5=43,K16,IF($Q$5=44,K16,IF($Q$5=45,K16,IF($Q$5=46,K16,IF($Q$5=47,K16,IF($Q$5=48,K16,IF($Q$5=49,K16,IF($Q$5=50,K16,IF($Q$5=51,K16,IF($Q$5=52,I16,IF($Q$5=53,K16,IF($Q$5=54,K16,0))))))))))))))))))))))))))))))))))))</f>
        <v>B7</v>
      </c>
      <c r="Q16" s="153" t="str">
        <f>IF($Q$5=23,L16,IF($Q$5=24,L16,IF($Q$5=27,L16,IF($Q$5=28,L16,IF($Q$5=29,L16,IF($Q$5=30,L16,IF($Q$5=31,L16,IF($Q$5=32,L16,IF($Q$5=33,L16,IF($Q$5=34,L16,IF($Q$5=35,L16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</f>
        <v>C7</v>
      </c>
      <c r="R16" s="165" t="str">
        <f>IF($Q$5=19,J16,IF($Q$5=20,J16,IF($Q$5=21,J16,IF($Q$5=22,J17,IF($Q$5=23,J17,IF($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S16" s="157" t="str">
        <f>IF($Q$5=19,P16,IF($Q$5=20,L10,IF($Q$5=21,L11,IF($Q$5=22,K10,IF($Q$5=23,D11,IF($Q$5=24,K15,IF($Q$5=25,K10,IF($Q$5=26,K15,IF($Q$5=27,K17,IF(Q$5=28,K15,IF($Q$5=29,K17,IF($Q$5=30,K17,IF($Q$5=31,P18,IF($Q$5=32,K15,IF($Q$5=33,K15,IF($Q$5=34,K15,IF($Q$5=35,K15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))))))</f>
        <v>B8</v>
      </c>
      <c r="T16" s="179" t="str">
        <f>IF($Q$5=22,0,IF($Q$5=23,L10,IF($Q$5=24,L10,IF($Q$5=26,0,IF($Q$5=27,P18,IF($Q$5=28,L17,IF($Q$5=29,L17,IF($Q$5=30,L17,IF($Q$5=31,L15,IF($Q$5=32,L10,IF($Q$5=33,L10,IF($Q$5=34,L10,IF($Q$5=35,L10,IF($Q$5=36,L19,IF($Q$5=37,P23,IF($Q$5=38,L19,IF($Q$5=39,L19,IF($Q$5=40,L19,IF($Q$5=41,L19,IF($Q$5=42,L19,IF($Q$5=43,L19,IF($Q$5=44,L19,IF($Q$5=45,L19,IF($Q$5=46,L19,IF($Q$5=47,L19,IF($Q$5=48,L19,IF($Q$5=49,L19,IF($Q$5=50,L19,IF($Q$5=51,L19,IF($Q$5=52,L19,IF($Q$5=53,L19,IF($Q$5=54,L19,0))))))))))))))))))))))))))))))))</f>
        <v>C8</v>
      </c>
      <c r="U16" s="165" t="str">
        <f>IF($Q$5=19,R16,IF($Q$5=20,R16,IF($Q$5=21,R16,IF($Q$5=22,R14,IF($Q$5=23,R16,IF($Q$5=24,R14,IF($Q$5=25,R14,IF($Q$5=26,R14,IF($Q$5=27,R14,IF($Q$5=28,R14,IF($Q$5=29,O15,IF($Q$5=30,O15,IF($Q$5=31,R16,IF($Q$5=32,R15,IF($Q$5=33,O16,IF($Q$5=34,O16,IF($Q$5=35,R15,IF($Q$5=36,O18,IF($Q$5=37,O18,IF($Q$5=38,O18,IF($Q$5=39,R17,IF($Q$5=40,O18,IF($Q$5=41,O18,IF($Q$5=42,O18,IF($Q$5=43,O18,IF($Q$5=44,O18,IF($Q$5=45,O18,IF($Q$5=46,O18,IF($Q$5=47,O18,IF($Q$5=48,O18,IF($Q$5=49,R17,IF($Q$5=50,O18,IF($Q$5=51,O18,IF($Q$5=52,O18,IF($Q$5=53,O18,IF($Q$5=54,O18,0))))))))))))))))))))))))))))))))))))</f>
        <v>A6</v>
      </c>
      <c r="V16" s="163" t="str">
        <f>IF($Q$5=19,S15,IF($Q$5=20,S17,IF($Q$5=21,S15,IF($Q$5=22,S12,IF($Q$5=23,S15,IF($Q$5=24,S12,IF($Q$5=25,S16,IF($Q$5=26,S19,IF($Q$5=27,T11,IF($Q$5=28,S19,IF($Q$5=29,S19,IF($Q$5=30,S19,IF($Q$5=31,R21,IF($Q$5=32,S20,IF($Q$5=33,S18,IF($Q$5=34,S18,IF($Q$5=35,S18,IF($Q$5=36,S18,IF($Q$5=37,S18,IF($Q$5=38,S18,IF($Q$5=39,S18,IF($Q$5=40,S18,IF($Q$5=41,S18,IF($Q$5=42,S18,IF($Q$5=43,S18,IF($Q$5=44,S18,IF($Q$5=45,S18,IF($Q$5=46,S18,IF($Q$5=47,S18,IF($Q$5=48,S18,IF($Q$5=49,S18,IF($Q$5=50,S18,IF($Q$5=51,S18,IF($Q$5=52,S18,IF($Q$5=53,S18,IF($Q$5=54,S18,0))))))))))))))))))))))))))))))))))))</f>
        <v>B9</v>
      </c>
      <c r="W16" s="173" t="str">
        <f>IF($Q$5=23,T10,IF($Q$5=24,T11,IF($Q$5=27,S18,IF($Q$5=28,T11,IF($Q$5=29,T12,IF($Q$5=30,T11,IF($Q$5=31,S18,IF($Q$5=32,T16,IF($Q$5=33,T16,IF($Q$5=34,T16,IF($Q$5=35,T19,IF($Q$5=36,T19,IF($Q$5=37,S21,IF($Q$5=38,T19,IF($Q$5=39,S22,IF($Q$5=40,T19,IF($Q$5=41,T19,IF($Q$5=42,T19,IF($Q$5=43,T19,IF($Q$5=44,T19,IF($Q$5=45,T19,IF($Q$5=46,T19,IF($Q$5=47,T19,IF($Q$5=48,T19,IF($Q$5=49,T19,IF($Q$5=50,T19,IF($Q$5=51,T19,IF($Q$5=52,T19,IF($Q$5=53,T19,IF($Q$5=54,T19,0))))))))))))))))))))))))))))))</f>
        <v>C1</v>
      </c>
      <c r="X16" s="23"/>
      <c r="Y16" s="447"/>
      <c r="Z16" s="14" t="str">
        <f>+P11</f>
        <v>B2</v>
      </c>
      <c r="AA16" s="69">
        <f>IF(ISTEXT(Z16),AA15,0)</f>
        <v>10</v>
      </c>
      <c r="AB16" s="18">
        <f>IF(ISTEXT(Z16),AB15,0)</f>
        <v>3</v>
      </c>
      <c r="AC16" s="62">
        <f>IF(ISTEXT(Z16),AC15,0)</f>
        <v>5</v>
      </c>
      <c r="AD16" s="11"/>
      <c r="AE16" s="14" t="str">
        <f>+S11</f>
        <v>B5</v>
      </c>
      <c r="AF16" s="18">
        <f>IF(ISTEXT(AE16),AF15,0)</f>
        <v>8</v>
      </c>
      <c r="AG16" s="18">
        <f>IF(ISTEXT(AE16),AG15,0)</f>
        <v>3</v>
      </c>
      <c r="AH16" s="62">
        <f>IF(ISTEXT(AE16),AH15,0)</f>
        <v>3</v>
      </c>
      <c r="AI16" s="11"/>
      <c r="AJ16" s="14" t="str">
        <f>+V11</f>
        <v>B5</v>
      </c>
      <c r="AK16" s="18">
        <f>IF(ISTEXT(AJ16),AK15,0)</f>
        <v>5</v>
      </c>
      <c r="AL16" s="18">
        <f>IF(ISTEXT(AJ16),AL15,0)</f>
        <v>1</v>
      </c>
      <c r="AM16" s="62">
        <f>IF(ISTEXT(AJ16),AM15,0)</f>
        <v>-4</v>
      </c>
      <c r="AN16" s="23"/>
      <c r="AO16" s="54">
        <v>8</v>
      </c>
      <c r="AP16" s="321" t="str">
        <f>+Inscrits!B10</f>
        <v>A8</v>
      </c>
      <c r="AQ16" s="286">
        <f t="shared" si="3"/>
        <v>1</v>
      </c>
      <c r="AR16" s="99">
        <f t="shared" si="4"/>
        <v>-5</v>
      </c>
      <c r="AS16" s="219">
        <f t="shared" si="5"/>
        <v>5</v>
      </c>
      <c r="AT16" s="289">
        <f t="shared" si="6"/>
        <v>1</v>
      </c>
      <c r="AU16" s="99">
        <f t="shared" si="7"/>
        <v>-9</v>
      </c>
      <c r="AV16" s="291">
        <f t="shared" si="8"/>
        <v>1</v>
      </c>
      <c r="AW16" s="286">
        <f t="shared" si="9"/>
        <v>1</v>
      </c>
      <c r="AX16" s="99">
        <f t="shared" si="10"/>
        <v>-4</v>
      </c>
      <c r="AY16" s="291">
        <f t="shared" si="11"/>
        <v>7</v>
      </c>
      <c r="AZ16" s="286">
        <f t="shared" si="17"/>
        <v>3</v>
      </c>
      <c r="BA16" s="99">
        <f t="shared" si="12"/>
        <v>-18</v>
      </c>
      <c r="BB16" s="291">
        <f t="shared" si="13"/>
        <v>13</v>
      </c>
      <c r="BC16" s="294">
        <f t="shared" si="14"/>
        <v>-18</v>
      </c>
      <c r="BD16" s="7">
        <f t="shared" si="15"/>
        <v>0</v>
      </c>
      <c r="BE16" s="218">
        <f t="shared" si="16"/>
        <v>26.178700159999998</v>
      </c>
      <c r="BF16" s="99">
        <f>IF(AP16="","",SMALL(BE$9:BE$62,ROWS(AZ$9:AZ16)))</f>
        <v>3.9076001799999998</v>
      </c>
      <c r="BG16" s="88"/>
      <c r="BH16" s="289" t="str">
        <f>IF(OR(AP16="",AZ16=""),"",INDEX($AP$9:$AP$63,MATCH(BF16,$BE$9:BE$62,0)))</f>
        <v>A10</v>
      </c>
      <c r="BI16" s="7">
        <f t="shared" si="0"/>
        <v>7</v>
      </c>
      <c r="BJ16" s="7">
        <f t="shared" si="1"/>
        <v>9</v>
      </c>
      <c r="BK16" s="7">
        <f t="shared" si="2"/>
        <v>24</v>
      </c>
      <c r="BL16" s="280">
        <f>IF(BF16="","",IF(AND(BI15=BI16,BJ15=BJ16,BK15=BK16),BL15,$BL$9+7))</f>
        <v>8</v>
      </c>
      <c r="BM16" s="29"/>
      <c r="BN16" s="7"/>
    </row>
    <row r="17" spans="1:66" ht="21" thickBot="1">
      <c r="A17" s="131">
        <v>8</v>
      </c>
      <c r="B17" s="393" t="s">
        <v>73</v>
      </c>
      <c r="C17" s="272">
        <f>IF($Q$5&gt;=22,8,0)</f>
        <v>8</v>
      </c>
      <c r="D17" s="398" t="s">
        <v>91</v>
      </c>
      <c r="E17" s="272">
        <f>IF($Q$5&gt;=23,8,0)</f>
        <v>8</v>
      </c>
      <c r="F17" s="396" t="s">
        <v>109</v>
      </c>
      <c r="G17" s="272">
        <f>IF($Q$5&gt;=24,8,0)</f>
        <v>8</v>
      </c>
      <c r="H17" s="23"/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M17" s="155"/>
      <c r="N17" s="52" t="s">
        <v>5</v>
      </c>
      <c r="O17" s="145" t="str">
        <f>IF($Q$5=19,K15,IF($Q$5=20,K16,IF($Q$5=21,K16,IF($Q$5=22,J17,IF($Q$5=23,J17,IF(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P17" s="149" t="str">
        <f>IF($Q$5=19,L14,IF($Q$5=20,L15,IF($Q$5=21,L16,IF(Q$5=22,L16,IF($Q$5=23,K17,IF($Q$5=24,K17,IF($Q$5=25,L15,IF($Q$5=26,K17,IF($Q$5=27,K17,IF($Q$5=28,K17,IF($Q$5=29,K17,IF($Q$5=30,K17,IF($Q$5=31,K17,IF($Q$5=32,K17,IF($Q$5=33,K17,IF($Q$5=34,K17,IF($Q$5=35,K17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</f>
        <v>B8</v>
      </c>
      <c r="Q17" s="152" t="str">
        <f>IF($Q$5=24,L17,IF($Q$5=28,L17,IF($Q$5=29,L17,IF($Q$5=30,L17,IF($Q$5=31,0,IF($Q$5=32,L17,IF($Q$5=33,L17,IF($Q$5=34,L17,IF($Q$5=35,L17,IF($Q$5=36,L17,IF($Q$5=37,L17,IF($Q$5=38,L17,IF($Q$5=39,L17,IF(Q$5=40,L17,IF($Q$5=41,L17,IF($Q$5=42,L17,IF($Q$5=43,L17,IF($Q$5=44,L17,IF($Q$5=45,L17,IF($Q$5=46,L17,IF($Q$5=47,L17,IF($Q$5=48,L17,IF($Q$5=49,L17,IF($Q$5=50,L17,IF($Q$5=51,L17,IF($Q$5=52,L17,IF($Q$5=53,L17,IF($Q$5=54,L17,0))))))))))))))))))))))))))))</f>
        <v>C8</v>
      </c>
      <c r="R17" s="166" t="str">
        <f>IF($Q$5=19,K15,IF($Q$5=20,O17,IF($Q$5=21,O17,IF($Q$5=22,J10,IF($Q$5=23,J10,IF($Q$5=24,J10,IF($Q$5=25,J18,IF($Q$5=26,J18,IF($Q$5=27,J18,IF($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))))))</f>
        <v>A9</v>
      </c>
      <c r="S17" s="162" t="str">
        <f>IF($Q$5=19,L12,IF($Q$5=20,K15,IF($Q$5=21,L12,IF($Q$5=22,L11,IF($Q$5=23,K12,IF($Q$5=24,K11,IF($Q$5=25,L10,IF($Q$5=26,L10,IF($Q$5=27,L10,IF($Q$5=28,K10,IF($Q$5=29,K19,IF($Q$5=30,K19,IF(Q$5=31,P16,IF($Q$5=32,K16,IF($Q$5=33,K16,IF($Q$5=34,K16,IF($Q$5=35,K16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))))))</f>
        <v>B10</v>
      </c>
      <c r="T17" s="181" t="str">
        <f>IF($Q$5=24,L17,IF($Q$5=27,0,IF($Q$5=28,P19,IF($Q$6=29,L18,IF($Q$5=29,L18,IF($Q$5=30,L18,IF($Q$5=32,L17,IF($Q$5=33,L17,IF($Q$5=34,L17,IF($Q$5=35,L17,IF($Q$5=36,L20,IF($Q$5=37,P22,IF($Q$5=38,P22,IF($Q$5=39,L20,IF($Q$5=40,L20,IF($Q$5=41,L20,IF($Q$5=42,L20,IF($Q$5=43,L20,IF($Q$5=44,L20,IF($Q$5=45,L20,IF($Q$5=46,L20,IF($Q$5=47,L20,IF($Q$5=48,L20,IF($Q$5=49,L20,IF($Q$5=50,L20,IF($Q$5=51,L20,IF($Q$5=52,L20,IF($Q$5=53,L20,IF($Q$5=54,L20,0)))))))))))))))))))))))))))))</f>
        <v>C9</v>
      </c>
      <c r="U17" s="209" t="str">
        <f>IF($Q$5=19,R17,IF($Q$5=20,R17,IF($Q$5=21,K16,IF($Q$5=22,R16,IF($Q$5=23,R10,IF($Q$5=24,R16,IF($Q$5=25,R16,IF($Q$5=26,R16,IF($Q$5=27,R16,IF($Q$5=28,R17,IF($Q$5=29,O18,IF($Q$5=30,O18,IF($Q$5=31,R17,IF($Q$5=32,O18,IF($Q$5=33,R17,IF($Q$5=34,O18,IF($Q$5=35,R17,IF($Q$5=36,R18,IF($Q$5=37,O19,IF($Q$5=38,O19,IF($Q$5=39,O19,IF($Q$5=40,R18,IF($Q$5=41,O19,IF($Q$5=42,R18,IF($Q$5=43,R18,IF($Q$5=44,O19,IF($Q$5=45,R18,IF($Q$5=46,R18,IF($Q$5=47,R18,IF($Q$5=48,R18,IF($Q$5=49,R18,IF($Q$5=50,R18,IF($Q$5=51,R18:R18,IF($Q$5=52,R18,IF($Q$5=53,R18,IF($Q$5=54,O19,0))))))))))))))))))))))))))))))))))))</f>
        <v>A9</v>
      </c>
      <c r="V17" s="159" t="str">
        <f>IF($Q$5=19,T10,IF($Q$5=20,T10,IF($Q$5=21,S16,IF($Q$5=22,T10,IF($Q$5=23,S12,IF($Q$5=24,S17,IF($Q$5=25,T10,IF($Q$5=26,S12,IF($Q$5=27,S12,IF($Q$5=28,S17,IF($Q$5=29,S18,IF($Q$5=30,S17,IF($Q$5=31,S17,IF($Q$5=32,S12,IF($Q$5=33,S12,IF($Q$5=34,S12,IF($Q$5=35,S12,IF($Q$5=36,S19,IF($Q$5=37,S19,IF($Q$5=38,S19,IF($Q$5=39,S19,IF($Q$5=40,S19,IF($Q$5=41,S19,IF($Q$5=42,S19,IF($Q$5=43,S19,IF($Q$5=44,S19,IF($Q$5=45,S19,IF($Q$5=46,S19,IF($Q$5=47,S19,IF($Q$5=48,S19,IF($Q$5=49,S19,IF($Q$5=50,S19,IF($Q$5=51,S19,IF($Q$5=52,S19,IF($Q$5=53,S19,IF($Q$5=54,S19,0))))))))))))))))))))))))))))))))))))</f>
        <v>B10</v>
      </c>
      <c r="W17" s="175" t="str">
        <f>IF($Q$5=24,T10,IF($Q$5=27,0,IF($Q$5=28,S18,IF($Q$5=29,T18,IF($Q$5=30,T18,IF($Q$5=32,T17,IF($Q$5=33,T17,IF($Q$5=34,T17,IF($Q$5=35,T17,IF($Q$5=36,T20,IF($Q$5=37,S22,IF($Q$5=38,S22,IF($Q$5=39,T18,IF($Q$5=40,T20,IF($Q$5=41,T20,IF($Q$5=42,T20,IF($Q$5=43,T20,IF($Q$5=44,T20,IF($Q$5=45,T20,IF($Q$5=46,T20,IF($Q$5=47,T20,IF($Q$5=48,T20,IF($Q$5=49,T20,IF($Q$5=50,T20,IF($Q$5=51,T20,IF($Q$5=52,T20,IF($Q$5=53,T20,IF($Q$5=54,T20,0))))))))))))))))))))))))))))</f>
        <v>C4</v>
      </c>
      <c r="X17" s="23"/>
      <c r="Y17" s="448"/>
      <c r="Z17" s="16" t="str">
        <f>+Q11</f>
        <v>C2</v>
      </c>
      <c r="AA17" s="69">
        <f>IF(ISTEXT(Z17),AA15,0)</f>
        <v>10</v>
      </c>
      <c r="AB17" s="18">
        <f>IF(ISTEXT(Z17),AB15,0)</f>
        <v>3</v>
      </c>
      <c r="AC17" s="62">
        <f>IF(ISTEXT(Z17),AC15,0)</f>
        <v>5</v>
      </c>
      <c r="AD17" s="11"/>
      <c r="AE17" s="16" t="str">
        <f>+T11</f>
        <v>C1</v>
      </c>
      <c r="AF17" s="18">
        <f>IF(ISTEXT(AE17),AF15,0)</f>
        <v>8</v>
      </c>
      <c r="AG17" s="18">
        <f>IF(ISTEXT(AE17),AG15,0)</f>
        <v>3</v>
      </c>
      <c r="AH17" s="62">
        <f>IF(ISTEXT(AE17),AH15,0)</f>
        <v>3</v>
      </c>
      <c r="AI17" s="11"/>
      <c r="AJ17" s="16" t="str">
        <f>+W11</f>
        <v>C6</v>
      </c>
      <c r="AK17" s="18">
        <f>IF(ISTEXT(AJ17),AK15,0)</f>
        <v>5</v>
      </c>
      <c r="AL17" s="18">
        <f>IF(ISTEXT(AJ17),AL15,0)</f>
        <v>1</v>
      </c>
      <c r="AM17" s="62">
        <f>IF(ISTEXT(AJ17),AM15,0)</f>
        <v>-4</v>
      </c>
      <c r="AN17" s="23"/>
      <c r="AO17" s="54">
        <v>9</v>
      </c>
      <c r="AP17" s="321" t="str">
        <f>+Inscrits!B11</f>
        <v>A9</v>
      </c>
      <c r="AQ17" s="286">
        <f t="shared" si="3"/>
        <v>3</v>
      </c>
      <c r="AR17" s="99">
        <f t="shared" si="4"/>
        <v>1</v>
      </c>
      <c r="AS17" s="219">
        <f t="shared" si="5"/>
        <v>1</v>
      </c>
      <c r="AT17" s="289">
        <f t="shared" si="6"/>
        <v>3</v>
      </c>
      <c r="AU17" s="99">
        <f t="shared" si="7"/>
        <v>9</v>
      </c>
      <c r="AV17" s="291">
        <f t="shared" si="8"/>
        <v>10</v>
      </c>
      <c r="AW17" s="286">
        <f t="shared" si="9"/>
        <v>3</v>
      </c>
      <c r="AX17" s="99">
        <f t="shared" si="10"/>
        <v>7</v>
      </c>
      <c r="AY17" s="291">
        <f t="shared" si="11"/>
        <v>8</v>
      </c>
      <c r="AZ17" s="286">
        <f t="shared" si="17"/>
        <v>9</v>
      </c>
      <c r="BA17" s="99">
        <f t="shared" si="12"/>
        <v>17</v>
      </c>
      <c r="BB17" s="291">
        <f t="shared" si="13"/>
        <v>19</v>
      </c>
      <c r="BC17" s="294">
        <f t="shared" si="14"/>
        <v>0</v>
      </c>
      <c r="BD17" s="7">
        <f t="shared" si="15"/>
        <v>17</v>
      </c>
      <c r="BE17" s="218">
        <f t="shared" si="16"/>
        <v>0.82810016999999991</v>
      </c>
      <c r="BF17" s="99">
        <f>IF(AP17="","",SMALL(BE$9:BE$62,ROWS(AZ$9:AZ17)))</f>
        <v>3.9169004599999999</v>
      </c>
      <c r="BG17" s="88"/>
      <c r="BH17" s="289" t="str">
        <f>IF(OR(AP17="",AZ17=""),"",INDEX($AP$9:$AP$63,MATCH(BF17,$BE$9:BE$62,0)))</f>
        <v>C2</v>
      </c>
      <c r="BI17" s="7">
        <f t="shared" si="0"/>
        <v>7</v>
      </c>
      <c r="BJ17" s="7">
        <f t="shared" si="1"/>
        <v>8</v>
      </c>
      <c r="BK17" s="7">
        <f t="shared" si="2"/>
        <v>31</v>
      </c>
      <c r="BL17" s="280">
        <f>IF(BF17="","",IF(AND(BI16=BI17,BJ16=BJ17,BK16=BK17),BL16,$BL$9+8))</f>
        <v>9</v>
      </c>
      <c r="BM17" s="29"/>
      <c r="BN17" s="99"/>
    </row>
    <row r="18" spans="1:66" ht="21" thickBot="1">
      <c r="A18" s="131">
        <v>9</v>
      </c>
      <c r="B18" s="393" t="s">
        <v>74</v>
      </c>
      <c r="C18" s="272">
        <f>IF($Q$5&gt;=25,9,0)</f>
        <v>9</v>
      </c>
      <c r="D18" s="398" t="s">
        <v>92</v>
      </c>
      <c r="E18" s="272">
        <f>IF($Q$5&gt;=26,9,0)</f>
        <v>9</v>
      </c>
      <c r="F18" s="396" t="s">
        <v>110</v>
      </c>
      <c r="G18" s="272">
        <f>IF($Q$5&gt;=27,9,0)</f>
        <v>9</v>
      </c>
      <c r="H18" s="23"/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M18" s="155"/>
      <c r="N18" s="82">
        <v>5</v>
      </c>
      <c r="O18" s="138" t="str">
        <f>IF($Q$5=25,J18,IF($Q$5=26,J18,IF($Q$5=27,J18,IF(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</f>
        <v>A9</v>
      </c>
      <c r="P18" s="150" t="str">
        <f>IF($Q$5=25,L16,IF($Q$5=26,L16,IF($Q$5=27,L17,IF($Q$5=28,K18,IF($Q$5=29,K18,IF($Q$5=30,K18,IF($Q$5=31,K18,IF($Q$5=32,K19,IF($Q$5=33,K18,IF($Q$5=34,K18,IF($Q$5=35,K18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</f>
        <v>B9</v>
      </c>
      <c r="Q18" s="153" t="str">
        <f>IF($Q$5=29,L18,IF($Q$5=30,L18,IF($Q$5=33,L18,IF($Q$5=34,L18,IF($Q$5=35,L18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</f>
        <v>C9</v>
      </c>
      <c r="R18" s="167" t="str">
        <f>IF($Q$5=25,O19,IF($Q$5=26,O19,IF($Q$5=27,J10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S18" s="163" t="str">
        <f>IF($Q$5=25,L11,IF($Q$5=26,L11,IF(Q$5=27,Q11,IF($Q$5=28,L11,IF($Q$5=29,K10,IF($Q$5=30,K10,IF($Q$5=31,P21,IF($Q$5=32,P20,IF($Q$5=33,K10,IF($Q$5=34,K10,IF($Q$5=35,K10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))))))</f>
        <v>B1</v>
      </c>
      <c r="T18" s="182" t="str">
        <f>IF($Q$5=27,0,IF($Q$5=29,L11,IF($Q$5=30,L13,IF(J$5=32,0,IF($Q$5=33,L18,IF($Q$5=34,P21,IF($Q$5=35,L20,IF($Q$5=36,L21,IF($Q$5=37,P21,IF($Q$5=38,P23,IF($Q$5=39,L10,IF($Q$5=40,L21,IF($Q$5=41,L21,IF($Q$5=42,L21,IF($Q$5=43,P25,IF($Q$5=44,L21,IF($Q$5=45,L21,IF($Q$5=46,L21,IF($Q$5=47,L21,IF($Q$5=48,L21,IF($Q$5=49,L21,IF($Q$5=50,L21,IF($Q$5=51,L21,IF($Q$5=52,L21,IF($Q$5=53,L21,IF($Q$5=54,L21,0))))))))))))))))))))))))))</f>
        <v>C4</v>
      </c>
      <c r="U18" s="160" t="str">
        <f>IF($Q$5=25,R17,IF($Q$5=26,R17,IF($Q$5=27,R17,IF($Q$5=28,O17,IF($Q$5=29,O17,IF($Q$5=30,O17,IF($Q$5=31,R10,IF($Q$5=32,O19,IF($Q$5=33,O19,IF($Q$5=34,O20,IF($Q$5=35,R19,IF($Q$5=36,O20,IF($Q$5=37,R19,IF($Q$5=38,R19,IF($Q$5=39,O20,IF($Q$5=40,O20,IF($Q$5=41,O20,IF($Q$5=42,O20,IF($Q$5=43,O20,IF($Q$5=44,O20,IF($Q$5=45,O20,IF($Q$5=46,O20,IF($Q$5=47,O20,IF($Q$5=48,O20,IF($Q$5=49,O20,IF($Q$5=50,O20,IF($Q$5=51,O20,IF($Q$5=52,O20,IF($Q$5=53,O20,IF($Q$5=54,O20,0))))))))))))))))))))))))))))))</f>
        <v>A8</v>
      </c>
      <c r="V18" s="157" t="str">
        <f>IF($Q$5=25,T11,IF($Q$5=26,S18,IF($Q$5=27,R19,IF($Q$5=28,S12,IF($Q$5=29,S17,IF($Q$5=30,S18,IF($Q$5=31,S12,IF($Q$5=32,S13,IF($Q$5=33,S13,IF($Q$5=34,S13,IF($Q$5=35,S13,IF($Q$5=36,S20,IF($Q$5=37,S20,IF($Q$5=38,S20,IF($Q$5=39,S11,IF($Q$5=40,S20,IF($Q$5=41,S20,IF($Q$5=42,S20,IF($Q$5=43,S20,IF($Q$5=44,S20,IF($Q$5=45,S20,IF($Q$5=46,S20,IF($Q$5=47,S20,IF($Q$5=48,S20,IF($Q$5=49,S20,IF($Q$5=50,S20,IF($Q$5=51,S20,IF($Q$5=52,S20,IF($Q$5=53,S20,IF($Q$5=54,S20,0))))))))))))))))))))))))))))))</f>
        <v>B1</v>
      </c>
      <c r="W18" s="172" t="str">
        <f>IF($Q$5=29,T10,IF($Q$5=30,Q19,IF($Q$5=32,0,IF($Q$5=33,S20,IF($Q$5=34,T15,IF($Q$5=35,T15,IF($Q$5=36,T21,IF($Q$5=37,S23,IF($Q$5=38,S23,IF($Q$5=39,T19,IF($Q$5=40,T21,IF($Q$5=41,T21,IF($Q$5=42,T21,IF($Q$5=43,S25,IF($Q$5=44,T21,IF($Q$5=45,T21,IF($Q$5=46,T21,IF($Q$5=47,T21,IF($Q$5=48,T21,IF($Q$5=49,T21,IF($Q$5=50,T21,IF($Q$5=51,T21,IF($Q$5=52,T21,IF($Q$5=53,T21,IF($Q$5=54,T21,0)))))))))))))))))))))))))</f>
        <v>C10</v>
      </c>
      <c r="X18" s="23"/>
      <c r="Y18" s="128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23"/>
      <c r="AO18" s="54">
        <v>10</v>
      </c>
      <c r="AP18" s="321" t="str">
        <f>+Inscrits!B12</f>
        <v>A10</v>
      </c>
      <c r="AQ18" s="286">
        <f t="shared" si="3"/>
        <v>1</v>
      </c>
      <c r="AR18" s="99">
        <f t="shared" si="4"/>
        <v>-1</v>
      </c>
      <c r="AS18" s="219" t="str">
        <f t="shared" si="5"/>
        <v>0</v>
      </c>
      <c r="AT18" s="289">
        <f t="shared" si="6"/>
        <v>3</v>
      </c>
      <c r="AU18" s="99">
        <f t="shared" si="7"/>
        <v>6</v>
      </c>
      <c r="AV18" s="291">
        <f t="shared" si="8"/>
        <v>13</v>
      </c>
      <c r="AW18" s="286">
        <f t="shared" si="9"/>
        <v>3</v>
      </c>
      <c r="AX18" s="99">
        <f t="shared" si="10"/>
        <v>4</v>
      </c>
      <c r="AY18" s="291">
        <f t="shared" si="11"/>
        <v>11</v>
      </c>
      <c r="AZ18" s="286">
        <f t="shared" si="17"/>
        <v>7</v>
      </c>
      <c r="BA18" s="99">
        <f t="shared" si="12"/>
        <v>9</v>
      </c>
      <c r="BB18" s="291">
        <f t="shared" si="13"/>
        <v>24</v>
      </c>
      <c r="BC18" s="294">
        <f t="shared" si="14"/>
        <v>0</v>
      </c>
      <c r="BD18" s="7">
        <f t="shared" si="15"/>
        <v>9</v>
      </c>
      <c r="BE18" s="218">
        <f t="shared" si="16"/>
        <v>3.9076001799999998</v>
      </c>
      <c r="BF18" s="99">
        <f>IF(AP18="","",SMALL(BE$9:BE$62,ROWS(AZ$9:AZ18)))</f>
        <v>3.91800053</v>
      </c>
      <c r="BG18" s="88"/>
      <c r="BH18" s="289" t="str">
        <f>IF(OR(AP18="",AZ18=""),"",INDEX($AP$9:$AP$63,MATCH(BF18,$BE$9:BE$62,0)))</f>
        <v>C9</v>
      </c>
      <c r="BI18" s="7">
        <f t="shared" si="0"/>
        <v>7</v>
      </c>
      <c r="BJ18" s="7">
        <f t="shared" si="1"/>
        <v>8</v>
      </c>
      <c r="BK18" s="7">
        <f t="shared" si="2"/>
        <v>20</v>
      </c>
      <c r="BL18" s="280">
        <f>IF(BF18="","",IF(AND(BI17=BI18,BJ17=BJ18,BK17=BK18),BL17,$BL$9+9))</f>
        <v>10</v>
      </c>
      <c r="BM18" s="29"/>
      <c r="BN18" s="99"/>
    </row>
    <row r="19" spans="1:66" ht="21" thickBot="1">
      <c r="A19" s="131">
        <v>10</v>
      </c>
      <c r="B19" s="393" t="s">
        <v>75</v>
      </c>
      <c r="C19" s="272">
        <f>IF($Q$5&gt;=28,10,0)</f>
        <v>10</v>
      </c>
      <c r="D19" s="398" t="s">
        <v>93</v>
      </c>
      <c r="E19" s="272">
        <f>IF($Q$5&gt;=29,10,0)</f>
        <v>10</v>
      </c>
      <c r="F19" s="396" t="s">
        <v>111</v>
      </c>
      <c r="G19" s="272">
        <f>IF($Q$5&gt;=30,10,0)</f>
        <v>10</v>
      </c>
      <c r="H19" s="23"/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M19" s="155"/>
      <c r="N19" s="3" t="s">
        <v>5</v>
      </c>
      <c r="O19" s="141" t="str">
        <f>IF($Q$5=25,K17,IF($Q$5=26,K18,IF($Q$5=27,K18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P19" s="149" t="str">
        <f>IF($Q$5=25,L17,IF($Q$5=26,L17,IF($Q$5=27,L18,IF($Q$5=28,L18,IF($Q$5=29,K19,IF($Q$5=30,K19,IF($Q$5=31,L17,IF($Q$5=32,K18,IF($Q$5=33,K19,IF($Q$5=34,K19,IF($Q$5=35,K19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</f>
        <v>B10</v>
      </c>
      <c r="Q19" s="152" t="str">
        <f>IF($Q$5=30,L19,IF($Q$5=34,L19,IF($Q$5=35,L19,IF($Q$5=36,L19,IF($Q$5=38,L19,IF($Q$5=39,L19,IF($Q$5=40,L19,IF($Q$5=41,L19,IF($Q$5=42,L19,IF($Q$5=43,L19,IF($Q$5=44,L19,IF($Q$5=45,L19,IF($Q$5=46,L19,IF($Q$5=47,L19,IF($Q$5=48,L19,IF($Q$5=49,L19,IF($Q$5=50,L19,IF($Q$5=51,L19,IF($Q$5=52,L19,IF($Q$5=53,L19,IF($Q$5=54,L19,0)))))))))))))))))))))</f>
        <v>C10</v>
      </c>
      <c r="R19" s="168" t="str">
        <f>IF($Q$5=25,J10,IF($Q$5=26,J10,IF($Q$5=27,K10,IF($Q$5=28,J10,IF($Q$5=29,J10,IF($Q$5=30,J10,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))))))</f>
        <v>A1</v>
      </c>
      <c r="S19" s="159" t="str">
        <f>IF($Q$5=25,P18,IF($Q$5=26,K10,IF($Q$5=27,O19,IF($Q$5=28,K18,IF($Q$5=29,K18,IF($Q$5=30,K18,IF($Q$5=31,P19,IF($Q$5=32,P21,IF($Q$5=33,K19,IF($Q$5=34,K19,IF($Q$5=35,K19,IF($Q$5=36,K21,IF($Q$5=37,P11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))))))</f>
        <v>B9</v>
      </c>
      <c r="T19" s="183" t="str">
        <f>IF($Q$5=30,L19,IF($Q$5=34,L18,IF($Q$5=35,L18,IF($Q$5=36,L10,IF($Q$5=38,L10,IF($Q$5=39,L11,IF($Q$5=40,P23,IF($Q$5=41,L22,IF($Q$5=42,L22,IF($Q$5=43,P23,IF($Q$5=44,P24,IF($Q$5=45,L22,IF($Q$5=46,L22,IF($Q$5=47,L22,IF($Q$5=48,L22,IF($Q$5=49,L22,IF($Q$5=50,L22,IF($Q$5=51,L22,IF($Q$5=52,L22,IF($Q$5=53,L22,IF($Q$5=54,L22,0)))))))))))))))))))))</f>
        <v>C10</v>
      </c>
      <c r="U19" s="185" t="str">
        <f>IF($Q$5=25,O19,IF($Q$5=26,R18,IF($Q$5=27,S19,IF($Q$5=28,R18,IF($Q$5=29,O19,IF($Q$5=30,O19,IF($Q$5=31,R18,IF($Q$5=32,R10,IF($Q$5=33,O11,IF($Q$5=34,R10,IF($Q$5=35,R10,IF($Q$5=36,O21,IF($Q$5=37,R20,IF($Q$5=38,R20,IF($Q$5=39,O21,IF($Q$5=40,O21,IF($Q$5=41,O21,IF($Q$5=42,O21,IF($Q$5=43,R20,IF($Q$5=44,O21,IF($Q$5=45,R20,IF($Q$5=46,O21,IF($Q$5=47,O21,IF($Q$5=48,O21,IF($Q$5=49,O21,IF($Q$5=50,O21,IF($Q$5=51,O21,IF($Q$5=52,O21,IF($Q$5=53,O21,IF($Q$5=54,O21,0))))))))))))))))))))))))))))))</f>
        <v>A10</v>
      </c>
      <c r="V19" s="162" t="str">
        <f>IF($Q$5=25,S12,IF($Q$5=26,T10,IF($Q$5=27,T10,IF($Q$5=28,T10,IF($Q$5=29,S12,IF($Q$5=30,S12,IF($Q$5=31,T16,IF($Q$5=32,S14,IF($Q$5=33,S14,IF($Q$5=34,S20,IF($Q$5=35,S20,IF($Q$5=36,S21,IF($Q$5=37,S11,IF($Q$5=38,S21,IF($Q$5=39,S20,IF($Q$5=40,S21,IF($Q$5=41,S21,IF($Q$5=42,S21,IF($Q$5=43,S11,IF($Q$5=44,S21,IF($Q$5=45,S21,IF($Q$5=46,S21,IF($Q$5=47,S21,IF($Q$5=48,S21,IF($Q$5=49,S21,IF($Q$5=50,S21,IF($Q$5=51,S21,IF($Q$5=52,S21,IF($Q$5=53,S21,IF($Q$5=54,S21,0))))))))))))))))))))))))))))))</f>
        <v>B2</v>
      </c>
      <c r="W19" s="174" t="str">
        <f>IF($Q$5=30,T10,IF($Q$5=35,T16,IF($Q$5=36,T10,IF($Q$5=38,T10,IF($Q$5=39,T20,IF($Q$5=34,S21,IF($Q$5=40,S23,IF($Q$5=41,T22,IF($Q$5=42,T22,IF($Q$5=43,S23,IF($Q$5=44,S23,IF($Q$5=45,T22,IF($Q$5=46,T22,IF($Q$5=47,T22,IF($Q$5=48,T22,IF($Q$5=49,T22,IF($Q$5=50,T22,IF($Q$5=51,S27,IF($Q$5=52,T22,IF($Q$5=53,T22,IF($Q$5=54,T22,0)))))))))))))))))))))</f>
        <v>C3</v>
      </c>
      <c r="X19" s="23"/>
      <c r="Y19" s="446">
        <v>2</v>
      </c>
      <c r="Z19" s="12" t="str">
        <f>+O12</f>
        <v>A3</v>
      </c>
      <c r="AA19" s="33">
        <v>8</v>
      </c>
      <c r="AB19" s="48">
        <f>IF(AA19+AA23=0,0,IF(AA19=AA23,2,IF(AA19&gt;AA23,3,1)))</f>
        <v>3</v>
      </c>
      <c r="AC19" s="13">
        <f>AA19-AA23</f>
        <v>4</v>
      </c>
      <c r="AD19" s="9"/>
      <c r="AE19" s="12" t="str">
        <f>+R12</f>
        <v>A4</v>
      </c>
      <c r="AF19" s="126">
        <v>6</v>
      </c>
      <c r="AG19" s="48">
        <f>IF(AF19+AF23=0,0,IF(AF19=AF23,2,IF(AF19&gt;AF23,3,1)))</f>
        <v>1</v>
      </c>
      <c r="AH19" s="13">
        <f>AF19-AF23</f>
        <v>-7</v>
      </c>
      <c r="AI19" s="9"/>
      <c r="AJ19" s="12" t="str">
        <f>+U12</f>
        <v>A3</v>
      </c>
      <c r="AK19" s="36">
        <v>10</v>
      </c>
      <c r="AL19" s="48">
        <f>IF(AK19+AK23=0,0,IF(AK19=AK23,2,IF(AK19&gt;AK23,3,1)))</f>
        <v>1</v>
      </c>
      <c r="AM19" s="13">
        <f>AK19-AK23</f>
        <v>-3</v>
      </c>
      <c r="AN19" s="23"/>
      <c r="AO19" s="54">
        <v>11</v>
      </c>
      <c r="AP19" s="321" t="str">
        <f>+Inscrits!B13</f>
        <v>A11</v>
      </c>
      <c r="AQ19" s="286" t="str">
        <f t="shared" si="3"/>
        <v xml:space="preserve"> </v>
      </c>
      <c r="AR19" s="99" t="str">
        <f t="shared" si="4"/>
        <v xml:space="preserve"> </v>
      </c>
      <c r="AS19" s="219" t="str">
        <f t="shared" si="5"/>
        <v xml:space="preserve"> </v>
      </c>
      <c r="AT19" s="289" t="str">
        <f t="shared" si="6"/>
        <v xml:space="preserve"> </v>
      </c>
      <c r="AU19" s="99" t="str">
        <f t="shared" si="7"/>
        <v xml:space="preserve"> </v>
      </c>
      <c r="AV19" s="291" t="str">
        <f t="shared" si="8"/>
        <v xml:space="preserve"> </v>
      </c>
      <c r="AW19" s="286" t="str">
        <f t="shared" si="9"/>
        <v xml:space="preserve"> </v>
      </c>
      <c r="AX19" s="99" t="str">
        <f t="shared" si="10"/>
        <v xml:space="preserve"> </v>
      </c>
      <c r="AY19" s="291" t="str">
        <f t="shared" si="11"/>
        <v xml:space="preserve"> </v>
      </c>
      <c r="AZ19" s="286">
        <f t="shared" si="17"/>
        <v>0</v>
      </c>
      <c r="BA19" s="99">
        <f t="shared" si="12"/>
        <v>0</v>
      </c>
      <c r="BB19" s="291">
        <f t="shared" si="13"/>
        <v>0</v>
      </c>
      <c r="BC19" s="294">
        <f t="shared" si="14"/>
        <v>0</v>
      </c>
      <c r="BD19" s="7">
        <f t="shared" si="15"/>
        <v>0</v>
      </c>
      <c r="BE19" s="218">
        <f t="shared" si="16"/>
        <v>31.000000190000002</v>
      </c>
      <c r="BF19" s="99">
        <f>IF(AP19="","",SMALL(BE$9:BE$62,ROWS(AZ$9:AZ19)))</f>
        <v>3.9476004699999998</v>
      </c>
      <c r="BG19" s="88"/>
      <c r="BH19" s="289" t="str">
        <f>IF(OR(AP19="",AZ19=""),"",INDEX($AP$9:$AP$63,MATCH(BF19,$BE$9:BE$62,0)))</f>
        <v>C3</v>
      </c>
      <c r="BI19" s="7">
        <f t="shared" si="0"/>
        <v>7</v>
      </c>
      <c r="BJ19" s="7">
        <f t="shared" si="1"/>
        <v>5</v>
      </c>
      <c r="BK19" s="7">
        <f t="shared" si="2"/>
        <v>24</v>
      </c>
      <c r="BL19" s="280">
        <f>IF(BF19="","",IF(AND(BI18=BI19,BJ18=BJ19,BK18=BK19),BL18,$BL$9+10))</f>
        <v>11</v>
      </c>
      <c r="BM19" s="29"/>
      <c r="BN19" s="262"/>
    </row>
    <row r="20" spans="1:66" ht="21" thickBot="1">
      <c r="A20" s="131">
        <v>11</v>
      </c>
      <c r="B20" s="393"/>
      <c r="C20" s="272">
        <f>IF($Q$5&gt;=31,11,0)</f>
        <v>0</v>
      </c>
      <c r="D20" s="398"/>
      <c r="E20" s="272">
        <f>IF($Q$5&gt;=32,11,0)</f>
        <v>0</v>
      </c>
      <c r="F20" s="396"/>
      <c r="G20" s="272">
        <f>IF($Q$5&gt;=33,11,0)</f>
        <v>0</v>
      </c>
      <c r="H20" s="23"/>
      <c r="I20" s="196">
        <v>11</v>
      </c>
      <c r="J20" s="204" t="str">
        <f>IF(ISNA(MATCH(I20,$C$10:$C$27,0)),"",INDEX(B$10:$B$27,MATCH(I20,$C$10:$C$27,0)))</f>
        <v/>
      </c>
      <c r="K20" s="137" t="str">
        <f>IF(ISNA(MATCH(I20,$E$10:$E$27,0)),"",INDEX($D$10:D$27,MATCH(I20,$E$10:$E$27,0)))</f>
        <v/>
      </c>
      <c r="L20" s="188" t="str">
        <f>IF(ISNA(MATCH(I20,$G$10:$G$27,0)),"",INDEX($F$10:F$27,MATCH(I20,$G$10:$G$27,0)))</f>
        <v/>
      </c>
      <c r="M20" s="155"/>
      <c r="N20" s="3">
        <v>6</v>
      </c>
      <c r="O20" s="138">
        <f>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</f>
        <v>0</v>
      </c>
      <c r="P20" s="150">
        <f>IF($Q$5=31,L18,IF($Q$5=32,L18,IF($Q$5=33,L19,IF($Q$5=34,K20,IF($Q$5=35,K20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</f>
        <v>0</v>
      </c>
      <c r="Q20" s="153">
        <f>IF($Q$5=35,L20,IF($Q$5=36,L20,IF($Q$5=39,L20,IF($Q$5=40,L20,IF($Q$5=41,L20,IF($Q$5=42,L20,IF($Q$5=43,L20,IF($Q$5=44,L20,IF($Q$5=45,L20,IF($Q$5=46,L20,IF($Q$5=47,L20,IF($Q$5=48,L20,IF($Q$5=49,L20,IF($Q$5=50,L20,IF($Q$5=51,L20,IF($Q$5=52,L20,IF($Q$5=53,L20,IF($Q$5=54,L20,0))))))))))))))))))</f>
        <v>0</v>
      </c>
      <c r="R20" s="165">
        <f>IF($Q$5=31,J10,IF($Q$5=32,K20,IF($Q$5=33,J10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0</v>
      </c>
      <c r="S20" s="157">
        <f>IF($Q$5=31,P20,IF($Q$5=32,K10,IF($Q$5=33,P21,IF($Q$5=34,K20,IF($Q$5=35,K20,IF($Q$5=36,K10,IF($Q$5=37,K10,IF($Q$5=38,P11,IF($Q$5=39,K10,IF($Q$5=40,K22,IF($Q$5=41,K22,IF($Q$5=42,K22,IF($Q$5=43,K22,IF($Q$5=44,K22,IF($Q$5=45,K22,IF($Q$5=46,K22,IF($Q$5=47,K22,IF($Q$5=48,K22,IF($Q$5=49,K22,IF($Q$5=50,K22,IF($Q$5=51,K22,IF($Q$5=52,K22,IF($Q$5=53,K22,IF($Q$5=54,K22,0))))))))))))))))))))))))</f>
        <v>0</v>
      </c>
      <c r="T20" s="179">
        <f>IF($Q$5=35,L19,IF($Q$5=36,L11,IF($Q$5=39,L12,IF($Q$5=40,L10,IF($Q$5=41,L10,IF($Q$5=42,L23,IF($Q$5=43,P24,IF($Q$5=44,P25,IF($Q$5=45,P24,IF($Q$5=46,L23,IF($Q$5=47,L23,IF($Q$5=48,L23,IF($Q$5=49,L10,IF($Q$5=50,L23,IF($Q$5=51,L23,IF($Q$5=52,L23,IF($Q$5=53,L23,IF($Q$5=54,L23,0))))))))))))))))))</f>
        <v>0</v>
      </c>
      <c r="U20" s="165">
        <f>IF($Q$5=30,0,IF($Q$5=31,R19,IF($Q$5=32,R19,IF($Q$5=33,R19,IF($Q$5=34,R18,IF($Q$5=35,R18,IF($Q$5=36,O10,IF($Q$5=37,R21,IF($Q$5=38,R21,IF($Q$5=39,O22,IF($Q$5=40,R21,IF($Q$5=41,O22,IF($Q$5=42,O22,IF($Q$5=43,R21,IF($Q$5=44,R21,IF($Q$5=45,O22,IF($Q$5=46,O22,IF($Q$5=47,O22,IF($Q$5=48,O22,IF($Q$5=49,O22,IF($Q$5=50,O22,IF($Q$5=51,R21,IF($Q$5=52,O22,IF($Q$5=53,O22,IF($Q$5=54,O22,0)))))))))))))))))))))))))</f>
        <v>0</v>
      </c>
      <c r="V20" s="163">
        <f>IF($Q$5=31,T10,IF($Q$5=32,S18,IF($Q$5=33,T18,IF($Q$5=34,S14,IF($Q$5=35,S21,IF($Q$5=36,S10,IF($Q$5=37,S10,IF($Q$5=38,S11,IF($Q$5=39,S21,IF($Q$5=40,S22,IF($Q$5=41,S22,IF($Q$5=42,S22,IF($Q$5=43,S22,IF($Q$5=44,S22,IF($Q$5=45,S22,IF($Q$5=46,S22,IF($Q$5=47,S22,IF($Q$5=48,S22,IF($Q$5=49,S22,IF($Q$5=50,S22,IF($Q$5=51,S22,IF($Q$5=52,S22,IF($Q$5=53,S22,IF($Q$5=54,S22,0))))))))))))))))))))))))</f>
        <v>0</v>
      </c>
      <c r="W20" s="173">
        <f>IF($Q$5=35,T18,IF($Q$5=36,T11,IF($Q$5=39,T10,IF($Q$5=40,T10,IF($Q$5=41,T10,IF($Q$5=42,T23,IF($Q$5=43,S24,IF($Q$5=44,S24,IF($Q$5=45,S24,IF($Q$5=46,T23,IF($Q$5=47,T23,IF($Q$5=48,T23,IF($Q$5=49,T10,IF($Q$5=50,T23,IF($Q$5=51,S26,IF($Q$5=52,S27,IF($Q$5=53,T23,IF($Q$5=54,T23,0))))))))))))))))))</f>
        <v>0</v>
      </c>
      <c r="X20" s="23"/>
      <c r="Y20" s="447"/>
      <c r="Z20" s="14" t="str">
        <f>+P12</f>
        <v>B3</v>
      </c>
      <c r="AA20" s="18">
        <f>IF(ISTEXT(Z20),AA19,0)</f>
        <v>8</v>
      </c>
      <c r="AB20" s="18">
        <f>IF(ISTEXT(Z20),AB19,0)</f>
        <v>3</v>
      </c>
      <c r="AC20" s="62">
        <f>IF(ISTEXT(Z20),AC19,0)</f>
        <v>4</v>
      </c>
      <c r="AD20" s="11"/>
      <c r="AE20" s="14" t="str">
        <f>+S12</f>
        <v>B2</v>
      </c>
      <c r="AF20" s="18">
        <f>IF(ISTEXT(AE20),AF19,0)</f>
        <v>6</v>
      </c>
      <c r="AG20" s="59">
        <f>IF(ISTEXT(AE20),AG19,0)</f>
        <v>1</v>
      </c>
      <c r="AH20" s="62">
        <f>IF(ISTEXT(AE20),AH19,0)</f>
        <v>-7</v>
      </c>
      <c r="AI20" s="11"/>
      <c r="AJ20" s="14" t="str">
        <f>+V12</f>
        <v>B4</v>
      </c>
      <c r="AK20" s="18">
        <f>IF(ISTEXT(AJ20),AK19,0)</f>
        <v>10</v>
      </c>
      <c r="AL20" s="59">
        <f>IF(ISTEXT(AJ20),AL19,0)</f>
        <v>1</v>
      </c>
      <c r="AM20" s="62">
        <f>IF(ISTEXT(AJ20),AM19,0)</f>
        <v>-3</v>
      </c>
      <c r="AN20" s="23"/>
      <c r="AO20" s="54">
        <v>12</v>
      </c>
      <c r="AP20" s="321" t="str">
        <f>+Inscrits!B14</f>
        <v>A12</v>
      </c>
      <c r="AQ20" s="286" t="str">
        <f t="shared" si="3"/>
        <v xml:space="preserve"> </v>
      </c>
      <c r="AR20" s="99" t="str">
        <f t="shared" si="4"/>
        <v xml:space="preserve"> </v>
      </c>
      <c r="AS20" s="219" t="str">
        <f t="shared" si="5"/>
        <v xml:space="preserve"> </v>
      </c>
      <c r="AT20" s="289" t="str">
        <f t="shared" si="6"/>
        <v xml:space="preserve"> </v>
      </c>
      <c r="AU20" s="99" t="str">
        <f t="shared" si="7"/>
        <v xml:space="preserve"> </v>
      </c>
      <c r="AV20" s="291" t="str">
        <f t="shared" si="8"/>
        <v xml:space="preserve"> </v>
      </c>
      <c r="AW20" s="286" t="str">
        <f t="shared" si="9"/>
        <v xml:space="preserve"> </v>
      </c>
      <c r="AX20" s="99" t="str">
        <f t="shared" si="10"/>
        <v xml:space="preserve"> </v>
      </c>
      <c r="AY20" s="291" t="str">
        <f t="shared" si="11"/>
        <v xml:space="preserve"> </v>
      </c>
      <c r="AZ20" s="286">
        <f t="shared" si="17"/>
        <v>0</v>
      </c>
      <c r="BA20" s="99">
        <f t="shared" si="12"/>
        <v>0</v>
      </c>
      <c r="BB20" s="291">
        <f t="shared" si="13"/>
        <v>0</v>
      </c>
      <c r="BC20" s="294">
        <f t="shared" si="14"/>
        <v>0</v>
      </c>
      <c r="BD20" s="7">
        <f t="shared" si="15"/>
        <v>0</v>
      </c>
      <c r="BE20" s="218">
        <f t="shared" si="16"/>
        <v>31.000000199999999</v>
      </c>
      <c r="BF20" s="99">
        <f>IF(AP20="","",SMALL(BE$9:BE$62,ROWS(AZ$9:AZ20)))</f>
        <v>3.9574000999999996</v>
      </c>
      <c r="BG20" s="88"/>
      <c r="BH20" s="289" t="str">
        <f>IF(OR(AP20="",AZ20=""),"",INDEX($AP$9:$AP$63,MATCH(BF20,$BE$9:BE$62,0)))</f>
        <v>A2</v>
      </c>
      <c r="BI20" s="7">
        <f t="shared" si="0"/>
        <v>7</v>
      </c>
      <c r="BJ20" s="7">
        <f t="shared" si="1"/>
        <v>4</v>
      </c>
      <c r="BK20" s="7">
        <f t="shared" si="2"/>
        <v>26</v>
      </c>
      <c r="BL20" s="280">
        <f>IF(BF20="","",IF(AND(BI19=BI20,BJ19=BJ20,BK19=BK20),BL19,$BL$9+11))</f>
        <v>12</v>
      </c>
      <c r="BM20" s="29"/>
      <c r="BN20" s="262"/>
    </row>
    <row r="21" spans="1:66" ht="21" thickBot="1">
      <c r="A21" s="131">
        <v>12</v>
      </c>
      <c r="B21" s="393"/>
      <c r="C21" s="272">
        <f>IF($Q$5&gt;=34,12,0)</f>
        <v>0</v>
      </c>
      <c r="D21" s="393"/>
      <c r="E21" s="272">
        <f>IF($Q$5&gt;=35,12,0)</f>
        <v>0</v>
      </c>
      <c r="F21" s="396"/>
      <c r="G21" s="272">
        <f>IF($Q$5&gt;=36,12,0)</f>
        <v>0</v>
      </c>
      <c r="H21" s="23"/>
      <c r="I21" s="196">
        <v>12</v>
      </c>
      <c r="J21" s="204" t="str">
        <f>IF(ISNA(MATCH(I21,$C$10:$C$27,0)),"",INDEX(B$10:$B$27,MATCH(I21,$C$10:$C$27,0)))</f>
        <v/>
      </c>
      <c r="K21" s="137" t="str">
        <f>IF(ISNA(MATCH(I21,$E$10:$E$27,0)),"",INDEX($D$10:D$27,MATCH(I21,$E$10:$E$27,0)))</f>
        <v/>
      </c>
      <c r="L21" s="188" t="str">
        <f>IF(ISNA(MATCH(I21,$G$10:$G$27,0)),"",INDEX($F$10:F$27,MATCH(I21,$G$10:$G$27,0)))</f>
        <v/>
      </c>
      <c r="M21" s="155"/>
      <c r="N21" s="52" t="s">
        <v>5</v>
      </c>
      <c r="O21" s="141">
        <f>IF($Q$5=31,K19,IF($Q$5=32,K20,IF($Q$5=33,K20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0</v>
      </c>
      <c r="P21" s="149">
        <f>IF($Q$5=31,L19,IF($Q$5=32,L19,IF($Q$5=33,L20,IF($Q$5=34,L20,IF($Q$5=35,K21,IF($Q$5=36,K21,IF($Q$5=37,L21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</f>
        <v>0</v>
      </c>
      <c r="Q21" s="152">
        <f>IF($Q$5=36,L21,IF($Q$5=40,L21,IF($Q$5=41,L21,IF($Q$5=42,L21,IF($Q$5=43,0,IF($Q$5=44,L21,IF($Q$5=45,L21,IF($Q$5=46,L21,IF($Q$5=47,L21,IF($Q$5=48,L21,IF($Q$5=49,L21,IF($Q$5=50,L21,IF($Q$5=51,L21,IF($Q$5=52,L21,IF($Q$5=53,L21,IF($Q$5=54,L21,0))))))))))))))))</f>
        <v>0</v>
      </c>
      <c r="R21" s="169">
        <f>IF($Q$5=31,K11,IF($Q$5=32,J10,IF($Q$5=33,O21,IF($Q$5=34,J10,IF($Q$5=35,J10,IF($Q$5=36,J10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)))))</f>
        <v>0</v>
      </c>
      <c r="S21" s="162">
        <f>IF($Q$5=31,O21,IF($Q$5=32,P18,IF($Q$5=33,P20,IF($Q$5=34,L19,IF($Q$5=35,K21,IF($Q$5=36,K11,IF($Q$5=37,L10,IF($Q$5=38,K10,IF($Q$5=39,K11,IF($Q$5=40,K10,IF($Q$5=41,K23,IF($Q$5=42,K23,IF($Q$5=43,P11,IF($Q$5=44,K23,IF($Q$5=45,K23,IF($Q$5=46,K23,IF($Q$5=47,K23,IF($Q$5=48,K23,IF($Q$5=49,K23,IF($Q$5=50,K23,IF($Q$5=51,K23,IF($Q$5=52,K23,IF($Q$5=53,K23,IF($Q$5=54,K23,0))))))))))))))))))))))))</f>
        <v>0</v>
      </c>
      <c r="T21" s="181">
        <f>IF($Q$5=36,L12,IF($Q$5=40,L11,IF($Q$5=41,L11,IF($Q$5=42,L10,IF($Q$5=43,0,IF($Q$5=44,L10,IF($Q$5=45,P25,IF($Q$5=46,P25,IF($Q$5=47,L24,IF($Q$5=48,L24,IF($Q$5=49,L11,IF($Q$5=50,P26,IF($Q$5=51,L24,IF($Q$5=52,L24,IF($Q$5=53,L24,IF($Q$5=54,L24,0))))))))))))))))</f>
        <v>0</v>
      </c>
      <c r="U21" s="184">
        <f>IF($Q$5=31,S21,IF($Q$5=32,R20,IF($Q$5=33,R21,IF($Q$5=34,R20,IF($Q$5=35,R20,IF($Q$5=36,O11,IF($Q$5=37,R22,IF($Q$5=38,R22,IF($Q$5=39,O10,IF($Q$5=40,R22,IF($Q$5=41,R22,IF($Q$5=42,O23,IF($Q$5=43,R22,IF($Q$5=44,O23,IF($Q$5=45,R22,IF($Q$5=46,O23,IF($Q$5=47,O23,IF($Q$5=48,R22,IF($Q$5=49,R22,IF($Q$5=50,O23,IF($Q$5=51,R22,IF($Q$5=52,R22,IF($Q$5=53,O23,IF($Q$5=54,O23,0))))))))))))))))))))))))</f>
        <v>0</v>
      </c>
      <c r="V21" s="162">
        <f>IF($Q$5=31,S15,IF($Q$5=32,S19,IF($Q$5=33,S21,IF($Q$5=34,T19,IF($Q$5=35,S14,IF($Q$5=36,S11,IF($Q$5=37,T10,IF($Q$5=38,S10,IF($Q$5=39,S10,IF($Q$5=40,S10,IF($Q$5=41,S23,IF($Q$5=42,S23,IF($Q$5=43,S21,IF($Q$5=44,S11,IF($Q$5=45,S23,IF($Q$5=46,S23,IF($Q$5=47,S23,IF($Q$5=48,S23,IF($Q$5=49,S23,IF($Q$5=50,S23,IF($Q$5=51,S23,IF($Q$5=52,S23,IF($Q$5=53,S23,IF($Q$5=54,S23,0))))))))))))))))))))))))</f>
        <v>0</v>
      </c>
      <c r="W21" s="174">
        <f>IF($Q$5=36,T12,IF($Q$5=39,0,IF($Q$5=40,T11,IF($Q$5=41,T11,IF($Q$5=42,T10,IF($Q$5=43,0,IF($Q$5=44,T10,IF($Q$5=45,S25,IF($Q$5=46,S25,IF($Q$5=47,T24,IF($Q$5=48,T24,IF($Q$5=49,T11,IF($Q$5=50,S26,IF($Q$5=51,T22,IF($Q$5=52,T23,IF($Q$5=53,T24,IF($Q$5=54,T24,0)))))))))))))))))</f>
        <v>0</v>
      </c>
      <c r="X21" s="23"/>
      <c r="Y21" s="447"/>
      <c r="Z21" s="14" t="str">
        <f>+Q12</f>
        <v>C3</v>
      </c>
      <c r="AA21" s="67">
        <f>IF(ISTEXT(Z21),AA19,0)</f>
        <v>8</v>
      </c>
      <c r="AB21" s="67">
        <f>IF(ISTEXT(Z21),AB19,0)</f>
        <v>3</v>
      </c>
      <c r="AC21" s="68">
        <f>IF(ISTEXT(Z21),AC19,0)</f>
        <v>4</v>
      </c>
      <c r="AD21" s="11"/>
      <c r="AE21" s="14" t="str">
        <f>+T12</f>
        <v>C5</v>
      </c>
      <c r="AF21" s="67">
        <f>IF(ISTEXT(AE21),AF19,0)</f>
        <v>6</v>
      </c>
      <c r="AG21" s="64">
        <f>IF(ISTEXT(AE21),AG19,0)</f>
        <v>1</v>
      </c>
      <c r="AH21" s="68">
        <f>IF(ISTEXT(AE21),AH19,0)</f>
        <v>-7</v>
      </c>
      <c r="AI21" s="11"/>
      <c r="AJ21" s="14" t="str">
        <f>+W12</f>
        <v>C2</v>
      </c>
      <c r="AK21" s="67">
        <f>IF(ISTEXT(AJ21),AK19,0)</f>
        <v>10</v>
      </c>
      <c r="AL21" s="64">
        <f>IF(ISTEXT(AJ21),AL19,0)</f>
        <v>1</v>
      </c>
      <c r="AM21" s="68">
        <f>IF(ISTEXT(AJ21),AM19,0)</f>
        <v>-3</v>
      </c>
      <c r="AN21" s="23"/>
      <c r="AO21" s="54">
        <v>13</v>
      </c>
      <c r="AP21" s="321" t="str">
        <f>+Inscrits!B15</f>
        <v>A13</v>
      </c>
      <c r="AQ21" s="286" t="str">
        <f t="shared" si="3"/>
        <v xml:space="preserve"> </v>
      </c>
      <c r="AR21" s="99" t="str">
        <f t="shared" si="4"/>
        <v xml:space="preserve"> </v>
      </c>
      <c r="AS21" s="219" t="str">
        <f t="shared" si="5"/>
        <v xml:space="preserve"> </v>
      </c>
      <c r="AT21" s="289" t="str">
        <f t="shared" si="6"/>
        <v xml:space="preserve"> </v>
      </c>
      <c r="AU21" s="99" t="str">
        <f t="shared" si="7"/>
        <v xml:space="preserve"> </v>
      </c>
      <c r="AV21" s="291" t="str">
        <f t="shared" si="8"/>
        <v xml:space="preserve"> </v>
      </c>
      <c r="AW21" s="286" t="str">
        <f t="shared" si="9"/>
        <v xml:space="preserve"> </v>
      </c>
      <c r="AX21" s="99" t="str">
        <f t="shared" si="10"/>
        <v xml:space="preserve"> </v>
      </c>
      <c r="AY21" s="291" t="str">
        <f t="shared" si="11"/>
        <v xml:space="preserve"> </v>
      </c>
      <c r="AZ21" s="286">
        <f t="shared" si="17"/>
        <v>0</v>
      </c>
      <c r="BA21" s="99">
        <f t="shared" si="12"/>
        <v>0</v>
      </c>
      <c r="BB21" s="291">
        <f t="shared" si="13"/>
        <v>0</v>
      </c>
      <c r="BC21" s="294">
        <f t="shared" si="14"/>
        <v>0</v>
      </c>
      <c r="BD21" s="7">
        <f t="shared" si="15"/>
        <v>0</v>
      </c>
      <c r="BE21" s="218">
        <f t="shared" si="16"/>
        <v>31.00000021</v>
      </c>
      <c r="BF21" s="99">
        <f>IF(AP21="","",SMALL(BE$9:BE$62,ROWS(AZ$9:AZ21)))</f>
        <v>3.95740011</v>
      </c>
      <c r="BG21" s="88"/>
      <c r="BH21" s="289" t="str">
        <f>IF(OR(AP21="",AZ21=""),"",INDEX($AP$9:$AP$63,MATCH(BF21,$BE$9:BE$62,0)))</f>
        <v>A3</v>
      </c>
      <c r="BI21" s="7">
        <f t="shared" si="0"/>
        <v>7</v>
      </c>
      <c r="BJ21" s="7">
        <f t="shared" si="1"/>
        <v>4</v>
      </c>
      <c r="BK21" s="7">
        <f t="shared" si="2"/>
        <v>26</v>
      </c>
      <c r="BL21" s="280">
        <f>IF(BF21="","",IF(AND(BI20=BI21,BJ20=BJ21,BK20=BK21),BL20,$BL$9+12))</f>
        <v>12</v>
      </c>
      <c r="BM21" s="29"/>
      <c r="BN21" s="262"/>
    </row>
    <row r="22" spans="1:66" ht="20.25">
      <c r="A22" s="131">
        <v>13</v>
      </c>
      <c r="B22" s="393"/>
      <c r="C22" s="272">
        <f>IF($Q$5&gt;=37,13,0)</f>
        <v>0</v>
      </c>
      <c r="D22" s="393"/>
      <c r="E22" s="272">
        <f>IF($Q$5&gt;=38,13,0)</f>
        <v>0</v>
      </c>
      <c r="F22" s="396"/>
      <c r="G22" s="272">
        <f>IF($Q$5&gt;=39,13,0)</f>
        <v>0</v>
      </c>
      <c r="H22" s="23"/>
      <c r="I22" s="196">
        <v>13</v>
      </c>
      <c r="J22" s="204" t="str">
        <f>IF(ISNA(MATCH(I22,$C$10:$C$27,0)),"",INDEX(B$10:$B$27,MATCH(I22,$C$10:$C$27,0)))</f>
        <v/>
      </c>
      <c r="K22" s="137" t="str">
        <f>IF(ISNA(MATCH(I22,$E$10:$E$27,0)),"",INDEX($D$10:D$27,MATCH(I22,$E$10:$E$27,0)))</f>
        <v/>
      </c>
      <c r="L22" s="188" t="str">
        <f>IF(ISNA(MATCH(I22,$G$10:$G$27,0)),"",INDEX($F$10:F$27,MATCH(I22,$G$10:$G$27,0)))</f>
        <v/>
      </c>
      <c r="M22" s="155"/>
      <c r="N22" s="82">
        <v>7</v>
      </c>
      <c r="O22" s="147">
        <f>IF($Q$5=36,0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</f>
        <v>0</v>
      </c>
      <c r="P22" s="151">
        <f>IF($Q$5=36,0,IF($Q$5=37,L20,IF($Q$5=38,L20,IF($Q$5=39,L21,IF($Q$5=40,K22,IF($Q$5=41,K22,IF($Q$5=42,K22,IF($Q$5=43,K22,IF($Q$5=44,K22,IF($Q$5=45,K22,IF($Q$5=46,K22,IF($Q$5=47,K22,IF($Q$5=48,K22,IF($Q$5=49,K22,IF($Q$5=50,K22,IF($Q$5=51,K22,IF($Q$5=52,K22,IF($Q$5=53,K22,IF($Q$5=54,K22,0)))))))))))))))))))</f>
        <v>0</v>
      </c>
      <c r="Q22" s="148">
        <f>IF($Q$5=39,0,IF($Q$5=40,0,IF($Q$5=41,L22,IF($Q$5=42,L22,IF($Q$5=43,0,IF($Q$5=44,0,IF($Q$5=45,L22,IF($Q$5=46,L22,IF($Q$5=47,L22,IF($Q$5=48,L22,IF($Q$5=49,L22,IF($Q$5=50,L22,IF($Q$5=51,L22,IF($Q$5=52,L22,IF($Q$5=53,L22,IF($Q$5=54,L22,0))))))))))))))))</f>
        <v>0</v>
      </c>
      <c r="R22" s="165">
        <f>IF($Q$5=33,0,IF($Q$5=34,0,IF($Q$5=35,0,IF($Q$5=36,0,IF($Q$5=37,J10,IF($Q$5=38,J10,IF($Q$5=39,J10,IF($Q$5=40,J23,IF($Q$5=41,J23,IF($Q$5=42,J23,IF($Q$5=43,J23,IF($Q$5=44,J23,IF($Q$5=45,J23,IF($Q$5=46,J23,IF($Q$5=47,J23,IF($Q$5=48,J23,IF($Q$5=49,J23,IF($Q$5=50,J23,IF($Q$5=51,J23,IF($Q$5=52,J23,IF($Q$5=53,J23,IF($Q$5=54,J23,0))))))))))))))))))))))</f>
        <v>0</v>
      </c>
      <c r="S22" s="157">
        <f>IF($Q$5=37,L11,IF($Q$5=38,L11,IF($Q$5=39,P23,IF($Q$5=40,K11,IF($Q$5=41,K10,IF($Q$5=42,K10,IF($Q$5=43,K10,IF($Q$5=44,P10,IF($Q$5=45,P11,IF($Q$5=46,K24,IF($Q$5=47,K24,IF($Q$5=48,K24,IF($Q$5=49,K24,IF($Q$5=50,K24,IF($Q$5=51,K24,IF($Q$5=52,K24,IF($Q$5=53,K24,IF($Q$5=54,K24,0))))))))))))))))))</f>
        <v>0</v>
      </c>
      <c r="T22" s="179">
        <f>IF($Q$5=41,L12,IF($Q$5=42,L11,IF($Q$5=43,0,IF($Q$5=44,0,IF($Q$5=45,L10,IF($Q$5=46,L10,IF($Q$5=47,L10,IF($Q$5=48,L25,IF($Q$5=49,L12,IF($Q$5=50,P27,IF($Q$5=51,L10,IF($Q$5=52,L25,IF($Q$5=53,L25,IF($Q$5=54,L25,0))))))))))))))</f>
        <v>0</v>
      </c>
      <c r="U22" s="167">
        <f>IF($Q$5=37,O11,IF($Q$5=38,R10,IF($Q$5=39,R10,IF($Q$5=40,R23,IF($Q$5=41,R23,IF($Q$5=42,R23,IF($Q$5=43,R23,IF($Q$5=44,O24,IF($Q$5=45,R23,IF($Q$5=46,R23,IF($Q$5=47,R23,IF($Q$5=48,R23,IF($Q$5=49,R23,IF($Q$5=50,R23,IF($Q$5=51,R23,IF($Q$5=52,R23,IF($Q$5=53,R23,IF($Q$5=54,O24,0))))))))))))))))))</f>
        <v>0</v>
      </c>
      <c r="V22" s="163">
        <f>IF($Q$5=37,T11,IF($Q$5=38,T12,IF($Q$5=39,T11,IF($Q$5=40,S11,IF($Q$5=41,S10,IF($Q$5=42,S10,IF($Q$5=43,S10,IF($Q$5=44,S25,IF($Q$5=45,S11,IF($Q$5=46,S24,IF($Q$5=47,S24,IF($Q$5=48,S24,IF($Q$5=49,S24,IF($Q$5=50,S11,IF($Q$5=51,S11,IF($Q$5=52,S24,IF($Q$5=53,S24,IF($Q$5=54,S24,0))))))))))))))))))</f>
        <v>0</v>
      </c>
      <c r="W22" s="173">
        <f>IF($Q$5=41,T12,IF($Q$5=42,T11,IF($Q$5=43,0,IF($Q$5=44,0,IF($Q$5=45,T10,IF($Q$5=46,T10,IF($Q$5=47,T10,IF($Q$5=48,T25,IF($Q$5=49,T12,IF($Q$5=50,S27,IF($Q$5=51,T23,IF($Q$5=52,T24,IF($Q$5=53,T25,IF($Q$5=54,T25,0))))))))))))))</f>
        <v>0</v>
      </c>
      <c r="X22" s="23"/>
      <c r="Y22" s="447"/>
      <c r="Z22" s="32"/>
      <c r="AA22" s="21" t="s">
        <v>5</v>
      </c>
      <c r="AB22" s="21"/>
      <c r="AC22" s="22"/>
      <c r="AD22" s="1"/>
      <c r="AE22" s="32"/>
      <c r="AF22" s="21" t="s">
        <v>5</v>
      </c>
      <c r="AG22" s="21"/>
      <c r="AH22" s="22"/>
      <c r="AI22" s="1"/>
      <c r="AJ22" s="32"/>
      <c r="AK22" s="21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 t="str">
        <f t="shared" si="3"/>
        <v xml:space="preserve"> </v>
      </c>
      <c r="AR22" s="99" t="str">
        <f t="shared" si="4"/>
        <v xml:space="preserve"> </v>
      </c>
      <c r="AS22" s="219" t="str">
        <f t="shared" si="5"/>
        <v xml:space="preserve"> </v>
      </c>
      <c r="AT22" s="289" t="str">
        <f t="shared" si="6"/>
        <v xml:space="preserve"> </v>
      </c>
      <c r="AU22" s="99" t="str">
        <f t="shared" si="7"/>
        <v xml:space="preserve"> </v>
      </c>
      <c r="AV22" s="291" t="str">
        <f t="shared" si="8"/>
        <v xml:space="preserve"> </v>
      </c>
      <c r="AW22" s="286" t="str">
        <f t="shared" si="9"/>
        <v xml:space="preserve"> </v>
      </c>
      <c r="AX22" s="99" t="str">
        <f t="shared" si="10"/>
        <v xml:space="preserve"> </v>
      </c>
      <c r="AY22" s="291" t="str">
        <f t="shared" si="11"/>
        <v xml:space="preserve"> </v>
      </c>
      <c r="AZ22" s="286">
        <f t="shared" si="17"/>
        <v>0</v>
      </c>
      <c r="BA22" s="99">
        <f t="shared" si="12"/>
        <v>0</v>
      </c>
      <c r="BB22" s="291">
        <f t="shared" si="13"/>
        <v>0</v>
      </c>
      <c r="BC22" s="294">
        <f t="shared" si="14"/>
        <v>0</v>
      </c>
      <c r="BD22" s="7">
        <f t="shared" si="15"/>
        <v>0</v>
      </c>
      <c r="BE22" s="218">
        <f t="shared" si="16"/>
        <v>31.00000022</v>
      </c>
      <c r="BF22" s="99">
        <f>IF(AP22="","",SMALL(BE$9:BE$62,ROWS(AZ$9:AZ22)))</f>
        <v>3.9772005099999999</v>
      </c>
      <c r="BG22" s="88"/>
      <c r="BH22" s="289" t="str">
        <f>IF(OR(AP22="",AZ22=""),"",INDEX($AP$9:$AP$63,MATCH(BF22,$BE$9:BE$62,0)))</f>
        <v>C7</v>
      </c>
      <c r="BI22" s="7">
        <f t="shared" si="0"/>
        <v>7</v>
      </c>
      <c r="BJ22" s="7">
        <f t="shared" si="1"/>
        <v>2</v>
      </c>
      <c r="BK22" s="7">
        <f t="shared" si="2"/>
        <v>28</v>
      </c>
      <c r="BL22" s="280">
        <f>IF(BF22="","",IF(AND(BI21=BI22,BJ21=BJ22,BK21=BK22),BL21,$BL$9+13))</f>
        <v>14</v>
      </c>
      <c r="BM22" s="29"/>
      <c r="BN22" s="262"/>
    </row>
    <row r="23" spans="1:66" ht="21" thickBot="1">
      <c r="A23" s="131">
        <v>14</v>
      </c>
      <c r="B23" s="393"/>
      <c r="C23" s="274">
        <f>IF($Q$5&gt;=40,14,0)</f>
        <v>0</v>
      </c>
      <c r="D23" s="393"/>
      <c r="E23" s="274">
        <f>IF($Q$5&gt;=41,14,0)</f>
        <v>0</v>
      </c>
      <c r="F23" s="396"/>
      <c r="G23" s="274">
        <f>IF($Q$5&gt;=42,14,0)</f>
        <v>0</v>
      </c>
      <c r="H23" s="23"/>
      <c r="I23" s="196">
        <v>14</v>
      </c>
      <c r="J23" s="204" t="str">
        <f>IF(ISNA(MATCH(I23,$C$10:$C$27,0)),"",INDEX(B$10:$B$27,MATCH(I23,$C$10:$C$27,0)))</f>
        <v/>
      </c>
      <c r="K23" s="137" t="str">
        <f>IF(ISNA(MATCH(I23,$E$10:$E$27,0)),"",INDEX($D$10:D$27,MATCH(I23,$E$10:$E$27,0)))</f>
        <v/>
      </c>
      <c r="L23" s="188" t="str">
        <f>IF(ISNA(MATCH(I23,$G$10:$G$27,0)),"",INDEX($F$10:F$27,MATCH(I23,$G$10:$G$27,0)))</f>
        <v/>
      </c>
      <c r="M23" s="155"/>
      <c r="N23" s="52" t="s">
        <v>5</v>
      </c>
      <c r="O23" s="141">
        <f>IF($Q$5=36,0,IF($Q$5=37,K21,IF($Q$5=38,K22,IF($Q$5=39,K22,IF($Q$5=40,J23,IF($Q$5=41,J23,IF($Q$5=42,J23,IF($Q$5=43,J23,IF($Q$5=44,J23,IF($Q$5=45,J23,IF($Q$5=46,J23,IF($Q$5=47,J23,IF($Q$5=48,J23,IF($Q$5=49,J23,IF($Q$5=50,J23,IF($Q$5=51,J23,IF($Q$5=52,J23,IF($Q$5=53,J23,IF($Q$5=54,J23,0)))))))))))))))))))</f>
        <v>0</v>
      </c>
      <c r="P23" s="149">
        <f>IF($Q$5=36,0,IF($Q$5=37,L19,IF($Q$5=38,L21,IF($Q$5=39,L22,IF($Q$5=40,L22,IF($Q$5=41,K23,IF($Q$5=42,K23,IF($Q$5=43,L22,IF($Q$5=44,K23,IF($Q$5=45,K23,IF($Q$5=46,K2:K23,IF($Q$5=47,K23,IF($Q$5=48,K23,IF($Q$5=49,K23,IF($Q$5=50,K23,IF($Q$5=51,K23,IF($Q$5=52,K23,IF($Q$5=53,K23,IF($Q$5=54,K23,0)))))))))))))))))))</f>
        <v>0</v>
      </c>
      <c r="Q23" s="143">
        <f>IF($Q$5=40,0,IF($Q$5=41,0,IF($Q$5=42,L23,IF($Q$5=43,0,IF($Q$5=44,0,IF($Q$5=45,0,IF($Q$5=46,L23,IF($Q$5=47,L23,IF($Q$5=48,L23,IF($Q$5=49,0,IF($Q$5=50,L23,IF($Q$5=51,L23,IF($Q$5=52,L23,IF($Q$5=53,L23,IF($Q$5=54,L23,0)))))))))))))))</f>
        <v>0</v>
      </c>
      <c r="R23" s="170">
        <f>IF($Q$5=37,O23,IF($Q$5=38,O23,IF($Q$5=39,O23,IF($Q$5=40,J10,IF($Q$5=41,J10,IF($Q$5=42,J10,IF($Q$5=43,J24,IF($Q$5=44,J24,IF($Q$5=45,J24,IF($Q$5=46,J24,IF($Q$5=47,J24,IF($Q$5=48,J24,IF($Q$5=49,J24,IF($Q$5=50,J24,IF($Q$5=51,J24,IF($Q$5=52,J24,IF($Q$5=53,J24,IF($Q$5=54,J24,0))))))))))))))))))</f>
        <v>0</v>
      </c>
      <c r="S23" s="171">
        <f>IF($Q$5=37,L12,IF($Q$5=38,L12,IF($Q$5=39,P22,IF($Q$5=40,L12,IF($Q$5=41,K11,IF($Q$5=42,K11,IF($Q$5=43,L11,IF($Q$5=44,L11,IF($Q$5=45,K10,IF($Q$5=46,K10,IF($Q$5=47,K25,IF($Q$5=48,K25,IF($Q$5=49,P11,IF($Q$5=50,K25,IF($Q$5=51,K25,IF($Q$5=52,K25,IF($Q$5=53,K25,IF($Q$5=54,K25,0))))))))))))))))))</f>
        <v>0</v>
      </c>
      <c r="T23" s="181">
        <f>IF($Q$5=42,L12,IF($Q$5=46,L11,IF($Q$5=47,L11,IF($Q$5=48,L10,IF($Q$5=49,0,IF($Q$5=50,L10,IF($Q$5=51,L11,IF($Q$5=52,L10,IF($Q$5=53,L26,IF($Q$5=54,L26,0))))))))))</f>
        <v>0</v>
      </c>
      <c r="U23" s="210">
        <f>IF($Q$5=32,0,IF($Q$5=33,0,IF($Q$5=34,0,IF($Q$5=35,0,IF($Q$5=36,0,IF($Q$5=37,R23,IF($Q$5=38,R23,IF($Q$5=39,R23,IF($Q$5=40,R10,IF($Q$5=41,R10,IF($Q$5=42,R10,IF($Q$5=43,R24,IF($Q$5=44,R24,IF($Q$5=45,R24,IF($Q$5=46,R24,IF($Q$5=47,R24,IF($Q$5=48,R24,IF($Q$5=49,R24,IF($Q$5=50,R24,IF($Q$5=51,R24,IF($Q$5=52,R24,IF($Q$5=53,R24,IF($Q$5=54,O25,0)))))))))))))))))))))))</f>
        <v>0</v>
      </c>
      <c r="V23" s="176">
        <f>IF($Q$5=37,T12,IF($Q$5=38,T11,IF($Q$5=39,T12,IF($Q$5=40,T12,IF($Q$5=41,S11,IF($Q$5=42,S11,IF($Q$5=43,T12,IF($Q$5=44,S10,IF($Q$5=45,S10,IF($Q$5=46,S10,IF($Q$5=47,S25,IF($Q$5=48,S25,IF($Q$5=49,S11,IF($Q$5=50,S24,IF($Q$5=51,S24,IF($Q$5=52,S25,IF($Q$5=53,S25,IF($Q$5=54,S25,0))))))))))))))))))</f>
        <v>0</v>
      </c>
      <c r="W23" s="177">
        <f>IF($Q$5=42,T12,IF($Q$5=43,0,IF($Q$5=44,0,IF($Q$5=45,0,IF($Q$5=46,T11,IF($Q$5=47,T11,IF($Q$5=48,T10,IF($Q$5=49,0,IF($Q$5=50,T10,IF($Q$5=51,T24,IF($Q$5=52,T25,IF($Q$5=53,T26,IF($Q$5=54,T26,0)))))))))))))</f>
        <v>0</v>
      </c>
      <c r="X23" s="23"/>
      <c r="Y23" s="447"/>
      <c r="Z23" s="14" t="str">
        <f>+O13</f>
        <v>A4</v>
      </c>
      <c r="AA23" s="35">
        <v>4</v>
      </c>
      <c r="AB23" s="30">
        <f>IF(AA19+AA23=0,0,IF(AA19=AA23,2,IF(AA19&lt;AA23,3,1)))</f>
        <v>1</v>
      </c>
      <c r="AC23" s="15">
        <f>AA23-AA19</f>
        <v>-4</v>
      </c>
      <c r="AD23" s="9"/>
      <c r="AE23" s="14" t="str">
        <f>+R13</f>
        <v>A5</v>
      </c>
      <c r="AF23" s="127">
        <v>13</v>
      </c>
      <c r="AG23" s="30">
        <f>IF(AF19+AF23=0,0,IF(AF19=AF23,2,IF(AF19&lt;AF23,3,1)))</f>
        <v>3</v>
      </c>
      <c r="AH23" s="15">
        <f>AF23-AF19</f>
        <v>7</v>
      </c>
      <c r="AI23" s="9"/>
      <c r="AJ23" s="14" t="str">
        <f>+U13</f>
        <v>A5</v>
      </c>
      <c r="AK23" s="37">
        <v>13</v>
      </c>
      <c r="AL23" s="30">
        <f>IF(AK19+AK23=0,0,IF(AK19=AK23,2,IF(AK19&lt;AK23,3,1)))</f>
        <v>3</v>
      </c>
      <c r="AM23" s="15">
        <f>AK23-AK19</f>
        <v>3</v>
      </c>
      <c r="AN23" s="23"/>
      <c r="AO23" s="54">
        <v>15</v>
      </c>
      <c r="AP23" s="321" t="str">
        <f>+Inscrits!B17</f>
        <v>A15</v>
      </c>
      <c r="AQ23" s="286" t="str">
        <f t="shared" si="3"/>
        <v xml:space="preserve"> </v>
      </c>
      <c r="AR23" s="99" t="str">
        <f t="shared" si="4"/>
        <v xml:space="preserve"> </v>
      </c>
      <c r="AS23" s="219" t="str">
        <f t="shared" si="5"/>
        <v xml:space="preserve"> </v>
      </c>
      <c r="AT23" s="289" t="str">
        <f t="shared" si="6"/>
        <v xml:space="preserve"> </v>
      </c>
      <c r="AU23" s="99" t="str">
        <f t="shared" si="7"/>
        <v xml:space="preserve"> </v>
      </c>
      <c r="AV23" s="291" t="str">
        <f t="shared" si="8"/>
        <v xml:space="preserve"> </v>
      </c>
      <c r="AW23" s="286" t="str">
        <f t="shared" si="9"/>
        <v xml:space="preserve"> </v>
      </c>
      <c r="AX23" s="99" t="str">
        <f t="shared" si="10"/>
        <v xml:space="preserve"> </v>
      </c>
      <c r="AY23" s="291" t="str">
        <f t="shared" si="11"/>
        <v xml:space="preserve"> </v>
      </c>
      <c r="AZ23" s="286">
        <f t="shared" si="17"/>
        <v>0</v>
      </c>
      <c r="BA23" s="99">
        <f t="shared" si="12"/>
        <v>0</v>
      </c>
      <c r="BB23" s="291">
        <f t="shared" si="13"/>
        <v>0</v>
      </c>
      <c r="BC23" s="294">
        <f t="shared" si="14"/>
        <v>0</v>
      </c>
      <c r="BD23" s="7">
        <f t="shared" si="15"/>
        <v>0</v>
      </c>
      <c r="BE23" s="218">
        <f t="shared" si="16"/>
        <v>31.000000230000001</v>
      </c>
      <c r="BF23" s="99">
        <f>IF(AP23="","",SMALL(BE$9:BE$62,ROWS(AZ$9:AZ23)))</f>
        <v>3.9773002800000001</v>
      </c>
      <c r="BG23" s="88"/>
      <c r="BH23" s="289" t="str">
        <f>IF(OR(AP23="",AZ23=""),"",INDEX($AP$9:$AP$63,MATCH(BF23,$BE$9:BE$62,0)))</f>
        <v>B2</v>
      </c>
      <c r="BI23" s="7">
        <f t="shared" si="0"/>
        <v>7</v>
      </c>
      <c r="BJ23" s="7">
        <f t="shared" si="1"/>
        <v>2</v>
      </c>
      <c r="BK23" s="7">
        <f t="shared" si="2"/>
        <v>27</v>
      </c>
      <c r="BL23" s="280">
        <f>IF(BF23="","",IF(AND(BI22=BI23,BJ22=BJ23,BK22=BK23),BL22,$BL$9+14))</f>
        <v>15</v>
      </c>
      <c r="BM23" s="29"/>
      <c r="BN23" s="262"/>
    </row>
    <row r="24" spans="1:66" ht="21" thickBot="1">
      <c r="A24" s="131">
        <v>15</v>
      </c>
      <c r="B24" s="393"/>
      <c r="C24" s="274">
        <f>IF($Q$5&gt;=43,15,0)</f>
        <v>0</v>
      </c>
      <c r="D24" s="393"/>
      <c r="E24" s="274">
        <f>IF($Q$5&gt;=44,15,0)</f>
        <v>0</v>
      </c>
      <c r="F24" s="396"/>
      <c r="G24" s="274">
        <f>IF($Q$5&gt;=45,15,0)</f>
        <v>0</v>
      </c>
      <c r="H24" s="23"/>
      <c r="I24" s="196">
        <v>15</v>
      </c>
      <c r="J24" s="204" t="str">
        <f>IF(ISNA(MATCH(I24,$C$10:$C$27,0)),"",INDEX(B$10:$B$27,MATCH(I24,$C$10:$C$27,0)))</f>
        <v/>
      </c>
      <c r="K24" s="137" t="str">
        <f>IF(ISNA(MATCH(I24,$E$10:$E$27,0)),"",INDEX($D$10:D$27,MATCH(I24,$E$10:$E$27,0)))</f>
        <v/>
      </c>
      <c r="L24" s="188" t="str">
        <f>IF(ISNA(MATCH(I24,$G$10:$G$27,0)),"",INDEX($F$10:F$27,MATCH(I24,$G$10:$G$27,0)))</f>
        <v/>
      </c>
      <c r="M24" s="155"/>
      <c r="N24" s="82">
        <v>8</v>
      </c>
      <c r="O24" s="147">
        <f>IF($Q$5=43,J24,IF($Q$5=44,J24,IF($Q$5=45,J24,IF($Q$5=46,J24,IF($Q$5=47,J24,IF($Q$5=48,J24,IF($Q$5=49,J24,IF($Q$5=50,J24,IF($Q$5=51,J24,IF($Q$5=52,J24,IF($Q$5=53,J24,IF($Q$5=54,J24,0))))))))))))</f>
        <v>0</v>
      </c>
      <c r="P24" s="142">
        <f>IF($Q$5=43,L23,IF($Q$5=44,L22,IF($Q$5=45,L23,IF($Q$5=46,K24,IF($Q$5=47,K24,IF($Q$5=48,K24,IF($Q$5=49,K24,IF($Q$5=50,K24,IF($Q$5=51,K24,IF($Q$5=52,K24,IF($Q$5=53,K24,IF($Q$5=54,K24,0))))))))))))</f>
        <v>0</v>
      </c>
      <c r="Q24" s="148">
        <f>IF($Q$5=43,0,IF($Q$5=44,0,IF($Q$5=45,0,IF($Q$5=46,0,IF($Q$5=47,L24,IF($Q$5=48,L24,IF($Q$5=49,0,IF($Q$5=50,0,IF($Q$5=51,L24,IF($Q$5=52,L24,IF($Q$5=53,L24,IF($Q$5=54,L24,0))))))))))))</f>
        <v>0</v>
      </c>
      <c r="R24" s="165">
        <f>IF($Q$5=43,J10,IF($Q$5=44,J10,IF($Q$5=45,J10,IF($Q$5=46,J25,IF($Q$5=47,J25,IF($Q$5=48,J25,IF($Q$5=49,J25,IF($Q$5=50,J25,IF($Q$5=51,J25,IF($Q$5=52,J25,IF($Q$5=53,J25,IF($Q$5=54,J25,0))))))))))))</f>
        <v>0</v>
      </c>
      <c r="S24" s="157">
        <f>IF($Q$5=43,L12,IF($Q$5=44,L12,IF($Q$5=45,L11,IF($Q$5=46,K11,IF($Q$5=47,K10,IF($Q$5=48,K10,IF($Q$5=49,K10,IF($Q$5=50,K10,IF($Q$5=51,K10,IF($Q$5=52,K26,IF($Q$5=53,K26,IF($Q$5=54,K26,0))))))))))))</f>
        <v>0</v>
      </c>
      <c r="T24" s="179">
        <f>IF($Q$5=47,L12,IF($Q$5=48,L11,IF($Q$5=49,0,IF($Q$5=50,0,IF($Q$5=51,L12,IF($Q$5=52,L11,IF($Q$5=53,L10,IF($Q$5=54,L27,0))))))))</f>
        <v>0</v>
      </c>
      <c r="U24" s="165">
        <f>IF($Q$5=42,0,IF($Q$5=43,R10,IF($Q$5=44,R10,IF($Q$5=45,R10,IF($Q$5=46,R25,IF($Q$5=47,R25,IF($Q$5=48,O10,IF($Q$5=49,R25,IF($Q$5=50,R25,IF($Q$5=51,R25,IF($Q$5=52,R25,IF($Q$5=53,O26,IF($Q$5=54,O26,0)))))))))))))</f>
        <v>0</v>
      </c>
      <c r="V24" s="163">
        <f>IF($Q$5=43,T10,IF($Q$5=44,T11,IF($Q$5=45,T11,IF($Q$5=46,S11,IF($Q$5=47,S10,IF($Q$5=48,S10,IF($Q$5=49,S10,IF($Q$5=50,S25,IF($Q$5=51,S25,IF($Q$5=52,S26,IF($Q$5=53,S26,IF($Q$5=54,S26,0))))))))))))</f>
        <v>0</v>
      </c>
      <c r="W24" s="173">
        <f>IF($Q$5=47,T12,IF($Q$5=48,T11,IF($Q$5=49,0,IF($Q$5=50,0,IF($Q$5=51,T10,IF($Q$5=52,T10,IF($Q$5=53,T10,IF($Q$5=54,T27,0))))))))</f>
        <v>0</v>
      </c>
      <c r="X24" s="23"/>
      <c r="Y24" s="447"/>
      <c r="Z24" s="14" t="str">
        <f>+P13</f>
        <v>B4</v>
      </c>
      <c r="AA24" s="69">
        <f>IF(ISTEXT(Z24),AA23,0)</f>
        <v>4</v>
      </c>
      <c r="AB24" s="18">
        <f>IF(ISTEXT(Z24),AB23,0)</f>
        <v>1</v>
      </c>
      <c r="AC24" s="62">
        <f>IF(ISTEXT(Z24),AC23,0)</f>
        <v>-4</v>
      </c>
      <c r="AD24" s="11"/>
      <c r="AE24" s="14" t="str">
        <f>+S13</f>
        <v>B3</v>
      </c>
      <c r="AF24" s="18">
        <f>IF(ISTEXT(AE24),AF23,0)</f>
        <v>13</v>
      </c>
      <c r="AG24" s="18">
        <f>IF(ISTEXT(AE24),AG23,0)</f>
        <v>3</v>
      </c>
      <c r="AH24" s="62">
        <f>IF(ISTEXT(AE24),AH23,0)</f>
        <v>7</v>
      </c>
      <c r="AI24" s="11"/>
      <c r="AJ24" s="14" t="str">
        <f>+V13</f>
        <v>B6</v>
      </c>
      <c r="AK24" s="18">
        <f>IF(ISTEXT(AJ24),AK23,0)</f>
        <v>13</v>
      </c>
      <c r="AL24" s="18">
        <f>IF(ISTEXT(AJ24),AL23,0)</f>
        <v>3</v>
      </c>
      <c r="AM24" s="62">
        <f>IF(ISTEXT(AJ24),AM23,0)</f>
        <v>3</v>
      </c>
      <c r="AN24" s="23"/>
      <c r="AO24" s="54">
        <v>16</v>
      </c>
      <c r="AP24" s="321" t="str">
        <f>+Inscrits!B18</f>
        <v>A16</v>
      </c>
      <c r="AQ24" s="286" t="str">
        <f t="shared" si="3"/>
        <v xml:space="preserve"> </v>
      </c>
      <c r="AR24" s="99" t="str">
        <f t="shared" si="4"/>
        <v xml:space="preserve"> </v>
      </c>
      <c r="AS24" s="219" t="str">
        <f t="shared" si="5"/>
        <v xml:space="preserve"> </v>
      </c>
      <c r="AT24" s="289" t="str">
        <f t="shared" si="6"/>
        <v xml:space="preserve"> </v>
      </c>
      <c r="AU24" s="99" t="str">
        <f t="shared" si="7"/>
        <v xml:space="preserve"> </v>
      </c>
      <c r="AV24" s="291" t="str">
        <f t="shared" si="8"/>
        <v xml:space="preserve"> </v>
      </c>
      <c r="AW24" s="286" t="str">
        <f t="shared" si="9"/>
        <v xml:space="preserve"> </v>
      </c>
      <c r="AX24" s="99" t="str">
        <f t="shared" si="10"/>
        <v xml:space="preserve"> </v>
      </c>
      <c r="AY24" s="291" t="str">
        <f t="shared" si="11"/>
        <v xml:space="preserve"> </v>
      </c>
      <c r="AZ24" s="286">
        <f t="shared" si="17"/>
        <v>0</v>
      </c>
      <c r="BA24" s="99">
        <f t="shared" si="12"/>
        <v>0</v>
      </c>
      <c r="BB24" s="291">
        <f t="shared" si="13"/>
        <v>0</v>
      </c>
      <c r="BC24" s="294">
        <f t="shared" si="14"/>
        <v>0</v>
      </c>
      <c r="BD24" s="7">
        <f t="shared" si="15"/>
        <v>0</v>
      </c>
      <c r="BE24" s="218">
        <f t="shared" si="16"/>
        <v>31.000000239999999</v>
      </c>
      <c r="BF24" s="99">
        <f>IF(AP24="","",SMALL(BE$9:BE$62,ROWS(AZ$9:AZ24)))</f>
        <v>3.9874003300000003</v>
      </c>
      <c r="BG24" s="88"/>
      <c r="BH24" s="289" t="str">
        <f>IF(OR(AP24="",AZ24=""),"",INDEX($AP$9:$AP$63,MATCH(BF24,$BE$9:BE$62,0)))</f>
        <v>B7</v>
      </c>
      <c r="BI24" s="7">
        <f t="shared" si="0"/>
        <v>7</v>
      </c>
      <c r="BJ24" s="7">
        <f t="shared" si="1"/>
        <v>1</v>
      </c>
      <c r="BK24" s="7">
        <f t="shared" si="2"/>
        <v>26</v>
      </c>
      <c r="BL24" s="280">
        <f>IF(BF24="","",IF(AND(BI23=BI24,BJ23=BJ24,BK23=BK24),BL23,$BL$9+15))</f>
        <v>16</v>
      </c>
      <c r="BM24" s="29"/>
      <c r="BN24" s="262"/>
    </row>
    <row r="25" spans="1:66" ht="21" thickBot="1">
      <c r="A25" s="131">
        <v>16</v>
      </c>
      <c r="B25" s="393"/>
      <c r="C25" s="274">
        <f>IF($Q$5&gt;=46,16,0)</f>
        <v>0</v>
      </c>
      <c r="D25" s="393"/>
      <c r="E25" s="274">
        <f>IF($Q$5&gt;=47,16,0)</f>
        <v>0</v>
      </c>
      <c r="F25" s="396"/>
      <c r="G25" s="274">
        <f>IF($Q$5&gt;=48,16,0)</f>
        <v>0</v>
      </c>
      <c r="H25" s="23"/>
      <c r="I25" s="196">
        <v>16</v>
      </c>
      <c r="J25" s="204" t="str">
        <f>IF(ISNA(MATCH(I25,$C$10:$C$27,0)),"",INDEX(B$10:$B$27,MATCH(I25,$C$10:$C$27,0)))</f>
        <v/>
      </c>
      <c r="K25" s="137" t="str">
        <f>IF(ISNA(MATCH(I25,$E$10:$E$27,0)),"",INDEX($D$10:D$27,MATCH(I25,$E$10:$E$27,0)))</f>
        <v/>
      </c>
      <c r="L25" s="188" t="str">
        <f>IF(ISNA(MATCH(I25,$G$10:$G$27,0)),"",INDEX($F$10:F$27,MATCH(I25,$G$10:$G$27,0)))</f>
        <v/>
      </c>
      <c r="M25" s="155"/>
      <c r="N25" s="52" t="s">
        <v>5</v>
      </c>
      <c r="O25" s="141">
        <f>IF($Q$5=43,K23,IF($Q$5=44,K24,IF($Q$5=45,K24,IF($Q$5=46,J25,IF($Q$5=47,J25,IF($Q$5=48,J25,IF($Q$5=49,J25,IF($Q$5=50,J25,IF($Q$5=51,J25,IF($Q$5=52,J25,IF($Q$5=53,J25,IF($Q$5=54,J25,0))))))))))))</f>
        <v>0</v>
      </c>
      <c r="P25" s="146">
        <f>IF($Q$5=43,L21,IF($Q$5=44,L23,IF($Q$5=45,L24,IF($Q$5=46,L24,IF($Q$5=47,K25,IF($Q$5=48,K25,IF($Q$5=49,L25,IF($Q$5=50,K25,IF($Q$5=51,K25,IF($Q$5=52,K25,IF($Q$5=53,K25,IF($Q$5=54,K25,0))))))))))))</f>
        <v>0</v>
      </c>
      <c r="Q25" s="143">
        <f>IF($Q$5=48,L25,IF($Q$5=49,0,IF($Q$5=50,0,IF($Q$5=51,0,IF($Q$5=52,L25,IF($Q$5=53,L25,IF($Q$5=54,L25,0)))))))</f>
        <v>0</v>
      </c>
      <c r="R25" s="170">
        <f>IF($Q$5=43,O25,IF($Q$5=44,O25,IF($Q$5=45,O25,IF($Q$5=46,J10,IF($Q$5=47,J10,IF($Q$5=48,J10,IF($Q$5=49,J26,IF($Q$5=50,J26,IF($Q$5=51,J26,IF($Q$5=52,J26,IF($Q$5=53,J26,IF($Q$5=54,J26,0))))))))))))</f>
        <v>0</v>
      </c>
      <c r="S25" s="171">
        <f>IF($Q$5=43,L10,IF($Q$5=44,K11,IF($Q$5=45,L12,IF($Q$5=46,L12,IF($Q$5=47,K11,IF($Q$5=48,K11,IF($Q$5=49,P27,IF($Q$5=50,K11,IF($Q$5=51,K11,IF($Q$5=52,K10,IF($Q$5=53,K27,IF($Q$5=54,K27,0))))))))))))</f>
        <v>0</v>
      </c>
      <c r="T25" s="181">
        <f>IF($Q$5=48,L12,IF($Q$5=49,0,IF($Q$5=50,0,IF($Q$5=51,0,IF($Q$5=52,L12,IF($Q$5=53,L11,IF($Q$5=54,L10,0)))))))</f>
        <v>0</v>
      </c>
      <c r="U25" s="184">
        <f>IF($Q$5=43,R25,IF($Q$5=44,R25,IF($Q$5=45,R25,IF($Q$5=46,R10,IF($Q$5=47,R10,IF($Q$5=48,R10,IF($Q$5=49,R26,IF($Q$5=50,R26,IF($Q$5=51,R26,IF($Q$5=52,O27,IF($Q$5=53,R26,IF($Q$5=54,O27,0))))))))))))</f>
        <v>0</v>
      </c>
      <c r="V25" s="176">
        <f>IF($Q$5=43,T11,IF($Q$5=44,T12,IF($Q$5=45,T12,IF($Q$5=46,T12,IF($Q$5=47,S11,IF($Q$5=48,S11,IF($Q$5=49,S25,IF($Q$5=50,S10,IF($Q$5=51,S10,IF($Q$5=52,S10,IF($Q$5=53,S27,IF($Q$5=54,S27,0))))))))))))</f>
        <v>0</v>
      </c>
      <c r="W25" s="177">
        <f>IF($Q$5=48,T12,IF($Q$5=49,0,IF($Q$5=50,0,IF($Q$5=51,0,IF($Q$5=52,T11,IF($Q$5=53,T11,IF($Q$5=54,T10,0)))))))</f>
        <v>0</v>
      </c>
      <c r="X25" s="23"/>
      <c r="Y25" s="448"/>
      <c r="Z25" s="16" t="str">
        <f>+Q13</f>
        <v>C4</v>
      </c>
      <c r="AA25" s="69">
        <f>IF(ISTEXT(Z25),AA23,0)</f>
        <v>4</v>
      </c>
      <c r="AB25" s="18">
        <f>IF(ISTEXT(Z25),AB23,0)</f>
        <v>1</v>
      </c>
      <c r="AC25" s="62">
        <f>IF(ISTEXT(Z25),AC23,0)</f>
        <v>-4</v>
      </c>
      <c r="AD25" s="11"/>
      <c r="AE25" s="16" t="str">
        <f>+T13</f>
        <v>C6</v>
      </c>
      <c r="AF25" s="18">
        <f>IF(ISTEXT(AE25),AF23,0)</f>
        <v>13</v>
      </c>
      <c r="AG25" s="18">
        <f>IF(ISTEXT(AE25),AG23,0)</f>
        <v>3</v>
      </c>
      <c r="AH25" s="62">
        <f>IF(ISTEXT(AE25),AH23,0)</f>
        <v>7</v>
      </c>
      <c r="AI25" s="11"/>
      <c r="AJ25" s="16" t="str">
        <f>+W13</f>
        <v>C7</v>
      </c>
      <c r="AK25" s="18">
        <f>IF(ISTEXT(AJ25),AK23,0)</f>
        <v>13</v>
      </c>
      <c r="AL25" s="18">
        <f>IF(ISTEXT(AJ25),AL23,0)</f>
        <v>3</v>
      </c>
      <c r="AM25" s="62">
        <f>IF(ISTEXT(AJ25),AM23,0)</f>
        <v>3</v>
      </c>
      <c r="AN25" s="23"/>
      <c r="AO25" s="54">
        <v>17</v>
      </c>
      <c r="AP25" s="321" t="str">
        <f>+Inscrits!B19</f>
        <v>A17</v>
      </c>
      <c r="AQ25" s="286" t="str">
        <f t="shared" si="3"/>
        <v xml:space="preserve"> </v>
      </c>
      <c r="AR25" s="99" t="str">
        <f t="shared" si="4"/>
        <v xml:space="preserve"> </v>
      </c>
      <c r="AS25" s="219" t="str">
        <f t="shared" si="5"/>
        <v xml:space="preserve"> </v>
      </c>
      <c r="AT25" s="289" t="str">
        <f t="shared" si="6"/>
        <v xml:space="preserve"> </v>
      </c>
      <c r="AU25" s="99" t="str">
        <f t="shared" si="7"/>
        <v xml:space="preserve"> </v>
      </c>
      <c r="AV25" s="291" t="str">
        <f t="shared" si="8"/>
        <v xml:space="preserve"> </v>
      </c>
      <c r="AW25" s="286" t="str">
        <f t="shared" si="9"/>
        <v xml:space="preserve"> </v>
      </c>
      <c r="AX25" s="99" t="str">
        <f t="shared" si="10"/>
        <v xml:space="preserve"> </v>
      </c>
      <c r="AY25" s="291" t="str">
        <f t="shared" si="11"/>
        <v xml:space="preserve"> </v>
      </c>
      <c r="AZ25" s="286">
        <f t="shared" si="17"/>
        <v>0</v>
      </c>
      <c r="BA25" s="99">
        <f t="shared" si="12"/>
        <v>0</v>
      </c>
      <c r="BB25" s="291">
        <f t="shared" si="13"/>
        <v>0</v>
      </c>
      <c r="BC25" s="294">
        <f t="shared" si="14"/>
        <v>0</v>
      </c>
      <c r="BD25" s="7">
        <f t="shared" si="15"/>
        <v>0</v>
      </c>
      <c r="BE25" s="218">
        <f t="shared" si="16"/>
        <v>31.000000249999999</v>
      </c>
      <c r="BF25" s="99">
        <f>IF(AP25="","",SMALL(BE$9:BE$62,ROWS(AZ$9:AZ25)))</f>
        <v>3.9971001300000002</v>
      </c>
      <c r="BG25" s="88"/>
      <c r="BH25" s="289" t="str">
        <f>IF(OR(AP25="",AZ25=""),"",INDEX($AP$9:$AP$63,MATCH(BF25,$BE$9:BE$62,0)))</f>
        <v>A5</v>
      </c>
      <c r="BI25" s="7">
        <f t="shared" si="0"/>
        <v>7</v>
      </c>
      <c r="BJ25" s="7">
        <f t="shared" si="1"/>
        <v>0</v>
      </c>
      <c r="BK25" s="7">
        <f t="shared" si="2"/>
        <v>29</v>
      </c>
      <c r="BL25" s="280">
        <f>IF(BF25="","",IF(AND(BI24=BI25,BJ24=BJ25,BK24=BK25),BL24,$BL$9+16))</f>
        <v>17</v>
      </c>
      <c r="BM25" s="29"/>
      <c r="BN25" s="262"/>
    </row>
    <row r="26" spans="1:66" ht="21" thickBot="1">
      <c r="A26" s="131">
        <v>17</v>
      </c>
      <c r="B26" s="393"/>
      <c r="C26" s="272">
        <f>IF($Q$5&gt;=49,17,0)</f>
        <v>0</v>
      </c>
      <c r="D26" s="393"/>
      <c r="E26" s="272">
        <f>IF($Q$5&gt;=50,17,0)</f>
        <v>0</v>
      </c>
      <c r="F26" s="396"/>
      <c r="G26" s="272">
        <f>IF($Q$5&gt;=51,17,0)</f>
        <v>0</v>
      </c>
      <c r="H26" s="134"/>
      <c r="I26" s="199">
        <v>17</v>
      </c>
      <c r="J26" s="205" t="str">
        <f>IF(ISNA(MATCH(I26,$C$10:$C$27,0)),"",INDEX(B$10:$B$27,MATCH(I26,$C$10:$C$27,0)))</f>
        <v/>
      </c>
      <c r="K26" s="200" t="str">
        <f>IF(ISNA(MATCH(I26,$E$10:$E$27,0)),"",INDEX($D$10:D$27,MATCH(I26,$E$10:$E$27,0)))</f>
        <v/>
      </c>
      <c r="L26" s="206" t="str">
        <f>IF(ISNA(MATCH(I26,$G$10:$G$27,0)),"",INDEX($F$10:F$27,MATCH(I26,$G$10:$G$27,0)))</f>
        <v/>
      </c>
      <c r="N26" s="82">
        <v>9</v>
      </c>
      <c r="O26" s="147">
        <f>IF($Q$5=49,J26,IF($Q$5=50,J26,IF($Q$5=51,J26,IF($Q$5=52,J26,IF($Q$5=53,J26,IF($Q$5=54,J26,0))))))</f>
        <v>0</v>
      </c>
      <c r="P26" s="142">
        <f>IF($Q$5=49,L24,IF($Q$5=50,L24,IF($Q$5=51,L25,IF($Q$5=52,K26,IF($Q$5=53,K26,IF($Q$5=54,K26,0))))))</f>
        <v>0</v>
      </c>
      <c r="Q26" s="148">
        <f>IF($Q$5=51,0,IF($Q$5=52,0,IF($Q$5=53,L26,IF($Q$5=54,L26,0))))</f>
        <v>0</v>
      </c>
      <c r="R26" s="165">
        <f>IF($Q$5=43,0,IF($Q$5=44,0,IF($Q$5=45,0,IF($Q$5=46,0,IF($Q$5=47,0,IF($Q$5=48,0,IF($Q$5=49,O10,IF($Q$5=50,O10,IF($Q$5=51,O10,IF($Q$5=52,O27,IF($Q$5=53,O27,IF($Q$5=54,O27,0))))))))))))</f>
        <v>0</v>
      </c>
      <c r="S26" s="157">
        <f>IF($Q$5=43,0,IF($Q$5=44,0,IF($Q$5=45,0,IF($Q$5=46,0,IF($Q$5=47,0,IF($Q$5=48,0,IF($Q$5=49,P26,IF($Q$5=50,Q11,IF($Q$5=51,P27,IF($Q$5=52,P11,IF($Q$5=53,P10,IF($Q$5=54,P10,0))))))))))))</f>
        <v>0</v>
      </c>
      <c r="T26" s="212">
        <f>IF($Q$5=53,Q12,IF($Q$5=54,Q11,0))</f>
        <v>0</v>
      </c>
      <c r="U26" s="215">
        <f>IF($Q$5=43,0,IF($Q$5=44,0,IF($Q$5=45,0,IF($Q$5=46,0,IF($Q$5=47,0,IF($Q$5=48,0,IF($Q$5=49,R10,IF($Q$5=50,R10,IF($Q$5=51,R10,IF($Q$5=52,R27,IF($Q$5=53,R27,IF($Q$5=54,R27,0))))))))))))</f>
        <v>0</v>
      </c>
      <c r="V26" s="163">
        <f>IF($Q$5=43,0,IF($Q$5=44,0,IF($Q$5=45,0,IF($Q$5=46,0,IF($Q$5=47,0,IF($Q$5=48,0,IF($Q$5=49,S27,IF($Q$5=50,T11,IF($Q$5=51,T11,IF($Q$5=52,S11,IF($Q$5=53,S10,IF($Q$5=54,S10,0))))))))))))</f>
        <v>0</v>
      </c>
      <c r="W26" s="173">
        <f>IF($Q$5=43,0,IF($Q$5=44,0,IF($Q$5=45,0,IF($Q$5=46,0,IF($Q$5=47,0,IF($Q$5=48,0,IF($Q$5=49,0,IF($Q$5=50,0,IF($Q$5=51,0,IF($Q$5=52,0,IF($Q$5=53,T12,IF($Q$5=54,T11,0))))))))))))</f>
        <v>0</v>
      </c>
      <c r="X26" s="23"/>
      <c r="Y26" s="128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23"/>
      <c r="AO26" s="54">
        <v>18</v>
      </c>
      <c r="AP26" s="321" t="str">
        <f>+Inscrits!B20</f>
        <v>A18</v>
      </c>
      <c r="AQ26" s="286" t="str">
        <f t="shared" si="3"/>
        <v xml:space="preserve"> </v>
      </c>
      <c r="AR26" s="99" t="str">
        <f t="shared" si="4"/>
        <v xml:space="preserve"> </v>
      </c>
      <c r="AS26" s="219" t="str">
        <f t="shared" si="5"/>
        <v xml:space="preserve"> </v>
      </c>
      <c r="AT26" s="289" t="str">
        <f t="shared" si="6"/>
        <v xml:space="preserve"> </v>
      </c>
      <c r="AU26" s="99" t="str">
        <f t="shared" si="7"/>
        <v xml:space="preserve"> </v>
      </c>
      <c r="AV26" s="291" t="str">
        <f t="shared" si="8"/>
        <v xml:space="preserve"> </v>
      </c>
      <c r="AW26" s="286" t="str">
        <f t="shared" si="9"/>
        <v xml:space="preserve"> </v>
      </c>
      <c r="AX26" s="99" t="str">
        <f t="shared" si="10"/>
        <v xml:space="preserve"> </v>
      </c>
      <c r="AY26" s="291" t="str">
        <f t="shared" si="11"/>
        <v xml:space="preserve"> </v>
      </c>
      <c r="AZ26" s="286">
        <f t="shared" si="17"/>
        <v>0</v>
      </c>
      <c r="BA26" s="99">
        <f t="shared" si="12"/>
        <v>0</v>
      </c>
      <c r="BB26" s="291">
        <f t="shared" si="13"/>
        <v>0</v>
      </c>
      <c r="BC26" s="294">
        <f t="shared" si="14"/>
        <v>0</v>
      </c>
      <c r="BD26" s="7">
        <f t="shared" si="15"/>
        <v>0</v>
      </c>
      <c r="BE26" s="218">
        <f t="shared" si="16"/>
        <v>31.00000026</v>
      </c>
      <c r="BF26" s="99">
        <f>IF(AP26="","",SMALL(BE$9:BE$62,ROWS(AZ$9:AZ26)))</f>
        <v>18.027500270000001</v>
      </c>
      <c r="BG26" s="88"/>
      <c r="BH26" s="289" t="str">
        <f>IF(OR(AP26="",AZ26=""),"",INDEX($AP$9:$AP$63,MATCH(BF26,$BE$9:BE$62,0)))</f>
        <v>B1</v>
      </c>
      <c r="BI26" s="7">
        <f t="shared" si="0"/>
        <v>5</v>
      </c>
      <c r="BJ26" s="7">
        <f t="shared" si="1"/>
        <v>-3</v>
      </c>
      <c r="BK26" s="7">
        <f t="shared" si="2"/>
        <v>25</v>
      </c>
      <c r="BL26" s="280">
        <f>IF(BF26="","",IF(AND(BI25=BI26,BJ25=BJ26,BK25=BK26),BL25,$BL$9+17))</f>
        <v>18</v>
      </c>
      <c r="BM26" s="29"/>
      <c r="BN26" s="262"/>
    </row>
    <row r="27" spans="1:66" ht="21" thickBot="1">
      <c r="A27" s="197">
        <v>18</v>
      </c>
      <c r="B27" s="394"/>
      <c r="C27" s="275">
        <f>IF($Q$5&gt;=52,18,0)</f>
        <v>0</v>
      </c>
      <c r="D27" s="394"/>
      <c r="E27" s="275">
        <f>IF($Q$5&gt;=53,18,0)</f>
        <v>0</v>
      </c>
      <c r="F27" s="397"/>
      <c r="G27" s="275">
        <f>IF($Q$5&gt;=54,18,0)</f>
        <v>0</v>
      </c>
      <c r="H27" s="134"/>
      <c r="I27" s="198">
        <v>18</v>
      </c>
      <c r="J27" s="207" t="str">
        <f>IF(ISNA(MATCH(I27,$C$10:$C$27,0)),"",INDEX(B$10:$B$27,MATCH(I27,$C$10:$C$27,0)))</f>
        <v/>
      </c>
      <c r="K27" s="189" t="str">
        <f>IF(ISNA(MATCH(I27,$E$10:$E$27,0)),"",INDEX($D$10:D$27,MATCH(I27,$E$10:$E$27,0)))</f>
        <v/>
      </c>
      <c r="L27" s="190" t="str">
        <f>IF(ISNA(MATCH(I27,$G$10:$G$27,0)),"",INDEX($F$10:F$27,MATCH(I27,$G$10:$G$27,0)))</f>
        <v/>
      </c>
      <c r="N27" s="52" t="s">
        <v>5</v>
      </c>
      <c r="O27" s="141">
        <f>IF($Q$5=49,K25,IF($Q$5=50,K26,IF($Q$5=51,K26,IF($Q$5=52,J27,IF($Q$5=53,J27,IF($Q$5=54,J27,0))))))</f>
        <v>0</v>
      </c>
      <c r="P27" s="146">
        <f>IF($Q$5=49,L23,IF($Q$5=50,L25,IF($Q$5=51,L26,IF($Q$5=52,L26,IF($Q$5=53,K27,IF($Q$5=54,K27,0))))))</f>
        <v>0</v>
      </c>
      <c r="Q27" s="211">
        <f>IF($Q$5=54,L27,0)</f>
        <v>0</v>
      </c>
      <c r="R27" s="213">
        <f>IF($Q$5=43,0,IF($Q$5=44,0,IF($Q$5=45,0,IF($Q$5=46,0,IF($Q$5=47,0,IF($Q$5=48,0,IF($Q$5=49,O27,IF($Q$5=50,O27,IF($Q$5=51,O27,IF($Q$5=52,O10,IF($Q$5=53,O10,IF($Q$5=54,O10,0))))))))))))</f>
        <v>0</v>
      </c>
      <c r="S27" s="146">
        <f>IF($Q$5=43,0,IF($Q$5=44,0,IF($Q$5=45,0,IF($Q$5=46,0,IF($Q$5=47,0,IF($Q$5=48,0,IF($Q$5=49,P25,IF($Q$5=50,Q12,IF($Q$5=51,P26,IF($Q$5=52,P27,IF($Q$5=53,P11,IF($Q$5=54,P11,0))))))))))))</f>
        <v>0</v>
      </c>
      <c r="T27" s="214">
        <f>IF($Q$5=54,Q12,0)</f>
        <v>0</v>
      </c>
      <c r="U27" s="216">
        <f>IF($Q$5=43,0,IF($Q$5=44,0,IF($Q$5=45,0,IF($Q$5=46,0,IF($Q$5=47,0,IF($Q$5=48,0,IF($Q$5=49,R27,IF($Q$5=50,R27,IF($Q$5=51,R27,IF($Q$5=52,R10,IF($Q$5=53,R10,IF($Q$5=54,R10,0))))))))))))</f>
        <v>0</v>
      </c>
      <c r="V27" s="176">
        <f>IF($Q$5=43,0,IF($Q$5=44,0,IF($Q$5=45,0,IF($Q$5=46,0,IF($Q$5=47,0,IF($Q$5=48,0,IF($Q$5=49,S26,IF($Q$5=50,T12,IF($Q$5=51,T12,IF($Q$5=52,T12,IF($Q$5=53,S11,IF($Q$5=54,S11,0))))))))))))</f>
        <v>0</v>
      </c>
      <c r="W27" s="177">
        <f>IF($Q$5=43,0,IF($Q$5=44,0,IF($Q$5=45,0,IF($Q$5=46,0,IF($Q$5=47,0,IF($Q$5=48,0,IF($Q$5=49,0,IF($Q$5=50,0,IF($Q$5=51,0,IF($Q$5=52,0,IF($Q$5=53,0,IF($Q$5=54,T12,0))))))))))))</f>
        <v>0</v>
      </c>
      <c r="X27" s="23"/>
      <c r="Y27" s="446">
        <v>3</v>
      </c>
      <c r="Z27" s="12" t="str">
        <f>+O14</f>
        <v>A5</v>
      </c>
      <c r="AA27" s="33">
        <v>3</v>
      </c>
      <c r="AB27" s="48">
        <f>IF(AA27+AA31=0,0,IF(AA27=AA31,2,IF(AA27&gt;AA31,3,1)))</f>
        <v>1</v>
      </c>
      <c r="AC27" s="13">
        <f>AA27-AA31</f>
        <v>-10</v>
      </c>
      <c r="AD27" s="9"/>
      <c r="AE27" s="12" t="str">
        <f>+R14</f>
        <v>A6</v>
      </c>
      <c r="AF27" s="126">
        <v>11</v>
      </c>
      <c r="AG27" s="48">
        <f>IF(AF27+AF31=0,0,IF(AF27=AF31,2,IF(AF27&gt;AF31,3,1)))</f>
        <v>3</v>
      </c>
      <c r="AH27" s="13">
        <f>AF27-AF31</f>
        <v>6</v>
      </c>
      <c r="AI27" s="9"/>
      <c r="AJ27" s="12" t="str">
        <f>+U14</f>
        <v>A2</v>
      </c>
      <c r="AK27" s="36">
        <v>11</v>
      </c>
      <c r="AL27" s="48">
        <f>IF(AK27+AK31=0,0,IF(AK27=AK31,2,IF(AK27&gt;AK31,3,1)))</f>
        <v>3</v>
      </c>
      <c r="AM27" s="13">
        <f>AK27-AK31</f>
        <v>2</v>
      </c>
      <c r="AN27" s="23"/>
      <c r="AO27" s="54">
        <v>19</v>
      </c>
      <c r="AP27" s="322" t="str">
        <f>+Inscrits!D3</f>
        <v>B1</v>
      </c>
      <c r="AQ27" s="286">
        <f t="shared" si="3"/>
        <v>1</v>
      </c>
      <c r="AR27" s="99">
        <f t="shared" si="4"/>
        <v>-5</v>
      </c>
      <c r="AS27" s="219">
        <f t="shared" si="5"/>
        <v>5</v>
      </c>
      <c r="AT27" s="289">
        <f t="shared" si="6"/>
        <v>3</v>
      </c>
      <c r="AU27" s="99">
        <f t="shared" si="7"/>
        <v>6</v>
      </c>
      <c r="AV27" s="291">
        <f t="shared" si="8"/>
        <v>13</v>
      </c>
      <c r="AW27" s="286">
        <f t="shared" si="9"/>
        <v>1</v>
      </c>
      <c r="AX27" s="99">
        <f t="shared" si="10"/>
        <v>-4</v>
      </c>
      <c r="AY27" s="291">
        <f t="shared" si="11"/>
        <v>7</v>
      </c>
      <c r="AZ27" s="286">
        <f t="shared" si="17"/>
        <v>5</v>
      </c>
      <c r="BA27" s="99">
        <f t="shared" si="12"/>
        <v>-3</v>
      </c>
      <c r="BB27" s="291">
        <f t="shared" si="13"/>
        <v>25</v>
      </c>
      <c r="BC27" s="294">
        <f t="shared" si="14"/>
        <v>-3</v>
      </c>
      <c r="BD27" s="7">
        <f t="shared" si="15"/>
        <v>0</v>
      </c>
      <c r="BE27" s="218">
        <f t="shared" si="16"/>
        <v>18.027500270000001</v>
      </c>
      <c r="BF27" s="99">
        <f>IF(AP27="","",SMALL(BE$9:BE$62,ROWS(AZ$9:AZ27)))</f>
        <v>18.027600150000001</v>
      </c>
      <c r="BG27" s="88"/>
      <c r="BH27" s="289" t="str">
        <f>IF(OR(AP27="",AZ27=""),"",INDEX($AP$9:$AP$63,MATCH(BF27,$BE$9:BE$62,0)))</f>
        <v>A7</v>
      </c>
      <c r="BI27" s="7">
        <f t="shared" si="0"/>
        <v>5</v>
      </c>
      <c r="BJ27" s="7">
        <f t="shared" si="1"/>
        <v>-3</v>
      </c>
      <c r="BK27" s="7">
        <f t="shared" si="2"/>
        <v>24</v>
      </c>
      <c r="BL27" s="280">
        <f>IF(BF27="","",IF(AND(BI26=BI27,BJ26=BJ27,BK26=BK27),BL26,$BL$9+18))</f>
        <v>19</v>
      </c>
      <c r="BM27" s="29"/>
      <c r="BN27" s="262"/>
    </row>
    <row r="28" spans="1:66" ht="16.5" thickBo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128"/>
      <c r="P28" s="23"/>
      <c r="Q28" s="23"/>
      <c r="R28" s="23"/>
      <c r="S28" s="23"/>
      <c r="T28" s="23"/>
      <c r="U28" s="29"/>
      <c r="V28" s="23"/>
      <c r="W28" s="23"/>
      <c r="X28" s="23"/>
      <c r="Y28" s="447"/>
      <c r="Z28" s="14" t="str">
        <f>+P14</f>
        <v>B5</v>
      </c>
      <c r="AA28" s="17">
        <f>IF(ISTEXT(Z28),AA27,0)</f>
        <v>3</v>
      </c>
      <c r="AB28" s="18">
        <f>IF(ISTEXT(Z28),AB27,0)</f>
        <v>1</v>
      </c>
      <c r="AC28" s="19">
        <f>IF(ISTEXT(Z28),AC27,0)</f>
        <v>-10</v>
      </c>
      <c r="AD28" s="9"/>
      <c r="AE28" s="14" t="str">
        <f>+S14</f>
        <v>B6</v>
      </c>
      <c r="AF28" s="17">
        <f>IF(ISTEXT(AE28),AF27,0)</f>
        <v>11</v>
      </c>
      <c r="AG28" s="59">
        <f>IF(ISTEXT(AE28),AG27,0)</f>
        <v>3</v>
      </c>
      <c r="AH28" s="19">
        <f>IF(ISTEXT(AE28),AH27,0)</f>
        <v>6</v>
      </c>
      <c r="AI28" s="9"/>
      <c r="AJ28" s="14" t="str">
        <f>+V14</f>
        <v>B7</v>
      </c>
      <c r="AK28" s="17">
        <f>IF(ISTEXT(AJ28),AK27,0)</f>
        <v>11</v>
      </c>
      <c r="AL28" s="59">
        <f>IF(ISTEXT(AJ28),AL27,0)</f>
        <v>3</v>
      </c>
      <c r="AM28" s="19">
        <f>IF(ISTEXT(AJ28),AM27,0)</f>
        <v>2</v>
      </c>
      <c r="AN28" s="23"/>
      <c r="AO28" s="54">
        <v>20</v>
      </c>
      <c r="AP28" s="322" t="str">
        <f>+Inscrits!D4</f>
        <v>B2</v>
      </c>
      <c r="AQ28" s="286">
        <f t="shared" si="3"/>
        <v>3</v>
      </c>
      <c r="AR28" s="99">
        <f t="shared" si="4"/>
        <v>5</v>
      </c>
      <c r="AS28" s="219">
        <f t="shared" si="5"/>
        <v>10</v>
      </c>
      <c r="AT28" s="289">
        <f t="shared" si="6"/>
        <v>1</v>
      </c>
      <c r="AU28" s="99">
        <f t="shared" si="7"/>
        <v>-7</v>
      </c>
      <c r="AV28" s="291">
        <f t="shared" si="8"/>
        <v>6</v>
      </c>
      <c r="AW28" s="286">
        <f t="shared" si="9"/>
        <v>3</v>
      </c>
      <c r="AX28" s="99">
        <f t="shared" si="10"/>
        <v>4</v>
      </c>
      <c r="AY28" s="291">
        <f t="shared" si="11"/>
        <v>11</v>
      </c>
      <c r="AZ28" s="286">
        <f t="shared" si="17"/>
        <v>7</v>
      </c>
      <c r="BA28" s="99">
        <f t="shared" si="12"/>
        <v>2</v>
      </c>
      <c r="BB28" s="291">
        <f t="shared" si="13"/>
        <v>27</v>
      </c>
      <c r="BC28" s="294">
        <f t="shared" si="14"/>
        <v>0</v>
      </c>
      <c r="BD28" s="7">
        <f t="shared" si="15"/>
        <v>2</v>
      </c>
      <c r="BE28" s="218">
        <f t="shared" si="16"/>
        <v>3.9773002800000001</v>
      </c>
      <c r="BF28" s="99">
        <f>IF(AP28="","",SMALL(BE$9:BE$62,ROWS(AZ$9:AZ28)))</f>
        <v>18.067900090000002</v>
      </c>
      <c r="BG28" s="88"/>
      <c r="BH28" s="289" t="str">
        <f>IF(OR(AP28="",AZ28=""),"",INDEX($AP$9:$AP$63,MATCH(BF28,$BE$9:BE$62,0)))</f>
        <v>A1</v>
      </c>
      <c r="BI28" s="7">
        <f t="shared" si="0"/>
        <v>5</v>
      </c>
      <c r="BJ28" s="7">
        <f t="shared" si="1"/>
        <v>-7</v>
      </c>
      <c r="BK28" s="7">
        <f t="shared" si="2"/>
        <v>21</v>
      </c>
      <c r="BL28" s="280">
        <f>IF(BF28="","",IF(AND(BI27=BI28,BJ27=BJ28,BK27=BK28),BL27,$BL$9+19))</f>
        <v>20</v>
      </c>
      <c r="BM28" s="29"/>
      <c r="BN28" s="262"/>
    </row>
    <row r="29" spans="1:66" ht="15.7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P29" s="23"/>
      <c r="Q29" s="23"/>
      <c r="R29" s="23"/>
      <c r="S29" s="23"/>
      <c r="T29" s="23"/>
      <c r="U29" s="29"/>
      <c r="V29" s="23"/>
      <c r="W29" s="23"/>
      <c r="X29" s="23"/>
      <c r="Y29" s="447"/>
      <c r="Z29" s="14" t="str">
        <f>+Q14</f>
        <v>C5</v>
      </c>
      <c r="AA29" s="71">
        <f>IF(ISTEXT(Z29),AA27,0)</f>
        <v>3</v>
      </c>
      <c r="AB29" s="67">
        <f>IF(ISTEXT(Z29),AB27,0)</f>
        <v>1</v>
      </c>
      <c r="AC29" s="72">
        <f>IF(ISTEXT(Z29),AC27,0)</f>
        <v>-10</v>
      </c>
      <c r="AD29" s="9"/>
      <c r="AE29" s="14" t="str">
        <f>+T14</f>
        <v>C2</v>
      </c>
      <c r="AF29" s="71">
        <f>IF(ISTEXT(AE29),AF27,0)</f>
        <v>11</v>
      </c>
      <c r="AG29" s="64">
        <f>IF(ISTEXT(AE29),AG27,0)</f>
        <v>3</v>
      </c>
      <c r="AH29" s="72">
        <f>IF(ISTEXT(AE29),AH27,0)</f>
        <v>6</v>
      </c>
      <c r="AI29" s="9"/>
      <c r="AJ29" s="14" t="str">
        <f>+W14</f>
        <v>C8</v>
      </c>
      <c r="AK29" s="71">
        <f>IF(ISTEXT(AJ29),AK27,0)</f>
        <v>11</v>
      </c>
      <c r="AL29" s="64">
        <f>IF(ISTEXT(AJ29),AL27,0)</f>
        <v>3</v>
      </c>
      <c r="AM29" s="72">
        <f>IF(ISTEXT(AJ29),AM27,0)</f>
        <v>2</v>
      </c>
      <c r="AN29" s="23"/>
      <c r="AO29" s="54">
        <v>21</v>
      </c>
      <c r="AP29" s="322" t="str">
        <f>+Inscrits!D5</f>
        <v>B3</v>
      </c>
      <c r="AQ29" s="286">
        <f t="shared" si="3"/>
        <v>3</v>
      </c>
      <c r="AR29" s="99">
        <f t="shared" si="4"/>
        <v>4</v>
      </c>
      <c r="AS29" s="219">
        <f t="shared" si="5"/>
        <v>8</v>
      </c>
      <c r="AT29" s="289">
        <f t="shared" si="6"/>
        <v>3</v>
      </c>
      <c r="AU29" s="99">
        <f t="shared" si="7"/>
        <v>7</v>
      </c>
      <c r="AV29" s="291">
        <f t="shared" si="8"/>
        <v>13</v>
      </c>
      <c r="AW29" s="286">
        <f t="shared" si="9"/>
        <v>3</v>
      </c>
      <c r="AX29" s="99">
        <f t="shared" si="10"/>
        <v>4</v>
      </c>
      <c r="AY29" s="291">
        <f t="shared" si="11"/>
        <v>9</v>
      </c>
      <c r="AZ29" s="286">
        <f t="shared" si="17"/>
        <v>9</v>
      </c>
      <c r="BA29" s="99">
        <f t="shared" si="12"/>
        <v>15</v>
      </c>
      <c r="BB29" s="291">
        <f t="shared" si="13"/>
        <v>30</v>
      </c>
      <c r="BC29" s="294">
        <f t="shared" si="14"/>
        <v>0</v>
      </c>
      <c r="BD29" s="7">
        <f t="shared" si="15"/>
        <v>15</v>
      </c>
      <c r="BE29" s="218">
        <f t="shared" si="16"/>
        <v>0.84700028999999999</v>
      </c>
      <c r="BF29" s="99">
        <f>IF(AP29="","",SMALL(BE$9:BE$62,ROWS(AZ$9:AZ29)))</f>
        <v>18.088600450000001</v>
      </c>
      <c r="BG29" s="88"/>
      <c r="BH29" s="289" t="str">
        <f>IF(OR(AP29="",AZ29=""),"",INDEX($AP$9:$AP$63,MATCH(BF29,$BE$9:BE$62,0)))</f>
        <v>C1</v>
      </c>
      <c r="BI29" s="7">
        <f t="shared" si="0"/>
        <v>5</v>
      </c>
      <c r="BJ29" s="7">
        <f t="shared" si="1"/>
        <v>-9</v>
      </c>
      <c r="BK29" s="7">
        <f t="shared" si="2"/>
        <v>14</v>
      </c>
      <c r="BL29" s="280">
        <f>IF(BF29="","",IF(AND(BI28=BI29,BJ28=BJ29,BK28=BK29),BL28,$BL$9+20))</f>
        <v>21</v>
      </c>
      <c r="BM29" s="29"/>
      <c r="BN29" s="262"/>
    </row>
    <row r="30" spans="1:66" ht="15.7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P30" s="23"/>
      <c r="Q30" s="23"/>
      <c r="R30" s="23"/>
      <c r="S30" s="23"/>
      <c r="T30" s="23"/>
      <c r="U30" s="29"/>
      <c r="V30" s="23"/>
      <c r="W30" s="23"/>
      <c r="X30" s="23"/>
      <c r="Y30" s="447"/>
      <c r="Z30" s="32"/>
      <c r="AA30" s="21" t="s">
        <v>5</v>
      </c>
      <c r="AB30" s="21"/>
      <c r="AC30" s="22"/>
      <c r="AD30" s="1"/>
      <c r="AE30" s="32"/>
      <c r="AF30" s="21" t="s">
        <v>5</v>
      </c>
      <c r="AG30" s="21"/>
      <c r="AH30" s="22"/>
      <c r="AI30" s="1"/>
      <c r="AJ30" s="32"/>
      <c r="AK30" s="21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1</v>
      </c>
      <c r="AR30" s="99">
        <f t="shared" si="4"/>
        <v>-4</v>
      </c>
      <c r="AS30" s="219">
        <f t="shared" si="5"/>
        <v>4</v>
      </c>
      <c r="AT30" s="289">
        <f t="shared" si="6"/>
        <v>1</v>
      </c>
      <c r="AU30" s="99">
        <f t="shared" si="7"/>
        <v>-3</v>
      </c>
      <c r="AV30" s="291">
        <f t="shared" si="8"/>
        <v>5</v>
      </c>
      <c r="AW30" s="286">
        <f t="shared" si="9"/>
        <v>1</v>
      </c>
      <c r="AX30" s="99">
        <f t="shared" si="10"/>
        <v>-3</v>
      </c>
      <c r="AY30" s="291">
        <f t="shared" si="11"/>
        <v>10</v>
      </c>
      <c r="AZ30" s="286">
        <f t="shared" si="17"/>
        <v>3</v>
      </c>
      <c r="BA30" s="99">
        <f t="shared" si="12"/>
        <v>-10</v>
      </c>
      <c r="BB30" s="291">
        <f t="shared" si="13"/>
        <v>19</v>
      </c>
      <c r="BC30" s="294">
        <f t="shared" si="14"/>
        <v>-10</v>
      </c>
      <c r="BD30" s="7">
        <f t="shared" si="15"/>
        <v>0</v>
      </c>
      <c r="BE30" s="218">
        <f t="shared" si="16"/>
        <v>26.098100300000002</v>
      </c>
      <c r="BF30" s="99">
        <f>IF(AP30="","",SMALL(BE$9:BE$62,ROWS(AZ$9:AZ30)))</f>
        <v>18.10840031</v>
      </c>
      <c r="BG30" s="88"/>
      <c r="BH30" s="289" t="str">
        <f>IF(OR(AP30="",AZ30=""),"",INDEX($AP$9:$AP$63,MATCH(BF30,$BE$9:BE$62,0)))</f>
        <v>B5</v>
      </c>
      <c r="BI30" s="7">
        <f t="shared" si="0"/>
        <v>5</v>
      </c>
      <c r="BJ30" s="7">
        <f t="shared" si="1"/>
        <v>-11</v>
      </c>
      <c r="BK30" s="7">
        <f t="shared" si="2"/>
        <v>16</v>
      </c>
      <c r="BL30" s="280">
        <f>IF(BF30="","",IF(AND(BI29=BI30,BJ29=BJ30,BK29=BK30),BL29,$BL$9+21))</f>
        <v>22</v>
      </c>
      <c r="BM30" s="29"/>
      <c r="BN30" s="262"/>
    </row>
    <row r="31" spans="1:66" ht="15.7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P31" s="23"/>
      <c r="Q31" s="23"/>
      <c r="R31" s="23"/>
      <c r="S31" s="23"/>
      <c r="T31" s="23"/>
      <c r="U31" s="23"/>
      <c r="V31" s="23"/>
      <c r="W31" s="23"/>
      <c r="X31" s="23"/>
      <c r="Y31" s="447"/>
      <c r="Z31" s="14" t="str">
        <f>+O15</f>
        <v>A6</v>
      </c>
      <c r="AA31" s="35">
        <v>13</v>
      </c>
      <c r="AB31" s="30">
        <f>IF(AA27+AA31=0,0,IF(AA27=AA31,2,IF(AA27&lt;AA31,3,1)))</f>
        <v>3</v>
      </c>
      <c r="AC31" s="15">
        <f>AA31-AA27</f>
        <v>10</v>
      </c>
      <c r="AD31" s="9"/>
      <c r="AE31" s="14" t="str">
        <f>+R15</f>
        <v>A7</v>
      </c>
      <c r="AF31" s="127">
        <v>5</v>
      </c>
      <c r="AG31" s="30">
        <f>IF(AF27+AF31=0,0,IF(AF27=AF31,2,IF(AF27&lt;AF31,3,1)))</f>
        <v>1</v>
      </c>
      <c r="AH31" s="15">
        <f>AF31-AF27</f>
        <v>-6</v>
      </c>
      <c r="AI31" s="9"/>
      <c r="AJ31" s="14" t="str">
        <f>+U15</f>
        <v>A7</v>
      </c>
      <c r="AK31" s="37">
        <v>9</v>
      </c>
      <c r="AL31" s="30">
        <f>IF(AK27+AK31=0,0,IF(AK27=AK31,2,IF(AK27&lt;AK31,3,1)))</f>
        <v>1</v>
      </c>
      <c r="AM31" s="15">
        <f>AK31-AK27</f>
        <v>-2</v>
      </c>
      <c r="AN31" s="23"/>
      <c r="AO31" s="54">
        <v>23</v>
      </c>
      <c r="AP31" s="322" t="str">
        <f>+Inscrits!D7</f>
        <v>B5</v>
      </c>
      <c r="AQ31" s="286">
        <f t="shared" si="3"/>
        <v>1</v>
      </c>
      <c r="AR31" s="99">
        <f t="shared" si="4"/>
        <v>-10</v>
      </c>
      <c r="AS31" s="219">
        <f t="shared" si="5"/>
        <v>3</v>
      </c>
      <c r="AT31" s="289">
        <f t="shared" si="6"/>
        <v>3</v>
      </c>
      <c r="AU31" s="99">
        <f t="shared" si="7"/>
        <v>3</v>
      </c>
      <c r="AV31" s="291">
        <f t="shared" si="8"/>
        <v>8</v>
      </c>
      <c r="AW31" s="286">
        <f t="shared" si="9"/>
        <v>1</v>
      </c>
      <c r="AX31" s="99">
        <f t="shared" si="10"/>
        <v>-4</v>
      </c>
      <c r="AY31" s="291">
        <f t="shared" si="11"/>
        <v>5</v>
      </c>
      <c r="AZ31" s="286">
        <f t="shared" si="17"/>
        <v>5</v>
      </c>
      <c r="BA31" s="99">
        <f t="shared" si="12"/>
        <v>-11</v>
      </c>
      <c r="BB31" s="291">
        <f t="shared" si="13"/>
        <v>16</v>
      </c>
      <c r="BC31" s="294">
        <f t="shared" si="14"/>
        <v>-11</v>
      </c>
      <c r="BD31" s="7">
        <f t="shared" si="15"/>
        <v>0</v>
      </c>
      <c r="BE31" s="218">
        <f t="shared" si="16"/>
        <v>18.10840031</v>
      </c>
      <c r="BF31" s="99">
        <f>IF(AP31="","",SMALL(BE$9:BE$62,ROWS(AZ$9:AZ31)))</f>
        <v>18.118300520000002</v>
      </c>
      <c r="BG31" s="88"/>
      <c r="BH31" s="289" t="str">
        <f>IF(OR(AP31="",AZ31=""),"",INDEX($AP$9:$AP$63,MATCH(BF31,$BE$9:BE$62,0)))</f>
        <v>C8</v>
      </c>
      <c r="BI31" s="7">
        <f t="shared" si="0"/>
        <v>5</v>
      </c>
      <c r="BJ31" s="7">
        <f t="shared" si="1"/>
        <v>-12</v>
      </c>
      <c r="BK31" s="7">
        <f t="shared" si="2"/>
        <v>17</v>
      </c>
      <c r="BL31" s="280">
        <f>IF(BF31="","",IF(AND(BI30=BI31,BJ30=BJ31,BK30=BK31),BL30,$BL$9+22))</f>
        <v>23</v>
      </c>
      <c r="BM31" s="29"/>
      <c r="BN31" s="262"/>
    </row>
    <row r="32" spans="1:66" ht="16.5" thickBo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P32" s="23"/>
      <c r="Q32" s="23"/>
      <c r="R32" s="23"/>
      <c r="S32" s="23"/>
      <c r="T32" s="23"/>
      <c r="U32" s="23"/>
      <c r="V32" s="23"/>
      <c r="W32" s="23"/>
      <c r="X32" s="23"/>
      <c r="Y32" s="447"/>
      <c r="Z32" s="14" t="str">
        <f>+P15</f>
        <v>B6</v>
      </c>
      <c r="AA32" s="17">
        <f>IF(ISTEXT(Z32),AA31,0)</f>
        <v>13</v>
      </c>
      <c r="AB32" s="18">
        <f>IF(ISTEXT(Z32),AB31,0)</f>
        <v>3</v>
      </c>
      <c r="AC32" s="19">
        <f>IF(ISTEXT(Z32),AC31,0)</f>
        <v>10</v>
      </c>
      <c r="AD32" s="9"/>
      <c r="AE32" s="14" t="str">
        <f>+S15</f>
        <v>B7</v>
      </c>
      <c r="AF32" s="17">
        <f>IF(ISTEXT(AE32),AF31,0)</f>
        <v>5</v>
      </c>
      <c r="AG32" s="18">
        <f>IF(ISTEXT(AE32),AG31,0)</f>
        <v>1</v>
      </c>
      <c r="AH32" s="19">
        <f>IF(ISTEXT(AE32),AH31,0)</f>
        <v>-6</v>
      </c>
      <c r="AI32" s="9"/>
      <c r="AJ32" s="14" t="str">
        <f>+V15</f>
        <v>B8</v>
      </c>
      <c r="AK32" s="17">
        <f>IF(ISTEXT(AJ32),AK31,0)</f>
        <v>9</v>
      </c>
      <c r="AL32" s="18">
        <f>IF(ISTEXT(AJ32),AL31,0)</f>
        <v>1</v>
      </c>
      <c r="AM32" s="19">
        <f>IF(ISTEXT(AJ32),AM31,0)</f>
        <v>-2</v>
      </c>
      <c r="AN32" s="23"/>
      <c r="AO32" s="54">
        <v>24</v>
      </c>
      <c r="AP32" s="322" t="str">
        <f>+Inscrits!D8</f>
        <v>B6</v>
      </c>
      <c r="AQ32" s="286">
        <f t="shared" si="3"/>
        <v>3</v>
      </c>
      <c r="AR32" s="99">
        <f t="shared" si="4"/>
        <v>10</v>
      </c>
      <c r="AS32" s="219">
        <f t="shared" si="5"/>
        <v>13</v>
      </c>
      <c r="AT32" s="289">
        <f t="shared" si="6"/>
        <v>3</v>
      </c>
      <c r="AU32" s="99">
        <f t="shared" si="7"/>
        <v>6</v>
      </c>
      <c r="AV32" s="291">
        <f t="shared" si="8"/>
        <v>11</v>
      </c>
      <c r="AW32" s="286">
        <f t="shared" si="9"/>
        <v>3</v>
      </c>
      <c r="AX32" s="99">
        <f t="shared" si="10"/>
        <v>3</v>
      </c>
      <c r="AY32" s="291">
        <f t="shared" si="11"/>
        <v>13</v>
      </c>
      <c r="AZ32" s="286">
        <f t="shared" si="17"/>
        <v>9</v>
      </c>
      <c r="BA32" s="99">
        <f t="shared" si="12"/>
        <v>19</v>
      </c>
      <c r="BB32" s="291">
        <f t="shared" si="13"/>
        <v>37</v>
      </c>
      <c r="BC32" s="294">
        <f t="shared" si="14"/>
        <v>0</v>
      </c>
      <c r="BD32" s="7">
        <f t="shared" si="15"/>
        <v>19</v>
      </c>
      <c r="BE32" s="218">
        <f t="shared" si="16"/>
        <v>0.80630032000000007</v>
      </c>
      <c r="BF32" s="99">
        <f>IF(AP32="","",SMALL(BE$9:BE$62,ROWS(AZ$9:AZ32)))</f>
        <v>18.11910035</v>
      </c>
      <c r="BG32" s="88"/>
      <c r="BH32" s="289" t="str">
        <f>IF(OR(AP32="",AZ32=""),"",INDEX($AP$9:$AP$63,MATCH(BF32,$BE$9:BE$62,0)))</f>
        <v>B9</v>
      </c>
      <c r="BI32" s="7">
        <f t="shared" si="0"/>
        <v>5</v>
      </c>
      <c r="BJ32" s="7">
        <f t="shared" si="1"/>
        <v>-12</v>
      </c>
      <c r="BK32" s="7">
        <f t="shared" si="2"/>
        <v>9</v>
      </c>
      <c r="BL32" s="280">
        <f>IF(BF32="","",IF(AND(BI31=BI32,BJ31=BJ32,BK31=BK32),BL31,$BL$9+23))</f>
        <v>24</v>
      </c>
      <c r="BM32" s="29"/>
      <c r="BN32" s="262"/>
    </row>
    <row r="33" spans="1:66" ht="16.5" thickBo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P33" s="23"/>
      <c r="Q33" s="23"/>
      <c r="R33" s="23"/>
      <c r="S33" s="23"/>
      <c r="T33" s="23"/>
      <c r="U33" s="23"/>
      <c r="V33" s="23"/>
      <c r="W33" s="23"/>
      <c r="X33" s="23"/>
      <c r="Y33" s="448"/>
      <c r="Z33" s="16" t="str">
        <f>+Q15</f>
        <v>C6</v>
      </c>
      <c r="AA33" s="17">
        <f>IF(ISTEXT(Z33),AA31,0)</f>
        <v>13</v>
      </c>
      <c r="AB33" s="18">
        <f>IF(ISTEXT(Z33),AB31,0)</f>
        <v>3</v>
      </c>
      <c r="AC33" s="19">
        <f>IF(ISTEXT(Z33),AC31,0)</f>
        <v>10</v>
      </c>
      <c r="AD33" s="9"/>
      <c r="AE33" s="16" t="str">
        <f>+T15</f>
        <v>C7</v>
      </c>
      <c r="AF33" s="17">
        <f>IF(ISTEXT(AE33),AF31,0)</f>
        <v>5</v>
      </c>
      <c r="AG33" s="18">
        <f>IF(ISTEXT(AE33),AG31,0)</f>
        <v>1</v>
      </c>
      <c r="AH33" s="19">
        <f>IF(ISTEXT(AE33),AH31,0)</f>
        <v>-6</v>
      </c>
      <c r="AI33" s="9"/>
      <c r="AJ33" s="16" t="str">
        <f>+W15</f>
        <v>C9</v>
      </c>
      <c r="AK33" s="17">
        <f>IF(ISTEXT(AJ33),AK31,0)</f>
        <v>9</v>
      </c>
      <c r="AL33" s="18">
        <f>IF(ISTEXT(AJ33),AL31,0)</f>
        <v>1</v>
      </c>
      <c r="AM33" s="19">
        <f>IF(ISTEXT(AJ33),AM31,0)</f>
        <v>-2</v>
      </c>
      <c r="AN33" s="23"/>
      <c r="AO33" s="54">
        <v>25</v>
      </c>
      <c r="AP33" s="322" t="str">
        <f>+Inscrits!D9</f>
        <v>B7</v>
      </c>
      <c r="AQ33" s="286">
        <f t="shared" si="3"/>
        <v>3</v>
      </c>
      <c r="AR33" s="99">
        <f t="shared" si="4"/>
        <v>5</v>
      </c>
      <c r="AS33" s="219">
        <f t="shared" si="5"/>
        <v>10</v>
      </c>
      <c r="AT33" s="289">
        <f t="shared" si="6"/>
        <v>1</v>
      </c>
      <c r="AU33" s="99">
        <f t="shared" si="7"/>
        <v>-6</v>
      </c>
      <c r="AV33" s="291">
        <f t="shared" si="8"/>
        <v>5</v>
      </c>
      <c r="AW33" s="286">
        <f t="shared" si="9"/>
        <v>3</v>
      </c>
      <c r="AX33" s="99">
        <f t="shared" si="10"/>
        <v>2</v>
      </c>
      <c r="AY33" s="291">
        <f t="shared" si="11"/>
        <v>11</v>
      </c>
      <c r="AZ33" s="286">
        <f t="shared" si="17"/>
        <v>7</v>
      </c>
      <c r="BA33" s="99">
        <f t="shared" si="12"/>
        <v>1</v>
      </c>
      <c r="BB33" s="291">
        <f t="shared" si="13"/>
        <v>26</v>
      </c>
      <c r="BC33" s="294">
        <f t="shared" si="14"/>
        <v>0</v>
      </c>
      <c r="BD33" s="7">
        <f t="shared" si="15"/>
        <v>1</v>
      </c>
      <c r="BE33" s="218">
        <f t="shared" si="16"/>
        <v>3.9874003300000003</v>
      </c>
      <c r="BF33" s="99">
        <f>IF(AP33="","",SMALL(BE$9:BE$62,ROWS(AZ$9:AZ33)))</f>
        <v>18.128200490000001</v>
      </c>
      <c r="BG33" s="88"/>
      <c r="BH33" s="289" t="str">
        <f>IF(OR(AP33="",AZ33=""),"",INDEX($AP$9:$AP$63,MATCH(BF33,$BE$9:BE$62,0)))</f>
        <v>C5</v>
      </c>
      <c r="BI33" s="7">
        <f t="shared" si="0"/>
        <v>5</v>
      </c>
      <c r="BJ33" s="7">
        <f t="shared" si="1"/>
        <v>-13</v>
      </c>
      <c r="BK33" s="7">
        <f t="shared" si="2"/>
        <v>18</v>
      </c>
      <c r="BL33" s="280">
        <f>IF(BF33="","",IF(AND(BI32=BI33,BJ32=BJ33,BK32=BK33),BL32,$BL$9+24))</f>
        <v>25</v>
      </c>
      <c r="BM33" s="29"/>
      <c r="BN33" s="262"/>
    </row>
    <row r="34" spans="1:66" ht="16.5" thickBo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P34" s="23"/>
      <c r="Q34" s="23"/>
      <c r="R34" s="23"/>
      <c r="S34" s="23"/>
      <c r="T34" s="23"/>
      <c r="U34" s="192"/>
      <c r="V34" s="23"/>
      <c r="W34" s="23"/>
      <c r="X34" s="23"/>
      <c r="Y34" s="128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23"/>
      <c r="AO34" s="54">
        <v>26</v>
      </c>
      <c r="AP34" s="322" t="str">
        <f>+Inscrits!D10</f>
        <v>B8</v>
      </c>
      <c r="AQ34" s="286">
        <f t="shared" si="3"/>
        <v>1</v>
      </c>
      <c r="AR34" s="99">
        <f t="shared" si="4"/>
        <v>-5</v>
      </c>
      <c r="AS34" s="219">
        <f t="shared" si="5"/>
        <v>5</v>
      </c>
      <c r="AT34" s="289">
        <f t="shared" si="6"/>
        <v>1</v>
      </c>
      <c r="AU34" s="99">
        <f t="shared" si="7"/>
        <v>-9</v>
      </c>
      <c r="AV34" s="291">
        <f t="shared" si="8"/>
        <v>1</v>
      </c>
      <c r="AW34" s="286">
        <f t="shared" si="9"/>
        <v>1</v>
      </c>
      <c r="AX34" s="99">
        <f t="shared" si="10"/>
        <v>-2</v>
      </c>
      <c r="AY34" s="291">
        <f t="shared" si="11"/>
        <v>9</v>
      </c>
      <c r="AZ34" s="286">
        <f t="shared" si="17"/>
        <v>3</v>
      </c>
      <c r="BA34" s="99">
        <f t="shared" si="12"/>
        <v>-16</v>
      </c>
      <c r="BB34" s="291">
        <f t="shared" si="13"/>
        <v>15</v>
      </c>
      <c r="BC34" s="294">
        <f t="shared" si="14"/>
        <v>-16</v>
      </c>
      <c r="BD34" s="7">
        <f t="shared" si="15"/>
        <v>0</v>
      </c>
      <c r="BE34" s="218">
        <f t="shared" si="16"/>
        <v>26.15850034</v>
      </c>
      <c r="BF34" s="99">
        <f>IF(AP34="","",SMALL(BE$9:BE$62,ROWS(AZ$9:AZ34)))</f>
        <v>26.098100300000002</v>
      </c>
      <c r="BG34" s="88"/>
      <c r="BH34" s="289" t="str">
        <f>IF(OR(AP34="",AZ34=""),"",INDEX($AP$9:$AP$63,MATCH(BF34,$BE$9:BE$62,0)))</f>
        <v>B4</v>
      </c>
      <c r="BI34" s="7">
        <f t="shared" si="0"/>
        <v>3</v>
      </c>
      <c r="BJ34" s="7">
        <f t="shared" si="1"/>
        <v>-10</v>
      </c>
      <c r="BK34" s="7">
        <f t="shared" si="2"/>
        <v>19</v>
      </c>
      <c r="BL34" s="280">
        <f>IF(BF34="","",IF(AND(BI33=BI34,BJ33=BJ34,BK33=BK34),BL33,$BL$9+25))</f>
        <v>26</v>
      </c>
      <c r="BM34" s="29"/>
      <c r="BN34" s="262"/>
    </row>
    <row r="35" spans="1:66" ht="15.7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P35" s="23"/>
      <c r="Q35" s="23"/>
      <c r="R35" s="23"/>
      <c r="S35" s="23"/>
      <c r="T35" s="23"/>
      <c r="U35" s="23"/>
      <c r="V35" s="23"/>
      <c r="W35" s="23"/>
      <c r="X35" s="23"/>
      <c r="Y35" s="446">
        <v>4</v>
      </c>
      <c r="Z35" s="12" t="str">
        <f>+O16</f>
        <v>A7</v>
      </c>
      <c r="AA35" s="33">
        <v>10</v>
      </c>
      <c r="AB35" s="48">
        <f>IF(AA35+AA39=0,0,IF(AA35=AA39,2,IF(AA35&gt;AA39,3,1)))</f>
        <v>3</v>
      </c>
      <c r="AC35" s="13">
        <f>AA35-AA39</f>
        <v>5</v>
      </c>
      <c r="AD35" s="9"/>
      <c r="AE35" s="12" t="str">
        <f>+R16</f>
        <v>A8</v>
      </c>
      <c r="AF35" s="126">
        <v>1</v>
      </c>
      <c r="AG35" s="48">
        <f>IF(AF35+AF39=0,0,IF(AF35=AF39,2,IF(AF35&gt;AF39,3,1)))</f>
        <v>1</v>
      </c>
      <c r="AH35" s="13">
        <f>AF35-AF39</f>
        <v>-9</v>
      </c>
      <c r="AI35" s="9"/>
      <c r="AJ35" s="12" t="str">
        <f>+U16</f>
        <v>A6</v>
      </c>
      <c r="AK35" s="36">
        <v>1</v>
      </c>
      <c r="AL35" s="48">
        <f>IF(AK35+AK39=0,0,IF(AK35=AK39,2,IF(AK35&gt;AK39,3,1)))</f>
        <v>1</v>
      </c>
      <c r="AM35" s="13">
        <f>AK35-AK39</f>
        <v>-7</v>
      </c>
      <c r="AN35" s="23"/>
      <c r="AO35" s="54">
        <v>27</v>
      </c>
      <c r="AP35" s="322" t="str">
        <f>+Inscrits!D11</f>
        <v>B9</v>
      </c>
      <c r="AQ35" s="286">
        <f t="shared" si="3"/>
        <v>3</v>
      </c>
      <c r="AR35" s="99">
        <f t="shared" si="4"/>
        <v>1</v>
      </c>
      <c r="AS35" s="219">
        <f t="shared" si="5"/>
        <v>1</v>
      </c>
      <c r="AT35" s="289">
        <f t="shared" si="6"/>
        <v>1</v>
      </c>
      <c r="AU35" s="99">
        <f t="shared" si="7"/>
        <v>-6</v>
      </c>
      <c r="AV35" s="291">
        <f t="shared" si="8"/>
        <v>7</v>
      </c>
      <c r="AW35" s="286">
        <f t="shared" si="9"/>
        <v>1</v>
      </c>
      <c r="AX35" s="99">
        <f t="shared" si="10"/>
        <v>-7</v>
      </c>
      <c r="AY35" s="291">
        <f t="shared" si="11"/>
        <v>1</v>
      </c>
      <c r="AZ35" s="286">
        <f t="shared" si="17"/>
        <v>5</v>
      </c>
      <c r="BA35" s="99">
        <f t="shared" si="12"/>
        <v>-12</v>
      </c>
      <c r="BB35" s="291">
        <f t="shared" si="13"/>
        <v>9</v>
      </c>
      <c r="BC35" s="294">
        <f t="shared" si="14"/>
        <v>-12</v>
      </c>
      <c r="BD35" s="7">
        <f t="shared" si="15"/>
        <v>0</v>
      </c>
      <c r="BE35" s="218">
        <f t="shared" si="16"/>
        <v>18.11910035</v>
      </c>
      <c r="BF35" s="99">
        <f>IF(AP35="","",SMALL(BE$9:BE$62,ROWS(AZ$9:AZ35)))</f>
        <v>26.108600539999998</v>
      </c>
      <c r="BG35" s="88"/>
      <c r="BH35" s="289" t="str">
        <f>IF(OR(AP35="",AZ35=""),"",INDEX($AP$9:$AP$63,MATCH(BF35,$BE$9:BE$62,0)))</f>
        <v>C10</v>
      </c>
      <c r="BI35" s="7">
        <f t="shared" si="0"/>
        <v>3</v>
      </c>
      <c r="BJ35" s="7">
        <f t="shared" si="1"/>
        <v>-11</v>
      </c>
      <c r="BK35" s="7">
        <f t="shared" si="2"/>
        <v>14</v>
      </c>
      <c r="BL35" s="280">
        <f>IF(BF35="","",IF(AND(BI34=BI35,BJ34=BJ35,BK34=BK35),BL34,$BL$9+26))</f>
        <v>27</v>
      </c>
      <c r="BM35" s="29"/>
      <c r="BN35" s="262"/>
    </row>
    <row r="36" spans="1:66" ht="16.5" thickBo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P36" s="23"/>
      <c r="Q36" s="23"/>
      <c r="R36" s="23"/>
      <c r="S36" s="23"/>
      <c r="T36" s="23"/>
      <c r="U36" s="23"/>
      <c r="V36" s="23"/>
      <c r="W36" s="23"/>
      <c r="X36" s="23"/>
      <c r="Y36" s="447"/>
      <c r="Z36" s="14" t="str">
        <f>+P16</f>
        <v>B7</v>
      </c>
      <c r="AA36" s="17">
        <f>IF(ISTEXT(Z36),AA35,0)</f>
        <v>10</v>
      </c>
      <c r="AB36" s="18">
        <f>IF(ISTEXT(Z36),AB35,0)</f>
        <v>3</v>
      </c>
      <c r="AC36" s="19">
        <f>IF(ISTEXT(Z36),AC35,0)</f>
        <v>5</v>
      </c>
      <c r="AD36" s="9"/>
      <c r="AE36" s="14" t="str">
        <f>+S16</f>
        <v>B8</v>
      </c>
      <c r="AF36" s="17">
        <f>IF(ISTEXT(AE36),AF35,0)</f>
        <v>1</v>
      </c>
      <c r="AG36" s="59">
        <f>IF(ISTEXT(AE36),AG35,0)</f>
        <v>1</v>
      </c>
      <c r="AH36" s="19">
        <f>IF(ISTEXT(AE36),AH35,0)</f>
        <v>-9</v>
      </c>
      <c r="AI36" s="9"/>
      <c r="AJ36" s="14" t="str">
        <f>+V16</f>
        <v>B9</v>
      </c>
      <c r="AK36" s="17">
        <f>IF(ISTEXT(AJ36),AK35,0)</f>
        <v>1</v>
      </c>
      <c r="AL36" s="59">
        <f>IF(ISTEXT(AJ36),AL35,0)</f>
        <v>1</v>
      </c>
      <c r="AM36" s="19">
        <f>IF(ISTEXT(AJ36),AM35,0)</f>
        <v>-7</v>
      </c>
      <c r="AN36" s="23"/>
      <c r="AO36" s="54">
        <v>28</v>
      </c>
      <c r="AP36" s="322" t="str">
        <f>+Inscrits!D12</f>
        <v>B10</v>
      </c>
      <c r="AQ36" s="286">
        <f t="shared" si="3"/>
        <v>1</v>
      </c>
      <c r="AR36" s="99">
        <f t="shared" si="4"/>
        <v>-1</v>
      </c>
      <c r="AS36" s="219" t="str">
        <f t="shared" si="5"/>
        <v>0</v>
      </c>
      <c r="AT36" s="289">
        <f t="shared" si="6"/>
        <v>3</v>
      </c>
      <c r="AU36" s="99">
        <f t="shared" si="7"/>
        <v>9</v>
      </c>
      <c r="AV36" s="291">
        <f t="shared" si="8"/>
        <v>10</v>
      </c>
      <c r="AW36" s="286">
        <f t="shared" si="9"/>
        <v>3</v>
      </c>
      <c r="AX36" s="99">
        <f t="shared" si="10"/>
        <v>7</v>
      </c>
      <c r="AY36" s="291">
        <f t="shared" si="11"/>
        <v>8</v>
      </c>
      <c r="AZ36" s="286">
        <f t="shared" si="17"/>
        <v>7</v>
      </c>
      <c r="BA36" s="99">
        <f t="shared" si="12"/>
        <v>15</v>
      </c>
      <c r="BB36" s="291">
        <f t="shared" si="13"/>
        <v>18</v>
      </c>
      <c r="BC36" s="294">
        <f t="shared" si="14"/>
        <v>0</v>
      </c>
      <c r="BD36" s="7">
        <f t="shared" si="15"/>
        <v>15</v>
      </c>
      <c r="BE36" s="218">
        <f t="shared" si="16"/>
        <v>3.8482003600000003</v>
      </c>
      <c r="BF36" s="99">
        <f>IF(AP36="","",SMALL(BE$9:BE$62,ROWS(AZ$9:AZ36)))</f>
        <v>26.148500119999998</v>
      </c>
      <c r="BG36" s="88"/>
      <c r="BH36" s="289" t="str">
        <f>IF(OR(AP36="",AZ36=""),"",INDEX($AP$9:$AP$63,MATCH(BF36,$BE$9:BE$62,0)))</f>
        <v>A4</v>
      </c>
      <c r="BI36" s="7">
        <f t="shared" si="0"/>
        <v>3</v>
      </c>
      <c r="BJ36" s="7">
        <f t="shared" si="1"/>
        <v>-15</v>
      </c>
      <c r="BK36" s="7">
        <f t="shared" si="2"/>
        <v>15</v>
      </c>
      <c r="BL36" s="280">
        <f>IF(BF36="","",IF(AND(BI35=BI36,BJ35=BJ36,BK35=BK36),BL35,$BL$9+27))</f>
        <v>28</v>
      </c>
      <c r="BM36" s="29"/>
      <c r="BN36" s="262"/>
    </row>
    <row r="37" spans="1:66" ht="15.7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P37" s="23"/>
      <c r="Q37" s="23"/>
      <c r="R37" s="23"/>
      <c r="S37" s="23"/>
      <c r="T37" s="23"/>
      <c r="U37" s="23"/>
      <c r="V37" s="23"/>
      <c r="W37" s="23"/>
      <c r="X37" s="23"/>
      <c r="Y37" s="447"/>
      <c r="Z37" s="14" t="str">
        <f>+Q16</f>
        <v>C7</v>
      </c>
      <c r="AA37" s="71">
        <f>IF(ISTEXT(Z37),AA35,0)</f>
        <v>10</v>
      </c>
      <c r="AB37" s="67">
        <f>IF(ISTEXT(Z37),AB35,0)</f>
        <v>3</v>
      </c>
      <c r="AC37" s="72">
        <f>IF(ISTEXT(Z37),AC35,0)</f>
        <v>5</v>
      </c>
      <c r="AD37" s="9"/>
      <c r="AE37" s="14" t="str">
        <f>+T16</f>
        <v>C8</v>
      </c>
      <c r="AF37" s="71">
        <f>IF(ISTEXT(AE37),AF35,0)</f>
        <v>1</v>
      </c>
      <c r="AG37" s="64">
        <f>IF(ISTEXT(AE37),AG35,0)</f>
        <v>1</v>
      </c>
      <c r="AH37" s="72">
        <f>IF(ISTEXT(AE37),AH35,0)</f>
        <v>-9</v>
      </c>
      <c r="AI37" s="9"/>
      <c r="AJ37" s="14" t="str">
        <f>+W16</f>
        <v>C1</v>
      </c>
      <c r="AK37" s="71">
        <f>IF(ISTEXT(AJ37),AK35,0)</f>
        <v>1</v>
      </c>
      <c r="AL37" s="64">
        <f>IF(ISTEXT(AJ37),AL35,0)</f>
        <v>1</v>
      </c>
      <c r="AM37" s="72">
        <f>IF(ISTEXT(AJ37),AM35,0)</f>
        <v>-7</v>
      </c>
      <c r="AN37" s="23"/>
      <c r="AO37" s="54">
        <v>29</v>
      </c>
      <c r="AP37" s="322" t="str">
        <f>+Inscrits!D13</f>
        <v>B11</v>
      </c>
      <c r="AQ37" s="286" t="str">
        <f t="shared" si="3"/>
        <v xml:space="preserve"> </v>
      </c>
      <c r="AR37" s="99" t="str">
        <f t="shared" si="4"/>
        <v xml:space="preserve"> </v>
      </c>
      <c r="AS37" s="219" t="str">
        <f t="shared" si="5"/>
        <v xml:space="preserve"> </v>
      </c>
      <c r="AT37" s="289" t="str">
        <f t="shared" si="6"/>
        <v xml:space="preserve"> </v>
      </c>
      <c r="AU37" s="99" t="str">
        <f t="shared" si="7"/>
        <v xml:space="preserve"> </v>
      </c>
      <c r="AV37" s="291" t="str">
        <f t="shared" si="8"/>
        <v xml:space="preserve"> </v>
      </c>
      <c r="AW37" s="286" t="str">
        <f t="shared" si="9"/>
        <v xml:space="preserve"> </v>
      </c>
      <c r="AX37" s="99" t="str">
        <f t="shared" si="10"/>
        <v xml:space="preserve"> </v>
      </c>
      <c r="AY37" s="291" t="str">
        <f t="shared" si="11"/>
        <v xml:space="preserve"> </v>
      </c>
      <c r="AZ37" s="286">
        <f t="shared" si="17"/>
        <v>0</v>
      </c>
      <c r="BA37" s="99">
        <f t="shared" si="12"/>
        <v>0</v>
      </c>
      <c r="BB37" s="291">
        <f t="shared" si="13"/>
        <v>0</v>
      </c>
      <c r="BC37" s="294">
        <f t="shared" si="14"/>
        <v>0</v>
      </c>
      <c r="BD37" s="7">
        <f t="shared" si="15"/>
        <v>0</v>
      </c>
      <c r="BE37" s="218">
        <f t="shared" si="16"/>
        <v>31.000000369999999</v>
      </c>
      <c r="BF37" s="99">
        <f>IF(AP37="","",SMALL(BE$9:BE$62,ROWS(AZ$9:AZ37)))</f>
        <v>26.15850034</v>
      </c>
      <c r="BG37" s="88"/>
      <c r="BH37" s="289" t="str">
        <f>IF(OR(AP37="",AZ37=""),"",INDEX($AP$9:$AP$63,MATCH(BF37,$BE$9:BE$62,0)))</f>
        <v>B8</v>
      </c>
      <c r="BI37" s="7">
        <f t="shared" si="0"/>
        <v>3</v>
      </c>
      <c r="BJ37" s="7">
        <f t="shared" si="1"/>
        <v>-16</v>
      </c>
      <c r="BK37" s="7">
        <f t="shared" si="2"/>
        <v>15</v>
      </c>
      <c r="BL37" s="280">
        <f>IF(BF37="","",IF(AND(BI36=BI37,BJ36=BJ37,BK36=BK37),BL36,$BL$9+28))</f>
        <v>29</v>
      </c>
      <c r="BM37" s="29"/>
      <c r="BN37" s="262"/>
    </row>
    <row r="38" spans="1:66" ht="15.7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P38" s="23"/>
      <c r="Q38" s="23"/>
      <c r="R38" s="23"/>
      <c r="S38" s="23"/>
      <c r="T38" s="23"/>
      <c r="U38" s="23"/>
      <c r="V38" s="23"/>
      <c r="W38" s="23"/>
      <c r="X38" s="23"/>
      <c r="Y38" s="447"/>
      <c r="Z38" s="32"/>
      <c r="AA38" s="21" t="s">
        <v>5</v>
      </c>
      <c r="AB38" s="21"/>
      <c r="AC38" s="22"/>
      <c r="AD38" s="1"/>
      <c r="AE38" s="32"/>
      <c r="AF38" s="21" t="s">
        <v>5</v>
      </c>
      <c r="AG38" s="21"/>
      <c r="AH38" s="22"/>
      <c r="AI38" s="1"/>
      <c r="AJ38" s="32"/>
      <c r="AK38" s="21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 t="str">
        <f t="shared" si="3"/>
        <v xml:space="preserve"> </v>
      </c>
      <c r="AR38" s="99" t="str">
        <f t="shared" si="4"/>
        <v xml:space="preserve"> </v>
      </c>
      <c r="AS38" s="219" t="str">
        <f t="shared" si="5"/>
        <v xml:space="preserve"> </v>
      </c>
      <c r="AT38" s="289" t="str">
        <f t="shared" si="6"/>
        <v xml:space="preserve"> </v>
      </c>
      <c r="AU38" s="99" t="str">
        <f t="shared" si="7"/>
        <v xml:space="preserve"> </v>
      </c>
      <c r="AV38" s="291" t="str">
        <f t="shared" si="8"/>
        <v xml:space="preserve"> </v>
      </c>
      <c r="AW38" s="286" t="str">
        <f t="shared" si="9"/>
        <v xml:space="preserve"> </v>
      </c>
      <c r="AX38" s="99" t="str">
        <f t="shared" si="10"/>
        <v xml:space="preserve"> </v>
      </c>
      <c r="AY38" s="291" t="str">
        <f t="shared" si="11"/>
        <v xml:space="preserve"> </v>
      </c>
      <c r="AZ38" s="286">
        <f t="shared" si="17"/>
        <v>0</v>
      </c>
      <c r="BA38" s="99">
        <f t="shared" si="12"/>
        <v>0</v>
      </c>
      <c r="BB38" s="291">
        <f t="shared" si="13"/>
        <v>0</v>
      </c>
      <c r="BC38" s="294">
        <f t="shared" si="14"/>
        <v>0</v>
      </c>
      <c r="BD38" s="7">
        <f t="shared" si="15"/>
        <v>0</v>
      </c>
      <c r="BE38" s="218">
        <f t="shared" si="16"/>
        <v>31.000000379999999</v>
      </c>
      <c r="BF38" s="99">
        <f>IF(AP38="","",SMALL(BE$9:BE$62,ROWS(AZ$9:AZ38)))</f>
        <v>26.178700159999998</v>
      </c>
      <c r="BG38" s="88"/>
      <c r="BH38" s="289" t="str">
        <f>IF(OR(AP38="",AZ38=""),"",INDEX($AP$9:$AP$63,MATCH(BF38,$BE$9:BE$62,0)))</f>
        <v>A8</v>
      </c>
      <c r="BI38" s="7">
        <f t="shared" si="0"/>
        <v>3</v>
      </c>
      <c r="BJ38" s="7">
        <f t="shared" si="1"/>
        <v>-18</v>
      </c>
      <c r="BK38" s="7">
        <f t="shared" si="2"/>
        <v>13</v>
      </c>
      <c r="BL38" s="280">
        <f>IF(BF38="","",IF(AND(BI37=BI38,BJ37=BJ38,BK37=BK38),BL37,$BL$9+29))</f>
        <v>30</v>
      </c>
      <c r="BM38" s="29"/>
      <c r="BN38" s="262"/>
    </row>
    <row r="39" spans="1:66" ht="15.7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P39" s="23"/>
      <c r="Q39" s="23"/>
      <c r="R39" s="23"/>
      <c r="S39" s="23"/>
      <c r="T39" s="23"/>
      <c r="U39" s="23"/>
      <c r="V39" s="23"/>
      <c r="W39" s="23"/>
      <c r="X39" s="23"/>
      <c r="Y39" s="447"/>
      <c r="Z39" s="14" t="str">
        <f>+O17</f>
        <v>A8</v>
      </c>
      <c r="AA39" s="35">
        <v>5</v>
      </c>
      <c r="AB39" s="30">
        <f>IF(AA35+AA39=0,0,IF(AA35=AA39,2,IF(AA35&lt;AA39,3,1)))</f>
        <v>1</v>
      </c>
      <c r="AC39" s="15">
        <f>AA39-AA35</f>
        <v>-5</v>
      </c>
      <c r="AD39" s="9"/>
      <c r="AE39" s="14" t="str">
        <f>+R17</f>
        <v>A9</v>
      </c>
      <c r="AF39" s="127">
        <v>10</v>
      </c>
      <c r="AG39" s="30">
        <f>IF(AF35+AF39=0,0,IF(AF35=AF39,2,IF(AF35&lt;AF39,3,1)))</f>
        <v>3</v>
      </c>
      <c r="AH39" s="15">
        <f>AF39-AF35</f>
        <v>9</v>
      </c>
      <c r="AI39" s="9"/>
      <c r="AJ39" s="14" t="str">
        <f>+U17</f>
        <v>A9</v>
      </c>
      <c r="AK39" s="37">
        <v>8</v>
      </c>
      <c r="AL39" s="30">
        <f>IF(AK35+AK39=0,0,IF(AK35=AK39,2,IF(AK35&lt;AK39,3,1)))</f>
        <v>3</v>
      </c>
      <c r="AM39" s="15">
        <f>AK39-AK35</f>
        <v>7</v>
      </c>
      <c r="AN39" s="23"/>
      <c r="AO39" s="54">
        <v>31</v>
      </c>
      <c r="AP39" s="322" t="str">
        <f>+Inscrits!D15</f>
        <v>B13</v>
      </c>
      <c r="AQ39" s="286" t="str">
        <f t="shared" si="3"/>
        <v xml:space="preserve"> </v>
      </c>
      <c r="AR39" s="99" t="str">
        <f t="shared" si="4"/>
        <v xml:space="preserve"> </v>
      </c>
      <c r="AS39" s="219" t="str">
        <f t="shared" si="5"/>
        <v xml:space="preserve"> </v>
      </c>
      <c r="AT39" s="289" t="str">
        <f t="shared" si="6"/>
        <v xml:space="preserve"> </v>
      </c>
      <c r="AU39" s="99" t="str">
        <f t="shared" si="7"/>
        <v xml:space="preserve"> </v>
      </c>
      <c r="AV39" s="291" t="str">
        <f t="shared" si="8"/>
        <v xml:space="preserve"> </v>
      </c>
      <c r="AW39" s="286" t="str">
        <f t="shared" si="9"/>
        <v xml:space="preserve"> </v>
      </c>
      <c r="AX39" s="99" t="str">
        <f t="shared" si="10"/>
        <v xml:space="preserve"> </v>
      </c>
      <c r="AY39" s="291" t="str">
        <f t="shared" si="11"/>
        <v xml:space="preserve"> </v>
      </c>
      <c r="AZ39" s="286">
        <f t="shared" si="17"/>
        <v>0</v>
      </c>
      <c r="BA39" s="99">
        <f t="shared" si="12"/>
        <v>0</v>
      </c>
      <c r="BB39" s="291">
        <f t="shared" si="13"/>
        <v>0</v>
      </c>
      <c r="BC39" s="294">
        <f t="shared" si="14"/>
        <v>0</v>
      </c>
      <c r="BD39" s="7">
        <f t="shared" si="15"/>
        <v>0</v>
      </c>
      <c r="BE39" s="218">
        <f t="shared" si="16"/>
        <v>31.00000039</v>
      </c>
      <c r="BF39" s="99">
        <f>IF(AP39="","",SMALL(BE$9:BE$62,ROWS(AZ$9:AZ39)))</f>
        <v>31.000000190000002</v>
      </c>
      <c r="BG39" s="88"/>
      <c r="BH39" s="289" t="str">
        <f>IF(OR(AP39="",AZ39=""),"",INDEX($AP$9:$AP$63,MATCH(BF39,$BE$9:BE$62,0)))</f>
        <v>A11</v>
      </c>
      <c r="BI39" s="7">
        <f t="shared" si="0"/>
        <v>0</v>
      </c>
      <c r="BJ39" s="7">
        <f t="shared" si="1"/>
        <v>0</v>
      </c>
      <c r="BK39" s="7">
        <f t="shared" si="2"/>
        <v>0</v>
      </c>
      <c r="BL39" s="280">
        <f>IF(BF39="","",IF(AND(BI38=BI39,BJ38=BJ39,BK38=BK39),BL38,$BL$9+30))</f>
        <v>31</v>
      </c>
      <c r="BM39" s="29"/>
      <c r="BN39" s="262"/>
    </row>
    <row r="40" spans="1:66" ht="16.5" thickBo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P40" s="23"/>
      <c r="Q40" s="23"/>
      <c r="R40" s="23"/>
      <c r="S40" s="23"/>
      <c r="T40" s="23"/>
      <c r="U40" s="23"/>
      <c r="V40" s="23"/>
      <c r="W40" s="23"/>
      <c r="X40" s="23"/>
      <c r="Y40" s="447"/>
      <c r="Z40" s="14" t="str">
        <f>+P17</f>
        <v>B8</v>
      </c>
      <c r="AA40" s="17">
        <f>IF(ISTEXT(Z40),AA39,0)</f>
        <v>5</v>
      </c>
      <c r="AB40" s="18">
        <f>IF(ISTEXT(Z40),AB39,0)</f>
        <v>1</v>
      </c>
      <c r="AC40" s="19">
        <f>IF(ISTEXT(Z40),AC39,0)</f>
        <v>-5</v>
      </c>
      <c r="AD40" s="9"/>
      <c r="AE40" s="14" t="str">
        <f>+S17</f>
        <v>B10</v>
      </c>
      <c r="AF40" s="17">
        <f>IF(ISTEXT(AE40),AF39,0)</f>
        <v>10</v>
      </c>
      <c r="AG40" s="18">
        <f>IF(ISTEXT(AE40),AG39,0)</f>
        <v>3</v>
      </c>
      <c r="AH40" s="19">
        <f>IF(ISTEXT(AE40),AH39,0)</f>
        <v>9</v>
      </c>
      <c r="AI40" s="9"/>
      <c r="AJ40" s="14" t="str">
        <f>+V17</f>
        <v>B10</v>
      </c>
      <c r="AK40" s="17">
        <f>IF(ISTEXT(AJ40),AK39,0)</f>
        <v>8</v>
      </c>
      <c r="AL40" s="18">
        <f>IF(ISTEXT(AJ40),AL39,0)</f>
        <v>3</v>
      </c>
      <c r="AM40" s="19">
        <f>IF(ISTEXT(AJ40),AM39,0)</f>
        <v>7</v>
      </c>
      <c r="AN40" s="23"/>
      <c r="AO40" s="54">
        <v>32</v>
      </c>
      <c r="AP40" s="322" t="str">
        <f>+Inscrits!D16</f>
        <v>B14</v>
      </c>
      <c r="AQ40" s="286" t="str">
        <f t="shared" si="3"/>
        <v xml:space="preserve"> </v>
      </c>
      <c r="AR40" s="99" t="str">
        <f t="shared" si="4"/>
        <v xml:space="preserve"> </v>
      </c>
      <c r="AS40" s="219" t="str">
        <f t="shared" si="5"/>
        <v xml:space="preserve"> </v>
      </c>
      <c r="AT40" s="289" t="str">
        <f t="shared" si="6"/>
        <v xml:space="preserve"> </v>
      </c>
      <c r="AU40" s="99" t="str">
        <f t="shared" si="7"/>
        <v xml:space="preserve"> </v>
      </c>
      <c r="AV40" s="291" t="str">
        <f t="shared" si="8"/>
        <v xml:space="preserve"> </v>
      </c>
      <c r="AW40" s="286" t="str">
        <f t="shared" si="9"/>
        <v xml:space="preserve"> </v>
      </c>
      <c r="AX40" s="99" t="str">
        <f t="shared" si="10"/>
        <v xml:space="preserve"> </v>
      </c>
      <c r="AY40" s="291" t="str">
        <f t="shared" si="11"/>
        <v xml:space="preserve"> </v>
      </c>
      <c r="AZ40" s="286">
        <f t="shared" si="17"/>
        <v>0</v>
      </c>
      <c r="BA40" s="99">
        <f t="shared" si="12"/>
        <v>0</v>
      </c>
      <c r="BB40" s="291">
        <f t="shared" si="13"/>
        <v>0</v>
      </c>
      <c r="BC40" s="294">
        <f t="shared" si="14"/>
        <v>0</v>
      </c>
      <c r="BD40" s="7">
        <f t="shared" si="15"/>
        <v>0</v>
      </c>
      <c r="BE40" s="218">
        <f t="shared" si="16"/>
        <v>31.000000400000001</v>
      </c>
      <c r="BF40" s="99">
        <f>IF(AP40="","",SMALL(BE$9:BE$62,ROWS(AZ$9:AZ40)))</f>
        <v>31.000000199999999</v>
      </c>
      <c r="BG40" s="88"/>
      <c r="BH40" s="289" t="str">
        <f>IF(OR(AP40="",AZ40=""),"",INDEX($AP$9:$AP$63,MATCH(BF40,$BE$9:BE$62,0)))</f>
        <v>A12</v>
      </c>
      <c r="BI40" s="7">
        <f t="shared" si="0"/>
        <v>0</v>
      </c>
      <c r="BJ40" s="7">
        <f t="shared" si="1"/>
        <v>0</v>
      </c>
      <c r="BK40" s="7">
        <f t="shared" si="2"/>
        <v>0</v>
      </c>
      <c r="BL40" s="280">
        <f>IF(BF40="","",IF(AND(BI39=BI40,BJ39=BJ40,BK39=BK40),BL39,$BL$9+31))</f>
        <v>31</v>
      </c>
      <c r="BM40" s="29"/>
      <c r="BN40" s="262"/>
    </row>
    <row r="41" spans="1:66" ht="16.5" thickBo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P41" s="23"/>
      <c r="Q41" s="23"/>
      <c r="R41" s="23"/>
      <c r="S41" s="23"/>
      <c r="T41" s="23"/>
      <c r="U41" s="23"/>
      <c r="V41" s="23"/>
      <c r="W41" s="23"/>
      <c r="X41" s="23"/>
      <c r="Y41" s="448"/>
      <c r="Z41" s="16" t="str">
        <f>+Q17</f>
        <v>C8</v>
      </c>
      <c r="AA41" s="17">
        <f>IF(ISTEXT(Z41),AA39,0)</f>
        <v>5</v>
      </c>
      <c r="AB41" s="18">
        <f>IF(ISTEXT(Z41),AB39,0)</f>
        <v>1</v>
      </c>
      <c r="AC41" s="19">
        <f>IF(ISTEXT(Z41),AC39,0)</f>
        <v>-5</v>
      </c>
      <c r="AD41" s="9"/>
      <c r="AE41" s="16" t="str">
        <f>+T17</f>
        <v>C9</v>
      </c>
      <c r="AF41" s="17">
        <f>IF(ISTEXT(AE41),AF39,0)</f>
        <v>10</v>
      </c>
      <c r="AG41" s="18">
        <f>IF(ISTEXT(AE41),AG39,0)</f>
        <v>3</v>
      </c>
      <c r="AH41" s="19">
        <f>IF(ISTEXT(AE41),AH39,0)</f>
        <v>9</v>
      </c>
      <c r="AI41" s="9"/>
      <c r="AJ41" s="16" t="str">
        <f>+W17</f>
        <v>C4</v>
      </c>
      <c r="AK41" s="17">
        <f>IF(ISTEXT(AJ41),AK39,0)</f>
        <v>8</v>
      </c>
      <c r="AL41" s="18">
        <f>IF(ISTEXT(AJ41),AL39,0)</f>
        <v>3</v>
      </c>
      <c r="AM41" s="19">
        <f>IF(ISTEXT(AJ41),AM39,0)</f>
        <v>7</v>
      </c>
      <c r="AN41" s="23"/>
      <c r="AO41" s="54">
        <v>33</v>
      </c>
      <c r="AP41" s="322" t="str">
        <f>+Inscrits!D17</f>
        <v>B15</v>
      </c>
      <c r="AQ41" s="286" t="str">
        <f t="shared" si="3"/>
        <v xml:space="preserve"> </v>
      </c>
      <c r="AR41" s="99" t="str">
        <f t="shared" si="4"/>
        <v xml:space="preserve"> </v>
      </c>
      <c r="AS41" s="219" t="str">
        <f t="shared" si="5"/>
        <v xml:space="preserve"> </v>
      </c>
      <c r="AT41" s="289" t="str">
        <f t="shared" si="6"/>
        <v xml:space="preserve"> </v>
      </c>
      <c r="AU41" s="99" t="str">
        <f t="shared" si="7"/>
        <v xml:space="preserve"> </v>
      </c>
      <c r="AV41" s="291" t="str">
        <f t="shared" si="8"/>
        <v xml:space="preserve"> </v>
      </c>
      <c r="AW41" s="286" t="str">
        <f t="shared" si="9"/>
        <v xml:space="preserve"> </v>
      </c>
      <c r="AX41" s="99" t="str">
        <f t="shared" si="10"/>
        <v xml:space="preserve"> </v>
      </c>
      <c r="AY41" s="291" t="str">
        <f t="shared" si="11"/>
        <v xml:space="preserve"> </v>
      </c>
      <c r="AZ41" s="286">
        <f t="shared" si="17"/>
        <v>0</v>
      </c>
      <c r="BA41" s="99">
        <f t="shared" si="12"/>
        <v>0</v>
      </c>
      <c r="BB41" s="291">
        <f t="shared" si="13"/>
        <v>0</v>
      </c>
      <c r="BC41" s="294">
        <f t="shared" si="14"/>
        <v>0</v>
      </c>
      <c r="BD41" s="7">
        <f t="shared" si="15"/>
        <v>0</v>
      </c>
      <c r="BE41" s="218">
        <f t="shared" si="16"/>
        <v>31.000000409999998</v>
      </c>
      <c r="BF41" s="99">
        <f>IF(AP41="","",SMALL(BE$9:BE$62,ROWS(AZ$9:AZ41)))</f>
        <v>31.00000021</v>
      </c>
      <c r="BG41" s="88"/>
      <c r="BH41" s="289" t="str">
        <f>IF(OR(AP41="",AZ41=""),"",INDEX($AP$9:$AP$63,MATCH(BF41,$BE$9:BE$62,0)))</f>
        <v>A13</v>
      </c>
      <c r="BI41" s="7">
        <f t="shared" ref="BI41:BI62" si="18">IF(AP41="","",INDEX($AZ$9:$AZ$63,MATCH(BF41,$BE$9:$BE$62,0)))</f>
        <v>0</v>
      </c>
      <c r="BJ41" s="7">
        <f t="shared" ref="BJ41:BJ62" si="19">IF(AP41="","",INDEX($BA$9:$BA$63,MATCH(BF41,$BE$9:$BE$62,0)))</f>
        <v>0</v>
      </c>
      <c r="BK41" s="7">
        <f t="shared" ref="BK41:BK62" si="20">IF(AP41="","",INDEX($BB$9:$BB$63,MATCH(BF41,$BE$9:$BE$62,0)))</f>
        <v>0</v>
      </c>
      <c r="BL41" s="280">
        <f>IF(BF41="","",IF(AND(BI40=BI41,BJ40=BJ41,BK40=BK41),BL40,$BL$9+32))</f>
        <v>31</v>
      </c>
      <c r="BM41" s="29"/>
      <c r="BN41" s="262"/>
    </row>
    <row r="42" spans="1:66" ht="16.5" thickBo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P42" s="23"/>
      <c r="Q42" s="23"/>
      <c r="R42" s="23"/>
      <c r="S42" s="23"/>
      <c r="T42" s="23"/>
      <c r="U42" s="23"/>
      <c r="V42" s="23"/>
      <c r="W42" s="23"/>
      <c r="X42" s="23"/>
      <c r="Y42" s="128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23"/>
      <c r="AO42" s="54">
        <v>34</v>
      </c>
      <c r="AP42" s="322" t="str">
        <f>+Inscrits!D18</f>
        <v>B16</v>
      </c>
      <c r="AQ42" s="286" t="str">
        <f t="shared" si="3"/>
        <v xml:space="preserve"> </v>
      </c>
      <c r="AR42" s="99" t="str">
        <f t="shared" si="4"/>
        <v xml:space="preserve"> </v>
      </c>
      <c r="AS42" s="219" t="str">
        <f t="shared" si="5"/>
        <v xml:space="preserve"> </v>
      </c>
      <c r="AT42" s="289" t="str">
        <f t="shared" si="6"/>
        <v xml:space="preserve"> </v>
      </c>
      <c r="AU42" s="99" t="str">
        <f t="shared" si="7"/>
        <v xml:space="preserve"> </v>
      </c>
      <c r="AV42" s="291" t="str">
        <f t="shared" si="8"/>
        <v xml:space="preserve"> </v>
      </c>
      <c r="AW42" s="286" t="str">
        <f t="shared" si="9"/>
        <v xml:space="preserve"> </v>
      </c>
      <c r="AX42" s="99" t="str">
        <f t="shared" si="10"/>
        <v xml:space="preserve"> </v>
      </c>
      <c r="AY42" s="291" t="str">
        <f t="shared" si="11"/>
        <v xml:space="preserve"> </v>
      </c>
      <c r="AZ42" s="286">
        <f t="shared" si="17"/>
        <v>0</v>
      </c>
      <c r="BA42" s="99">
        <f t="shared" si="12"/>
        <v>0</v>
      </c>
      <c r="BB42" s="291">
        <f t="shared" si="13"/>
        <v>0</v>
      </c>
      <c r="BC42" s="294">
        <f t="shared" si="14"/>
        <v>0</v>
      </c>
      <c r="BD42" s="7">
        <f t="shared" si="15"/>
        <v>0</v>
      </c>
      <c r="BE42" s="218">
        <f t="shared" si="16"/>
        <v>31.000000419999999</v>
      </c>
      <c r="BF42" s="99">
        <f>IF(AP42="","",SMALL(BE$9:BE$62,ROWS(AZ$9:AZ42)))</f>
        <v>31.00000022</v>
      </c>
      <c r="BG42" s="88"/>
      <c r="BH42" s="289" t="str">
        <f>IF(OR(AP42="",AZ42=""),"",INDEX($AP$9:$AP$63,MATCH(BF42,$BE$9:BE$62,0)))</f>
        <v>A14</v>
      </c>
      <c r="BI42" s="7">
        <f t="shared" si="18"/>
        <v>0</v>
      </c>
      <c r="BJ42" s="7">
        <f t="shared" si="19"/>
        <v>0</v>
      </c>
      <c r="BK42" s="7">
        <f t="shared" si="20"/>
        <v>0</v>
      </c>
      <c r="BL42" s="280">
        <f>IF(BF42="","",IF(AND(BI41=BI42,BJ41=BJ42,BK41=BK42),BL41,$BL$9+33))</f>
        <v>31</v>
      </c>
      <c r="BM42" s="29"/>
      <c r="BN42" s="262"/>
    </row>
    <row r="43" spans="1:66" ht="15.7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P43" s="23"/>
      <c r="Q43" s="23"/>
      <c r="R43" s="23"/>
      <c r="S43" s="23"/>
      <c r="T43" s="23"/>
      <c r="U43" s="23"/>
      <c r="V43" s="23"/>
      <c r="W43" s="23"/>
      <c r="X43" s="23"/>
      <c r="Y43" s="446">
        <v>5</v>
      </c>
      <c r="Z43" s="12" t="str">
        <f>+O18</f>
        <v>A9</v>
      </c>
      <c r="AA43" s="33">
        <v>1</v>
      </c>
      <c r="AB43" s="48">
        <f>IF(AA43+AA47=0,0,IF(AA43=AA47,2,IF(AA43&gt;AA47,3,1)))</f>
        <v>3</v>
      </c>
      <c r="AC43" s="13">
        <f>AA43-AA47</f>
        <v>1</v>
      </c>
      <c r="AD43" s="9"/>
      <c r="AE43" s="12" t="str">
        <f>+R18</f>
        <v>A10</v>
      </c>
      <c r="AF43" s="126">
        <v>13</v>
      </c>
      <c r="AG43" s="48">
        <f>IF(AF43+AF47=0,0,IF(AF43=AF47,2,IF(AF43&gt;AF47,3,1)))</f>
        <v>3</v>
      </c>
      <c r="AH43" s="13">
        <f>AF43-AF47</f>
        <v>6</v>
      </c>
      <c r="AI43" s="9"/>
      <c r="AJ43" s="12" t="str">
        <f>+U18</f>
        <v>A8</v>
      </c>
      <c r="AK43" s="36">
        <v>7</v>
      </c>
      <c r="AL43" s="48">
        <f>IF(AK43+AK47=0,0,IF(AK43=AK47,2,IF(AK43&gt;AK47,3,1)))</f>
        <v>1</v>
      </c>
      <c r="AM43" s="13">
        <f>AK43-AK47</f>
        <v>-4</v>
      </c>
      <c r="AN43" s="23"/>
      <c r="AO43" s="54">
        <v>35</v>
      </c>
      <c r="AP43" s="322" t="str">
        <f>+Inscrits!D19</f>
        <v>B17</v>
      </c>
      <c r="AQ43" s="286" t="str">
        <f t="shared" si="3"/>
        <v xml:space="preserve"> </v>
      </c>
      <c r="AR43" s="99" t="str">
        <f t="shared" si="4"/>
        <v xml:space="preserve"> </v>
      </c>
      <c r="AS43" s="219" t="str">
        <f t="shared" si="5"/>
        <v xml:space="preserve"> </v>
      </c>
      <c r="AT43" s="289" t="str">
        <f t="shared" si="6"/>
        <v xml:space="preserve"> </v>
      </c>
      <c r="AU43" s="99" t="str">
        <f t="shared" si="7"/>
        <v xml:space="preserve"> </v>
      </c>
      <c r="AV43" s="291" t="str">
        <f t="shared" si="8"/>
        <v xml:space="preserve"> </v>
      </c>
      <c r="AW43" s="286" t="str">
        <f t="shared" si="9"/>
        <v xml:space="preserve"> </v>
      </c>
      <c r="AX43" s="99" t="str">
        <f t="shared" si="10"/>
        <v xml:space="preserve"> </v>
      </c>
      <c r="AY43" s="291" t="str">
        <f t="shared" si="11"/>
        <v xml:space="preserve"> </v>
      </c>
      <c r="AZ43" s="286">
        <f t="shared" si="17"/>
        <v>0</v>
      </c>
      <c r="BA43" s="99">
        <f t="shared" si="12"/>
        <v>0</v>
      </c>
      <c r="BB43" s="291">
        <f t="shared" si="13"/>
        <v>0</v>
      </c>
      <c r="BC43" s="294">
        <f t="shared" si="14"/>
        <v>0</v>
      </c>
      <c r="BD43" s="7">
        <f t="shared" si="15"/>
        <v>0</v>
      </c>
      <c r="BE43" s="218">
        <f t="shared" si="16"/>
        <v>31.00000043</v>
      </c>
      <c r="BF43" s="99">
        <f>IF(AP43="","",SMALL(BE$9:BE$62,ROWS(AZ$9:AZ43)))</f>
        <v>31.000000230000001</v>
      </c>
      <c r="BG43" s="88"/>
      <c r="BH43" s="289" t="str">
        <f>IF(OR(AP43="",AZ43=""),"",INDEX($AP$9:$AP$63,MATCH(BF43,$BE$9:BE$62,0)))</f>
        <v>A15</v>
      </c>
      <c r="BI43" s="7">
        <f t="shared" si="18"/>
        <v>0</v>
      </c>
      <c r="BJ43" s="7">
        <f t="shared" si="19"/>
        <v>0</v>
      </c>
      <c r="BK43" s="7">
        <f t="shared" si="20"/>
        <v>0</v>
      </c>
      <c r="BL43" s="280">
        <f>IF(BF43="","",IF(AND(BI42=BI43,BJ42=BJ43,BK42=BK43),BL42,$BL$9+34))</f>
        <v>31</v>
      </c>
      <c r="BM43" s="29"/>
      <c r="BN43" s="262"/>
    </row>
    <row r="44" spans="1:66" ht="16.5" thickBo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P44" s="23"/>
      <c r="Q44" s="23"/>
      <c r="R44" s="23"/>
      <c r="S44" s="23"/>
      <c r="T44" s="23"/>
      <c r="U44" s="23"/>
      <c r="V44" s="23"/>
      <c r="W44" s="23"/>
      <c r="X44" s="23"/>
      <c r="Y44" s="447"/>
      <c r="Z44" s="14" t="str">
        <f>+P18</f>
        <v>B9</v>
      </c>
      <c r="AA44" s="17">
        <f>IF(ISTEXT(Z44),AA43,0)</f>
        <v>1</v>
      </c>
      <c r="AB44" s="18">
        <f>IF(ISTEXT(Z44),AB43,0)</f>
        <v>3</v>
      </c>
      <c r="AC44" s="19">
        <f>IF(ISTEXT(Z44),AC43,0)</f>
        <v>1</v>
      </c>
      <c r="AD44" s="9"/>
      <c r="AE44" s="14" t="str">
        <f>+S18</f>
        <v>B1</v>
      </c>
      <c r="AF44" s="17">
        <f>IF(ISTEXT(AE44),AF43,0)</f>
        <v>13</v>
      </c>
      <c r="AG44" s="59">
        <f>IF(ISTEXT(AE44),AG43,0)</f>
        <v>3</v>
      </c>
      <c r="AH44" s="19">
        <f>IF(ISTEXT(AE44),AH43,0)</f>
        <v>6</v>
      </c>
      <c r="AI44" s="9"/>
      <c r="AJ44" s="14" t="str">
        <f>+V18</f>
        <v>B1</v>
      </c>
      <c r="AK44" s="17">
        <f>IF(ISTEXT(AJ44),AK43,0)</f>
        <v>7</v>
      </c>
      <c r="AL44" s="59">
        <f>IF(ISTEXT(AJ44),AL43,0)</f>
        <v>1</v>
      </c>
      <c r="AM44" s="19">
        <f>IF(ISTEXT(AJ44),AM43,0)</f>
        <v>-4</v>
      </c>
      <c r="AN44" s="23"/>
      <c r="AO44" s="54">
        <v>36</v>
      </c>
      <c r="AP44" s="322" t="str">
        <f>+Inscrits!D20</f>
        <v>B18</v>
      </c>
      <c r="AQ44" s="286" t="str">
        <f t="shared" si="3"/>
        <v xml:space="preserve"> </v>
      </c>
      <c r="AR44" s="99" t="str">
        <f t="shared" si="4"/>
        <v xml:space="preserve"> </v>
      </c>
      <c r="AS44" s="219" t="str">
        <f t="shared" si="5"/>
        <v xml:space="preserve"> </v>
      </c>
      <c r="AT44" s="289" t="str">
        <f t="shared" si="6"/>
        <v xml:space="preserve"> </v>
      </c>
      <c r="AU44" s="99" t="str">
        <f t="shared" si="7"/>
        <v xml:space="preserve"> </v>
      </c>
      <c r="AV44" s="291" t="str">
        <f t="shared" si="8"/>
        <v xml:space="preserve"> </v>
      </c>
      <c r="AW44" s="286" t="str">
        <f t="shared" si="9"/>
        <v xml:space="preserve"> </v>
      </c>
      <c r="AX44" s="99" t="str">
        <f t="shared" si="10"/>
        <v xml:space="preserve"> </v>
      </c>
      <c r="AY44" s="291" t="str">
        <f t="shared" si="11"/>
        <v xml:space="preserve"> </v>
      </c>
      <c r="AZ44" s="286">
        <f t="shared" si="17"/>
        <v>0</v>
      </c>
      <c r="BA44" s="99">
        <f t="shared" si="12"/>
        <v>0</v>
      </c>
      <c r="BB44" s="291">
        <f t="shared" si="13"/>
        <v>0</v>
      </c>
      <c r="BC44" s="294">
        <f t="shared" si="14"/>
        <v>0</v>
      </c>
      <c r="BD44" s="7">
        <f t="shared" si="15"/>
        <v>0</v>
      </c>
      <c r="BE44" s="218">
        <f t="shared" si="16"/>
        <v>31.000000440000001</v>
      </c>
      <c r="BF44" s="99">
        <f>IF(AP44="","",SMALL(BE$9:BE$62,ROWS(AZ$9:AZ44)))</f>
        <v>31.000000239999999</v>
      </c>
      <c r="BG44" s="88"/>
      <c r="BH44" s="289" t="str">
        <f>IF(OR(AP44="",AZ44=""),"",INDEX($AP$9:$AP$63,MATCH(BF44,$BE$9:BE$62,0)))</f>
        <v>A16</v>
      </c>
      <c r="BI44" s="7">
        <f t="shared" si="18"/>
        <v>0</v>
      </c>
      <c r="BJ44" s="7">
        <f t="shared" si="19"/>
        <v>0</v>
      </c>
      <c r="BK44" s="7">
        <f t="shared" si="20"/>
        <v>0</v>
      </c>
      <c r="BL44" s="280">
        <f>IF(BF44="","",IF(AND(BI43=BI44,BJ43=BJ44,BK43=BK44),BL43,$BL$9+35))</f>
        <v>31</v>
      </c>
      <c r="BM44" s="29"/>
      <c r="BN44" s="262"/>
    </row>
    <row r="45" spans="1:66" ht="15.7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P45" s="23"/>
      <c r="Q45" s="23"/>
      <c r="R45" s="23"/>
      <c r="S45" s="23"/>
      <c r="T45" s="23"/>
      <c r="U45" s="23"/>
      <c r="V45" s="23"/>
      <c r="W45" s="23"/>
      <c r="X45" s="23"/>
      <c r="Y45" s="447"/>
      <c r="Z45" s="14" t="str">
        <f>+Q18</f>
        <v>C9</v>
      </c>
      <c r="AA45" s="71">
        <f>IF(ISTEXT(Z45),AA43,0)</f>
        <v>1</v>
      </c>
      <c r="AB45" s="67">
        <f>IF(ISTEXT(Z45),AB43,0)</f>
        <v>3</v>
      </c>
      <c r="AC45" s="72">
        <f>IF(ISTEXT(Z45),AC43,0)</f>
        <v>1</v>
      </c>
      <c r="AD45" s="9"/>
      <c r="AE45" s="14" t="str">
        <f>+T18</f>
        <v>C4</v>
      </c>
      <c r="AF45" s="71">
        <f>IF(ISTEXT(AE45),AF43,0)</f>
        <v>13</v>
      </c>
      <c r="AG45" s="64">
        <f>IF(ISTEXT(AE45),AG43,0)</f>
        <v>3</v>
      </c>
      <c r="AH45" s="72">
        <f>IF(ISTEXT(AE45),AH43,0)</f>
        <v>6</v>
      </c>
      <c r="AI45" s="9"/>
      <c r="AJ45" s="14" t="str">
        <f>+W18</f>
        <v>C10</v>
      </c>
      <c r="AK45" s="71">
        <f>IF(ISTEXT(AJ45),AK43,0)</f>
        <v>7</v>
      </c>
      <c r="AL45" s="64">
        <f>IF(ISTEXT(AJ45),AL43,0)</f>
        <v>1</v>
      </c>
      <c r="AM45" s="72">
        <f>IF(ISTEXT(AJ45),AM43,0)</f>
        <v>-4</v>
      </c>
      <c r="AN45" s="23"/>
      <c r="AO45" s="54">
        <v>37</v>
      </c>
      <c r="AP45" s="323" t="str">
        <f>+Inscrits!F3</f>
        <v>C1</v>
      </c>
      <c r="AQ45" s="286">
        <f t="shared" si="3"/>
        <v>1</v>
      </c>
      <c r="AR45" s="99">
        <f t="shared" si="4"/>
        <v>-5</v>
      </c>
      <c r="AS45" s="219">
        <f t="shared" si="5"/>
        <v>5</v>
      </c>
      <c r="AT45" s="289">
        <f t="shared" si="6"/>
        <v>3</v>
      </c>
      <c r="AU45" s="99">
        <f t="shared" si="7"/>
        <v>3</v>
      </c>
      <c r="AV45" s="291">
        <f t="shared" si="8"/>
        <v>8</v>
      </c>
      <c r="AW45" s="286">
        <f t="shared" si="9"/>
        <v>1</v>
      </c>
      <c r="AX45" s="99">
        <f t="shared" si="10"/>
        <v>-7</v>
      </c>
      <c r="AY45" s="291">
        <f t="shared" si="11"/>
        <v>1</v>
      </c>
      <c r="AZ45" s="286">
        <f t="shared" si="17"/>
        <v>5</v>
      </c>
      <c r="BA45" s="99">
        <f t="shared" si="12"/>
        <v>-9</v>
      </c>
      <c r="BB45" s="291">
        <f t="shared" si="13"/>
        <v>14</v>
      </c>
      <c r="BC45" s="294">
        <f t="shared" si="14"/>
        <v>-9</v>
      </c>
      <c r="BD45" s="7">
        <f t="shared" si="15"/>
        <v>0</v>
      </c>
      <c r="BE45" s="218">
        <f t="shared" si="16"/>
        <v>18.088600450000001</v>
      </c>
      <c r="BF45" s="99">
        <f>IF(AP45="","",SMALL(BE$9:BE$62,ROWS(AZ$9:AZ45)))</f>
        <v>31.000000249999999</v>
      </c>
      <c r="BG45" s="88"/>
      <c r="BH45" s="289" t="str">
        <f>IF(OR(AP45="",AZ45=""),"",INDEX($AP$9:$AP$63,MATCH(BF45,$BE$9:BE$62,0)))</f>
        <v>A17</v>
      </c>
      <c r="BI45" s="7">
        <f t="shared" si="18"/>
        <v>0</v>
      </c>
      <c r="BJ45" s="7">
        <f t="shared" si="19"/>
        <v>0</v>
      </c>
      <c r="BK45" s="7">
        <f t="shared" si="20"/>
        <v>0</v>
      </c>
      <c r="BL45" s="280">
        <f>IF(BF45="","",IF(AND(BI44=BI45,BJ44=BJ45,BK44=BK45),BL44,$BL$9+36))</f>
        <v>31</v>
      </c>
      <c r="BM45" s="29"/>
      <c r="BN45" s="262"/>
    </row>
    <row r="46" spans="1:66" ht="15.7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P46" s="23"/>
      <c r="Q46" s="23"/>
      <c r="R46" s="23"/>
      <c r="S46" s="23"/>
      <c r="T46" s="23"/>
      <c r="U46" s="23"/>
      <c r="V46" s="23"/>
      <c r="W46" s="23"/>
      <c r="X46" s="23"/>
      <c r="Y46" s="447"/>
      <c r="Z46" s="32"/>
      <c r="AA46" s="21" t="s">
        <v>5</v>
      </c>
      <c r="AB46" s="21"/>
      <c r="AC46" s="22"/>
      <c r="AD46" s="1"/>
      <c r="AE46" s="32"/>
      <c r="AF46" s="21" t="s">
        <v>5</v>
      </c>
      <c r="AG46" s="21"/>
      <c r="AH46" s="22"/>
      <c r="AI46" s="1"/>
      <c r="AJ46" s="32"/>
      <c r="AK46" s="21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3</v>
      </c>
      <c r="AR46" s="99">
        <f t="shared" si="4"/>
        <v>5</v>
      </c>
      <c r="AS46" s="219">
        <f t="shared" si="5"/>
        <v>10</v>
      </c>
      <c r="AT46" s="289">
        <f t="shared" si="6"/>
        <v>3</v>
      </c>
      <c r="AU46" s="99">
        <f t="shared" si="7"/>
        <v>6</v>
      </c>
      <c r="AV46" s="291">
        <f t="shared" si="8"/>
        <v>11</v>
      </c>
      <c r="AW46" s="286">
        <f t="shared" si="9"/>
        <v>1</v>
      </c>
      <c r="AX46" s="99">
        <f t="shared" si="10"/>
        <v>-3</v>
      </c>
      <c r="AY46" s="291">
        <f t="shared" si="11"/>
        <v>10</v>
      </c>
      <c r="AZ46" s="286">
        <f t="shared" si="17"/>
        <v>7</v>
      </c>
      <c r="BA46" s="99">
        <f t="shared" si="12"/>
        <v>8</v>
      </c>
      <c r="BB46" s="291">
        <f t="shared" si="13"/>
        <v>31</v>
      </c>
      <c r="BC46" s="294">
        <f t="shared" si="14"/>
        <v>0</v>
      </c>
      <c r="BD46" s="7">
        <f t="shared" si="15"/>
        <v>8</v>
      </c>
      <c r="BE46" s="218">
        <f t="shared" si="16"/>
        <v>3.9169004599999999</v>
      </c>
      <c r="BF46" s="99">
        <f>IF(AP46="","",SMALL(BE$9:BE$62,ROWS(AZ$9:AZ46)))</f>
        <v>31.00000026</v>
      </c>
      <c r="BG46" s="88"/>
      <c r="BH46" s="289" t="str">
        <f>IF(OR(AP46="",AZ46=""),"",INDEX($AP$9:$AP$63,MATCH(BF46,$BE$9:BE$62,0)))</f>
        <v>A18</v>
      </c>
      <c r="BI46" s="7">
        <f t="shared" si="18"/>
        <v>0</v>
      </c>
      <c r="BJ46" s="7">
        <f t="shared" si="19"/>
        <v>0</v>
      </c>
      <c r="BK46" s="7">
        <f t="shared" si="20"/>
        <v>0</v>
      </c>
      <c r="BL46" s="280">
        <f>IF(BF46="","",IF(AND(BI45=BI46,BJ45=BJ46,BK45=BK46),BL45,$BL$9+37))</f>
        <v>31</v>
      </c>
      <c r="BM46" s="29"/>
      <c r="BN46" s="262"/>
    </row>
    <row r="47" spans="1:66" ht="15.7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P47" s="23"/>
      <c r="Q47" s="23"/>
      <c r="R47" s="23"/>
      <c r="S47" s="23"/>
      <c r="T47" s="23"/>
      <c r="U47" s="23"/>
      <c r="V47" s="23"/>
      <c r="W47" s="23"/>
      <c r="X47" s="23"/>
      <c r="Y47" s="447"/>
      <c r="Z47" s="14" t="str">
        <f>+O19</f>
        <v>A10</v>
      </c>
      <c r="AA47" s="35">
        <v>0</v>
      </c>
      <c r="AB47" s="30">
        <f>IF(AA43+AA47=0,0,IF(AA43=AA47,2,IF(AA43&lt;AA47,3,1)))</f>
        <v>1</v>
      </c>
      <c r="AC47" s="15">
        <f>AA47-AA43</f>
        <v>-1</v>
      </c>
      <c r="AD47" s="9"/>
      <c r="AE47" s="14" t="str">
        <f>+R19</f>
        <v>A1</v>
      </c>
      <c r="AF47" s="127">
        <v>7</v>
      </c>
      <c r="AG47" s="30">
        <f>IF(AF43+AF47=0,0,IF(AF43=AF47,2,IF(AF43&lt;AF47,3,1)))</f>
        <v>1</v>
      </c>
      <c r="AH47" s="15">
        <f>AF47-AF43</f>
        <v>-6</v>
      </c>
      <c r="AI47" s="9"/>
      <c r="AJ47" s="14" t="str">
        <f>+U19</f>
        <v>A10</v>
      </c>
      <c r="AK47" s="37">
        <v>11</v>
      </c>
      <c r="AL47" s="30">
        <f>IF(AK43+AK47=0,0,IF(AK43=AK47,2,IF(AK43&lt;AK47,3,1)))</f>
        <v>3</v>
      </c>
      <c r="AM47" s="15">
        <f>AK47-AK43</f>
        <v>4</v>
      </c>
      <c r="AN47" s="23"/>
      <c r="AO47" s="54">
        <v>39</v>
      </c>
      <c r="AP47" s="323" t="str">
        <f>+Inscrits!F5</f>
        <v>C3</v>
      </c>
      <c r="AQ47" s="286">
        <f t="shared" si="3"/>
        <v>3</v>
      </c>
      <c r="AR47" s="99">
        <f t="shared" si="4"/>
        <v>4</v>
      </c>
      <c r="AS47" s="219">
        <f t="shared" si="5"/>
        <v>8</v>
      </c>
      <c r="AT47" s="289">
        <f t="shared" si="6"/>
        <v>1</v>
      </c>
      <c r="AU47" s="99">
        <f t="shared" si="7"/>
        <v>-3</v>
      </c>
      <c r="AV47" s="291">
        <f t="shared" si="8"/>
        <v>5</v>
      </c>
      <c r="AW47" s="286">
        <f t="shared" si="9"/>
        <v>3</v>
      </c>
      <c r="AX47" s="99">
        <f t="shared" si="10"/>
        <v>4</v>
      </c>
      <c r="AY47" s="291">
        <f t="shared" si="11"/>
        <v>11</v>
      </c>
      <c r="AZ47" s="286">
        <f t="shared" si="17"/>
        <v>7</v>
      </c>
      <c r="BA47" s="99">
        <f t="shared" si="12"/>
        <v>5</v>
      </c>
      <c r="BB47" s="291">
        <f t="shared" si="13"/>
        <v>24</v>
      </c>
      <c r="BC47" s="294">
        <f t="shared" si="14"/>
        <v>0</v>
      </c>
      <c r="BD47" s="7">
        <f t="shared" si="15"/>
        <v>5</v>
      </c>
      <c r="BE47" s="218">
        <f t="shared" si="16"/>
        <v>3.9476004699999998</v>
      </c>
      <c r="BF47" s="99">
        <f>IF(AP47="","",SMALL(BE$9:BE$62,ROWS(AZ$9:AZ47)))</f>
        <v>31.000000369999999</v>
      </c>
      <c r="BG47" s="88"/>
      <c r="BH47" s="289" t="str">
        <f>IF(OR(AP47="",AZ47=""),"",INDEX($AP$9:$AP$63,MATCH(BF47,$BE$9:BE$62,0)))</f>
        <v>B11</v>
      </c>
      <c r="BI47" s="7">
        <f t="shared" si="18"/>
        <v>0</v>
      </c>
      <c r="BJ47" s="7">
        <f t="shared" si="19"/>
        <v>0</v>
      </c>
      <c r="BK47" s="7">
        <f t="shared" si="20"/>
        <v>0</v>
      </c>
      <c r="BL47" s="280">
        <f>IF(BF47="","",IF(AND(BI46=BI47,BJ46=BJ47,BK46=BK47),BL46,$BL$9+38))</f>
        <v>31</v>
      </c>
      <c r="BM47" s="29"/>
      <c r="BN47" s="262"/>
    </row>
    <row r="48" spans="1:66" ht="16.5" thickBo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P48" s="23"/>
      <c r="Q48" s="23"/>
      <c r="R48" s="23"/>
      <c r="S48" s="23"/>
      <c r="T48" s="23"/>
      <c r="U48" s="23"/>
      <c r="V48" s="23"/>
      <c r="W48" s="23"/>
      <c r="X48" s="23"/>
      <c r="Y48" s="447"/>
      <c r="Z48" s="14" t="str">
        <f>+P19</f>
        <v>B10</v>
      </c>
      <c r="AA48" s="17">
        <f>IF(ISTEXT(Z48),AA47,0)</f>
        <v>0</v>
      </c>
      <c r="AB48" s="18">
        <f>IF(ISTEXT(Z48),AB47,0)</f>
        <v>1</v>
      </c>
      <c r="AC48" s="19">
        <f>IF(ISTEXT(Z48),AC47,0)</f>
        <v>-1</v>
      </c>
      <c r="AD48" s="9"/>
      <c r="AE48" s="14" t="str">
        <f>+S19</f>
        <v>B9</v>
      </c>
      <c r="AF48" s="17">
        <f>IF(ISTEXT(AE48),AF47,0)</f>
        <v>7</v>
      </c>
      <c r="AG48" s="18">
        <f>IF(ISTEXT(AE48),AG47,0)</f>
        <v>1</v>
      </c>
      <c r="AH48" s="19">
        <f>IF(ISTEXT(AE48),AH47,0)</f>
        <v>-6</v>
      </c>
      <c r="AI48" s="9"/>
      <c r="AJ48" s="14" t="str">
        <f>+V19</f>
        <v>B2</v>
      </c>
      <c r="AK48" s="17">
        <f>IF(ISTEXT(AJ48),AK47,0)</f>
        <v>11</v>
      </c>
      <c r="AL48" s="18">
        <f>IF(ISTEXT(AJ48),AL47,0)</f>
        <v>3</v>
      </c>
      <c r="AM48" s="19">
        <f>IF(ISTEXT(AJ48),AM47,0)</f>
        <v>4</v>
      </c>
      <c r="AN48" s="23"/>
      <c r="AO48" s="54">
        <v>40</v>
      </c>
      <c r="AP48" s="323" t="str">
        <f>+Inscrits!F6</f>
        <v>C4</v>
      </c>
      <c r="AQ48" s="286">
        <f t="shared" si="3"/>
        <v>1</v>
      </c>
      <c r="AR48" s="99">
        <f t="shared" si="4"/>
        <v>-4</v>
      </c>
      <c r="AS48" s="219">
        <f t="shared" si="5"/>
        <v>4</v>
      </c>
      <c r="AT48" s="289">
        <f t="shared" si="6"/>
        <v>3</v>
      </c>
      <c r="AU48" s="99">
        <f t="shared" si="7"/>
        <v>6</v>
      </c>
      <c r="AV48" s="291">
        <f t="shared" si="8"/>
        <v>13</v>
      </c>
      <c r="AW48" s="286">
        <f t="shared" si="9"/>
        <v>3</v>
      </c>
      <c r="AX48" s="99">
        <f t="shared" si="10"/>
        <v>7</v>
      </c>
      <c r="AY48" s="291">
        <f t="shared" si="11"/>
        <v>8</v>
      </c>
      <c r="AZ48" s="286">
        <f t="shared" si="17"/>
        <v>7</v>
      </c>
      <c r="BA48" s="99">
        <f t="shared" si="12"/>
        <v>9</v>
      </c>
      <c r="BB48" s="291">
        <f t="shared" si="13"/>
        <v>25</v>
      </c>
      <c r="BC48" s="294">
        <f t="shared" si="14"/>
        <v>0</v>
      </c>
      <c r="BD48" s="7">
        <f t="shared" si="15"/>
        <v>9</v>
      </c>
      <c r="BE48" s="218">
        <f t="shared" si="16"/>
        <v>3.9075004800000004</v>
      </c>
      <c r="BF48" s="99">
        <f>IF(AP48="","",SMALL(BE$9:BE$62,ROWS(AZ$9:AZ48)))</f>
        <v>31.000000379999999</v>
      </c>
      <c r="BG48" s="88"/>
      <c r="BH48" s="289" t="str">
        <f>IF(OR(AP48="",AZ48=""),"",INDEX($AP$9:$AP$63,MATCH(BF48,$BE$9:BE$62,0)))</f>
        <v>B12</v>
      </c>
      <c r="BI48" s="7">
        <f t="shared" si="18"/>
        <v>0</v>
      </c>
      <c r="BJ48" s="7">
        <f t="shared" si="19"/>
        <v>0</v>
      </c>
      <c r="BK48" s="7">
        <f t="shared" si="20"/>
        <v>0</v>
      </c>
      <c r="BL48" s="280">
        <f>IF(BF48="","",IF(AND(BI47=BI48,BJ47=BJ48,BK47=BK48),BL47,$BL$9+39))</f>
        <v>31</v>
      </c>
      <c r="BM48" s="29"/>
      <c r="BN48" s="262"/>
    </row>
    <row r="49" spans="1:66" ht="16.5" thickBo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P49" s="23"/>
      <c r="Q49" s="23"/>
      <c r="R49" s="23"/>
      <c r="S49" s="23"/>
      <c r="T49" s="23"/>
      <c r="U49" s="23"/>
      <c r="V49" s="23"/>
      <c r="W49" s="23"/>
      <c r="X49" s="23"/>
      <c r="Y49" s="448"/>
      <c r="Z49" s="16" t="str">
        <f>+Q19</f>
        <v>C10</v>
      </c>
      <c r="AA49" s="17">
        <f>IF(ISTEXT(Z49),AA47,0)</f>
        <v>0</v>
      </c>
      <c r="AB49" s="18">
        <f>IF(ISTEXT(Z49),AB47,0)</f>
        <v>1</v>
      </c>
      <c r="AC49" s="19">
        <f>IF(ISTEXT(Z49),AC47,0)</f>
        <v>-1</v>
      </c>
      <c r="AD49" s="9"/>
      <c r="AE49" s="16" t="str">
        <f>+T19</f>
        <v>C10</v>
      </c>
      <c r="AF49" s="17">
        <f>IF(ISTEXT(AE49),AF47,0)</f>
        <v>7</v>
      </c>
      <c r="AG49" s="18">
        <f>IF(ISTEXT(AE49),AG47,0)</f>
        <v>1</v>
      </c>
      <c r="AH49" s="19">
        <f>IF(ISTEXT(AE49),AH47,0)</f>
        <v>-6</v>
      </c>
      <c r="AI49" s="9"/>
      <c r="AJ49" s="16" t="str">
        <f>+W19</f>
        <v>C3</v>
      </c>
      <c r="AK49" s="17">
        <f>IF(ISTEXT(AJ49),AK47,0)</f>
        <v>11</v>
      </c>
      <c r="AL49" s="18">
        <f>IF(ISTEXT(AJ49),AL47,0)</f>
        <v>3</v>
      </c>
      <c r="AM49" s="19">
        <f>IF(ISTEXT(AJ49),AM47,0)</f>
        <v>4</v>
      </c>
      <c r="AN49" s="23"/>
      <c r="AO49" s="54">
        <v>41</v>
      </c>
      <c r="AP49" s="323" t="str">
        <f>+Inscrits!F7</f>
        <v>C5</v>
      </c>
      <c r="AQ49" s="286">
        <f t="shared" si="3"/>
        <v>1</v>
      </c>
      <c r="AR49" s="99">
        <f t="shared" si="4"/>
        <v>-10</v>
      </c>
      <c r="AS49" s="219">
        <f t="shared" si="5"/>
        <v>3</v>
      </c>
      <c r="AT49" s="289">
        <f t="shared" si="6"/>
        <v>1</v>
      </c>
      <c r="AU49" s="99">
        <f t="shared" si="7"/>
        <v>-7</v>
      </c>
      <c r="AV49" s="291">
        <f t="shared" si="8"/>
        <v>6</v>
      </c>
      <c r="AW49" s="286">
        <f t="shared" si="9"/>
        <v>3</v>
      </c>
      <c r="AX49" s="99">
        <f t="shared" si="10"/>
        <v>4</v>
      </c>
      <c r="AY49" s="291">
        <f t="shared" si="11"/>
        <v>9</v>
      </c>
      <c r="AZ49" s="286">
        <f t="shared" si="17"/>
        <v>5</v>
      </c>
      <c r="BA49" s="99">
        <f t="shared" si="12"/>
        <v>-13</v>
      </c>
      <c r="BB49" s="291">
        <f t="shared" si="13"/>
        <v>18</v>
      </c>
      <c r="BC49" s="294">
        <f t="shared" si="14"/>
        <v>-13</v>
      </c>
      <c r="BD49" s="7">
        <f t="shared" si="15"/>
        <v>0</v>
      </c>
      <c r="BE49" s="218">
        <f t="shared" si="16"/>
        <v>18.128200490000001</v>
      </c>
      <c r="BF49" s="99">
        <f>IF(AP49="","",SMALL(BE$9:BE$62,ROWS(AZ$9:AZ49)))</f>
        <v>31.00000039</v>
      </c>
      <c r="BG49" s="88"/>
      <c r="BH49" s="289" t="str">
        <f>IF(OR(AP49="",AZ49=""),"",INDEX($AP$9:$AP$63,MATCH(BF49,$BE$9:BE$62,0)))</f>
        <v>B13</v>
      </c>
      <c r="BI49" s="7">
        <f t="shared" si="18"/>
        <v>0</v>
      </c>
      <c r="BJ49" s="7">
        <f t="shared" si="19"/>
        <v>0</v>
      </c>
      <c r="BK49" s="7">
        <f t="shared" si="20"/>
        <v>0</v>
      </c>
      <c r="BL49" s="280">
        <f>IF(BF49="","",IF(AND(BI48=BI49,BJ48=BJ49,BK48=BK49),BL48,$BL$9+40))</f>
        <v>31</v>
      </c>
      <c r="BM49" s="29"/>
      <c r="BN49" s="262"/>
    </row>
    <row r="50" spans="1:66" ht="16.5" thickBo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P50" s="23"/>
      <c r="Q50" s="23"/>
      <c r="R50" s="23"/>
      <c r="S50" s="23"/>
      <c r="T50" s="23"/>
      <c r="U50" s="23"/>
      <c r="V50" s="23"/>
      <c r="W50" s="23"/>
      <c r="X50" s="23"/>
      <c r="Y50" s="128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23"/>
      <c r="AO50" s="54">
        <v>42</v>
      </c>
      <c r="AP50" s="323" t="str">
        <f>+Inscrits!F8</f>
        <v>C6</v>
      </c>
      <c r="AQ50" s="286">
        <f t="shared" si="3"/>
        <v>3</v>
      </c>
      <c r="AR50" s="99">
        <f t="shared" si="4"/>
        <v>10</v>
      </c>
      <c r="AS50" s="219">
        <f t="shared" si="5"/>
        <v>13</v>
      </c>
      <c r="AT50" s="289">
        <f t="shared" si="6"/>
        <v>3</v>
      </c>
      <c r="AU50" s="99">
        <f t="shared" si="7"/>
        <v>7</v>
      </c>
      <c r="AV50" s="291">
        <f t="shared" si="8"/>
        <v>13</v>
      </c>
      <c r="AW50" s="286">
        <f t="shared" si="9"/>
        <v>1</v>
      </c>
      <c r="AX50" s="99">
        <f t="shared" si="10"/>
        <v>-4</v>
      </c>
      <c r="AY50" s="291">
        <f t="shared" si="11"/>
        <v>5</v>
      </c>
      <c r="AZ50" s="286">
        <f t="shared" si="17"/>
        <v>7</v>
      </c>
      <c r="BA50" s="99">
        <f t="shared" si="12"/>
        <v>13</v>
      </c>
      <c r="BB50" s="291">
        <f t="shared" si="13"/>
        <v>31</v>
      </c>
      <c r="BC50" s="294">
        <f t="shared" si="14"/>
        <v>0</v>
      </c>
      <c r="BD50" s="7">
        <f t="shared" si="15"/>
        <v>13</v>
      </c>
      <c r="BE50" s="218">
        <f t="shared" si="16"/>
        <v>3.8669005000000003</v>
      </c>
      <c r="BF50" s="99">
        <f>IF(AP50="","",SMALL(BE$9:BE$62,ROWS(AZ$9:AZ50)))</f>
        <v>31.000000400000001</v>
      </c>
      <c r="BG50" s="88"/>
      <c r="BH50" s="289" t="str">
        <f>IF(OR(AP50="",AZ50=""),"",INDEX($AP$9:$AP$63,MATCH(BF50,$BE$9:BE$62,0)))</f>
        <v>B14</v>
      </c>
      <c r="BI50" s="7">
        <f t="shared" si="18"/>
        <v>0</v>
      </c>
      <c r="BJ50" s="7">
        <f t="shared" si="19"/>
        <v>0</v>
      </c>
      <c r="BK50" s="7">
        <f t="shared" si="20"/>
        <v>0</v>
      </c>
      <c r="BL50" s="280">
        <f>IF(BF50="","",IF(AND(BI49=BI50,BJ49=BJ50,BK49=BK50),BL49,$BL$9+41))</f>
        <v>31</v>
      </c>
      <c r="BM50" s="29"/>
      <c r="BN50" s="262"/>
    </row>
    <row r="51" spans="1:66" ht="15.7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P51" s="23"/>
      <c r="Q51" s="23"/>
      <c r="R51" s="23"/>
      <c r="S51" s="23"/>
      <c r="T51" s="23"/>
      <c r="U51" s="23"/>
      <c r="V51" s="23"/>
      <c r="W51" s="23"/>
      <c r="X51" s="23"/>
      <c r="Y51" s="446">
        <v>6</v>
      </c>
      <c r="Z51" s="12">
        <f>+O20</f>
        <v>0</v>
      </c>
      <c r="AA51" s="33">
        <v>0</v>
      </c>
      <c r="AB51" s="48">
        <f>IF(AA51+AA55=0,0,IF(AA51=AA55,2,IF(AA51&gt;AA55,3,1)))</f>
        <v>0</v>
      </c>
      <c r="AC51" s="13">
        <f>AA51-AA55</f>
        <v>0</v>
      </c>
      <c r="AD51" s="9"/>
      <c r="AE51" s="12">
        <f>+R20</f>
        <v>0</v>
      </c>
      <c r="AF51" s="126">
        <v>0</v>
      </c>
      <c r="AG51" s="48">
        <f>IF(AF51+AF55=0,0,IF(AF51=AF55,2,IF(AF51&gt;AF55,3,1)))</f>
        <v>0</v>
      </c>
      <c r="AH51" s="13">
        <f>AF51-AF55</f>
        <v>0</v>
      </c>
      <c r="AI51" s="9"/>
      <c r="AJ51" s="12">
        <f>+U20</f>
        <v>0</v>
      </c>
      <c r="AK51" s="36">
        <v>0</v>
      </c>
      <c r="AL51" s="48">
        <f>IF(AK51+AK55=0,0,IF(AK51=AK55,2,IF(AK51&gt;AK55,3,1)))</f>
        <v>0</v>
      </c>
      <c r="AM51" s="13">
        <f>AK51-AK55</f>
        <v>0</v>
      </c>
      <c r="AN51" s="23"/>
      <c r="AO51" s="54">
        <v>43</v>
      </c>
      <c r="AP51" s="323" t="str">
        <f>+Inscrits!F9</f>
        <v>C7</v>
      </c>
      <c r="AQ51" s="286">
        <f t="shared" si="3"/>
        <v>3</v>
      </c>
      <c r="AR51" s="99">
        <f t="shared" si="4"/>
        <v>5</v>
      </c>
      <c r="AS51" s="219">
        <f t="shared" si="5"/>
        <v>10</v>
      </c>
      <c r="AT51" s="289">
        <f t="shared" si="6"/>
        <v>1</v>
      </c>
      <c r="AU51" s="99">
        <f t="shared" si="7"/>
        <v>-6</v>
      </c>
      <c r="AV51" s="291">
        <f t="shared" si="8"/>
        <v>5</v>
      </c>
      <c r="AW51" s="286">
        <f t="shared" si="9"/>
        <v>3</v>
      </c>
      <c r="AX51" s="99">
        <f t="shared" si="10"/>
        <v>3</v>
      </c>
      <c r="AY51" s="291">
        <f t="shared" si="11"/>
        <v>13</v>
      </c>
      <c r="AZ51" s="286">
        <f t="shared" si="17"/>
        <v>7</v>
      </c>
      <c r="BA51" s="99">
        <f t="shared" si="12"/>
        <v>2</v>
      </c>
      <c r="BB51" s="291">
        <f t="shared" si="13"/>
        <v>28</v>
      </c>
      <c r="BC51" s="294">
        <f t="shared" si="14"/>
        <v>0</v>
      </c>
      <c r="BD51" s="7">
        <f t="shared" si="15"/>
        <v>2</v>
      </c>
      <c r="BE51" s="218">
        <f t="shared" si="16"/>
        <v>3.9772005099999999</v>
      </c>
      <c r="BF51" s="99">
        <f>IF(AP51="","",SMALL(BE$9:BE$62,ROWS(AZ$9:AZ51)))</f>
        <v>31.000000409999998</v>
      </c>
      <c r="BG51" s="88"/>
      <c r="BH51" s="289" t="str">
        <f>IF(OR(AP51="",AZ51=""),"",INDEX($AP$9:$AP$63,MATCH(BF51,$BE$9:BE$62,0)))</f>
        <v>B15</v>
      </c>
      <c r="BI51" s="7">
        <f t="shared" si="18"/>
        <v>0</v>
      </c>
      <c r="BJ51" s="7">
        <f t="shared" si="19"/>
        <v>0</v>
      </c>
      <c r="BK51" s="7">
        <f t="shared" si="20"/>
        <v>0</v>
      </c>
      <c r="BL51" s="280">
        <f>IF(BF51="","",IF(AND(BI50=BI51,BJ50=BJ51,BK50=BK51),BL50,$BL$9+42))</f>
        <v>31</v>
      </c>
      <c r="BM51" s="29"/>
      <c r="BN51" s="262"/>
    </row>
    <row r="52" spans="1:66" ht="16.5" thickBo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P52" s="23"/>
      <c r="Q52" s="23"/>
      <c r="R52" s="23"/>
      <c r="S52" s="23"/>
      <c r="T52" s="23"/>
      <c r="U52" s="23"/>
      <c r="V52" s="23"/>
      <c r="W52" s="23"/>
      <c r="X52" s="23"/>
      <c r="Y52" s="447"/>
      <c r="Z52" s="14">
        <f>+P20</f>
        <v>0</v>
      </c>
      <c r="AA52" s="17">
        <f>IF(ISTEXT(Z52),AA51,0)</f>
        <v>0</v>
      </c>
      <c r="AB52" s="18">
        <f>IF(ISTEXT(Z52),AB51,0)</f>
        <v>0</v>
      </c>
      <c r="AC52" s="19">
        <f>IF(ISTEXT(Z52),AC51,0)</f>
        <v>0</v>
      </c>
      <c r="AD52" s="9"/>
      <c r="AE52" s="14">
        <f>+S20</f>
        <v>0</v>
      </c>
      <c r="AF52" s="17">
        <f>IF(ISTEXT(AE52),AF51,0)</f>
        <v>0</v>
      </c>
      <c r="AG52" s="59">
        <f>IF(ISTEXT(AE52),AG51,0)</f>
        <v>0</v>
      </c>
      <c r="AH52" s="19">
        <f>IF(ISTEXT(AE52),AH51,0)</f>
        <v>0</v>
      </c>
      <c r="AI52" s="9"/>
      <c r="AJ52" s="14">
        <f>+V20</f>
        <v>0</v>
      </c>
      <c r="AK52" s="17">
        <f>IF(ISTEXT(AJ52),AK51,0)</f>
        <v>0</v>
      </c>
      <c r="AL52" s="59">
        <f>IF(ISTEXT(AJ52),AL51,0)</f>
        <v>0</v>
      </c>
      <c r="AM52" s="19">
        <f>IF(ISTEXT(AJ52),AM51,0)</f>
        <v>0</v>
      </c>
      <c r="AN52" s="23"/>
      <c r="AO52" s="54">
        <v>44</v>
      </c>
      <c r="AP52" s="323" t="str">
        <f>+Inscrits!F10</f>
        <v>C8</v>
      </c>
      <c r="AQ52" s="286">
        <f t="shared" si="3"/>
        <v>1</v>
      </c>
      <c r="AR52" s="99">
        <f t="shared" si="4"/>
        <v>-5</v>
      </c>
      <c r="AS52" s="219">
        <f t="shared" si="5"/>
        <v>5</v>
      </c>
      <c r="AT52" s="289">
        <f t="shared" si="6"/>
        <v>1</v>
      </c>
      <c r="AU52" s="99">
        <f t="shared" si="7"/>
        <v>-9</v>
      </c>
      <c r="AV52" s="291">
        <f t="shared" si="8"/>
        <v>1</v>
      </c>
      <c r="AW52" s="286">
        <f t="shared" si="9"/>
        <v>3</v>
      </c>
      <c r="AX52" s="99">
        <f t="shared" si="10"/>
        <v>2</v>
      </c>
      <c r="AY52" s="291">
        <f t="shared" si="11"/>
        <v>11</v>
      </c>
      <c r="AZ52" s="286">
        <f t="shared" si="17"/>
        <v>5</v>
      </c>
      <c r="BA52" s="99">
        <f t="shared" si="12"/>
        <v>-12</v>
      </c>
      <c r="BB52" s="291">
        <f t="shared" si="13"/>
        <v>17</v>
      </c>
      <c r="BC52" s="294">
        <f t="shared" si="14"/>
        <v>-12</v>
      </c>
      <c r="BD52" s="7">
        <f t="shared" si="15"/>
        <v>0</v>
      </c>
      <c r="BE52" s="218">
        <f t="shared" si="16"/>
        <v>18.118300520000002</v>
      </c>
      <c r="BF52" s="99">
        <f>IF(AP52="","",SMALL(BE$9:BE$62,ROWS(AZ$9:AZ52)))</f>
        <v>31.000000419999999</v>
      </c>
      <c r="BG52" s="88"/>
      <c r="BH52" s="289" t="str">
        <f>IF(OR(AP52="",AZ52=""),"",INDEX($AP$9:$AP$63,MATCH(BF52,$BE$9:BE$62,0)))</f>
        <v>B16</v>
      </c>
      <c r="BI52" s="7">
        <f t="shared" si="18"/>
        <v>0</v>
      </c>
      <c r="BJ52" s="7">
        <f t="shared" si="19"/>
        <v>0</v>
      </c>
      <c r="BK52" s="7">
        <f t="shared" si="20"/>
        <v>0</v>
      </c>
      <c r="BL52" s="280">
        <f>IF(BF52="","",IF(AND(BI51=BI52,BJ51=BJ52,BK51=BK52),BL51,$BL$9+43))</f>
        <v>31</v>
      </c>
      <c r="BM52" s="29"/>
      <c r="BN52" s="262"/>
    </row>
    <row r="53" spans="1:66" ht="15.7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P53" s="23"/>
      <c r="Q53" s="23"/>
      <c r="R53" s="23"/>
      <c r="S53" s="23"/>
      <c r="T53" s="23"/>
      <c r="U53" s="23"/>
      <c r="V53" s="23"/>
      <c r="W53" s="23"/>
      <c r="X53" s="23"/>
      <c r="Y53" s="447"/>
      <c r="Z53" s="14">
        <f>+Q20</f>
        <v>0</v>
      </c>
      <c r="AA53" s="71">
        <f>IF(ISTEXT(Z53),AA51,0)</f>
        <v>0</v>
      </c>
      <c r="AB53" s="67">
        <f>IF(ISTEXT(Z53),AB51,0)</f>
        <v>0</v>
      </c>
      <c r="AC53" s="72">
        <f>IF(ISTEXT(Z53),AC51,0)</f>
        <v>0</v>
      </c>
      <c r="AD53" s="9"/>
      <c r="AE53" s="14">
        <f>+T20</f>
        <v>0</v>
      </c>
      <c r="AF53" s="71">
        <f>IF(ISTEXT(AE53),AF51,0)</f>
        <v>0</v>
      </c>
      <c r="AG53" s="64">
        <f>IF(ISTEXT(AE53),AG51,0)</f>
        <v>0</v>
      </c>
      <c r="AH53" s="72">
        <f>IF(ISTEXT(AE53),AH51,0)</f>
        <v>0</v>
      </c>
      <c r="AI53" s="9"/>
      <c r="AJ53" s="14">
        <f>+W20</f>
        <v>0</v>
      </c>
      <c r="AK53" s="71">
        <f>IF(ISTEXT(AJ53),AK51,0)</f>
        <v>0</v>
      </c>
      <c r="AL53" s="64">
        <f>IF(ISTEXT(AJ53),AL51,0)</f>
        <v>0</v>
      </c>
      <c r="AM53" s="72">
        <f>IF(ISTEXT(AJ53),AM51,0)</f>
        <v>0</v>
      </c>
      <c r="AN53" s="23"/>
      <c r="AO53" s="54">
        <v>45</v>
      </c>
      <c r="AP53" s="323" t="str">
        <f>+Inscrits!F11</f>
        <v>C9</v>
      </c>
      <c r="AQ53" s="286">
        <f t="shared" si="3"/>
        <v>3</v>
      </c>
      <c r="AR53" s="99">
        <f t="shared" si="4"/>
        <v>1</v>
      </c>
      <c r="AS53" s="219">
        <f t="shared" si="5"/>
        <v>1</v>
      </c>
      <c r="AT53" s="289">
        <f t="shared" si="6"/>
        <v>3</v>
      </c>
      <c r="AU53" s="99">
        <f t="shared" si="7"/>
        <v>9</v>
      </c>
      <c r="AV53" s="291">
        <f t="shared" si="8"/>
        <v>10</v>
      </c>
      <c r="AW53" s="286">
        <f t="shared" si="9"/>
        <v>1</v>
      </c>
      <c r="AX53" s="99">
        <f t="shared" si="10"/>
        <v>-2</v>
      </c>
      <c r="AY53" s="291">
        <f t="shared" si="11"/>
        <v>9</v>
      </c>
      <c r="AZ53" s="286">
        <f t="shared" si="17"/>
        <v>7</v>
      </c>
      <c r="BA53" s="99">
        <f t="shared" si="12"/>
        <v>8</v>
      </c>
      <c r="BB53" s="291">
        <f t="shared" si="13"/>
        <v>20</v>
      </c>
      <c r="BC53" s="294">
        <f t="shared" si="14"/>
        <v>0</v>
      </c>
      <c r="BD53" s="7">
        <f t="shared" si="15"/>
        <v>8</v>
      </c>
      <c r="BE53" s="218">
        <f t="shared" si="16"/>
        <v>3.91800053</v>
      </c>
      <c r="BF53" s="99">
        <f>IF(AP53="","",SMALL(BE$9:BE$62,ROWS(AZ$9:AZ53)))</f>
        <v>31.00000043</v>
      </c>
      <c r="BG53" s="88"/>
      <c r="BH53" s="289" t="str">
        <f>IF(OR(AP53="",AZ53=""),"",INDEX($AP$9:$AP$63,MATCH(BF53,$BE$9:BE$62,0)))</f>
        <v>B17</v>
      </c>
      <c r="BI53" s="7">
        <f t="shared" si="18"/>
        <v>0</v>
      </c>
      <c r="BJ53" s="7">
        <f t="shared" si="19"/>
        <v>0</v>
      </c>
      <c r="BK53" s="7">
        <f t="shared" si="20"/>
        <v>0</v>
      </c>
      <c r="BL53" s="280">
        <f>IF(BF53="","",IF(AND(BI52=BI53,BJ52=BJ53,BK52=BK53),BL52,$BL$9+44))</f>
        <v>31</v>
      </c>
      <c r="BM53" s="29"/>
      <c r="BN53" s="262"/>
    </row>
    <row r="54" spans="1:66" ht="15.7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P54" s="23"/>
      <c r="Q54" s="23"/>
      <c r="R54" s="23"/>
      <c r="S54" s="23"/>
      <c r="T54" s="23"/>
      <c r="U54" s="23"/>
      <c r="V54" s="23"/>
      <c r="W54" s="23"/>
      <c r="X54" s="23"/>
      <c r="Y54" s="447"/>
      <c r="Z54" s="32"/>
      <c r="AA54" s="21" t="s">
        <v>5</v>
      </c>
      <c r="AB54" s="21"/>
      <c r="AC54" s="22"/>
      <c r="AD54" s="1"/>
      <c r="AE54" s="32"/>
      <c r="AF54" s="21" t="s">
        <v>5</v>
      </c>
      <c r="AG54" s="21"/>
      <c r="AH54" s="22"/>
      <c r="AI54" s="1"/>
      <c r="AJ54" s="32"/>
      <c r="AK54" s="21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>
        <f t="shared" si="3"/>
        <v>1</v>
      </c>
      <c r="AR54" s="99">
        <f t="shared" si="4"/>
        <v>-1</v>
      </c>
      <c r="AS54" s="219" t="str">
        <f t="shared" si="5"/>
        <v>0</v>
      </c>
      <c r="AT54" s="289">
        <f t="shared" si="6"/>
        <v>1</v>
      </c>
      <c r="AU54" s="99">
        <f t="shared" si="7"/>
        <v>-6</v>
      </c>
      <c r="AV54" s="291">
        <f t="shared" si="8"/>
        <v>7</v>
      </c>
      <c r="AW54" s="286">
        <f t="shared" si="9"/>
        <v>1</v>
      </c>
      <c r="AX54" s="99">
        <f t="shared" si="10"/>
        <v>-4</v>
      </c>
      <c r="AY54" s="291">
        <f t="shared" si="11"/>
        <v>7</v>
      </c>
      <c r="AZ54" s="286">
        <f t="shared" si="17"/>
        <v>3</v>
      </c>
      <c r="BA54" s="99">
        <f t="shared" si="12"/>
        <v>-11</v>
      </c>
      <c r="BB54" s="291">
        <f t="shared" si="13"/>
        <v>14</v>
      </c>
      <c r="BC54" s="294">
        <f t="shared" si="14"/>
        <v>-11</v>
      </c>
      <c r="BD54" s="7">
        <f t="shared" si="15"/>
        <v>0</v>
      </c>
      <c r="BE54" s="218">
        <f t="shared" si="16"/>
        <v>26.108600539999998</v>
      </c>
      <c r="BF54" s="99">
        <f>IF(AP54="","",SMALL(BE$9:BE$62,ROWS(AZ$9:AZ54)))</f>
        <v>31.000000440000001</v>
      </c>
      <c r="BG54" s="88"/>
      <c r="BH54" s="289" t="str">
        <f>IF(OR(AP54="",AZ54=""),"",INDEX($AP$9:$AP$63,MATCH(BF54,$BE$9:BE$62,0)))</f>
        <v>B18</v>
      </c>
      <c r="BI54" s="7">
        <f t="shared" si="18"/>
        <v>0</v>
      </c>
      <c r="BJ54" s="7">
        <f t="shared" si="19"/>
        <v>0</v>
      </c>
      <c r="BK54" s="7">
        <f t="shared" si="20"/>
        <v>0</v>
      </c>
      <c r="BL54" s="280">
        <f>IF(BF54="","",IF(AND(BI53=BI54,BJ53=BJ54,BK53=BK54),BL53,$BL$9+45))</f>
        <v>31</v>
      </c>
      <c r="BM54" s="29"/>
      <c r="BN54" s="262"/>
    </row>
    <row r="55" spans="1:66" ht="15.7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P55" s="23"/>
      <c r="Q55" s="23"/>
      <c r="R55" s="23"/>
      <c r="S55" s="23"/>
      <c r="T55" s="23"/>
      <c r="U55" s="23"/>
      <c r="V55" s="23"/>
      <c r="W55" s="23"/>
      <c r="X55" s="23"/>
      <c r="Y55" s="447"/>
      <c r="Z55" s="14">
        <f>+O21</f>
        <v>0</v>
      </c>
      <c r="AA55" s="35">
        <v>0</v>
      </c>
      <c r="AB55" s="30">
        <f>IF(AA51+AA55=0,0,IF(AA51=AA55,2,IF(AA51&lt;AA55,3,1)))</f>
        <v>0</v>
      </c>
      <c r="AC55" s="15">
        <f>AA55-AA51</f>
        <v>0</v>
      </c>
      <c r="AD55" s="9"/>
      <c r="AE55" s="14">
        <f>+R21</f>
        <v>0</v>
      </c>
      <c r="AF55" s="127">
        <v>0</v>
      </c>
      <c r="AG55" s="30">
        <f>IF(AF51+AF55=0,0,IF(AF51=AF55,2,IF(AF51&lt;AF55,3,1)))</f>
        <v>0</v>
      </c>
      <c r="AH55" s="15">
        <f>AF55-AF51</f>
        <v>0</v>
      </c>
      <c r="AI55" s="9"/>
      <c r="AJ55" s="14">
        <f>+U21</f>
        <v>0</v>
      </c>
      <c r="AK55" s="37">
        <v>0</v>
      </c>
      <c r="AL55" s="30">
        <f>IF(AK51+AK55=0,0,IF(AK51=AK55,2,IF(AK51&lt;AK55,3,1)))</f>
        <v>0</v>
      </c>
      <c r="AM55" s="15">
        <f>AK55-AK51</f>
        <v>0</v>
      </c>
      <c r="AN55" s="23"/>
      <c r="AO55" s="54">
        <v>47</v>
      </c>
      <c r="AP55" s="323" t="str">
        <f>+Inscrits!F13</f>
        <v>C11</v>
      </c>
      <c r="AQ55" s="286" t="str">
        <f t="shared" si="3"/>
        <v xml:space="preserve"> </v>
      </c>
      <c r="AR55" s="99" t="str">
        <f t="shared" si="4"/>
        <v xml:space="preserve"> </v>
      </c>
      <c r="AS55" s="219" t="str">
        <f t="shared" si="5"/>
        <v xml:space="preserve"> </v>
      </c>
      <c r="AT55" s="289" t="str">
        <f t="shared" si="6"/>
        <v xml:space="preserve"> </v>
      </c>
      <c r="AU55" s="99" t="str">
        <f t="shared" si="7"/>
        <v xml:space="preserve"> </v>
      </c>
      <c r="AV55" s="291" t="str">
        <f t="shared" si="8"/>
        <v xml:space="preserve"> </v>
      </c>
      <c r="AW55" s="286" t="str">
        <f t="shared" si="9"/>
        <v xml:space="preserve"> </v>
      </c>
      <c r="AX55" s="99" t="str">
        <f t="shared" si="10"/>
        <v xml:space="preserve"> </v>
      </c>
      <c r="AY55" s="291" t="str">
        <f t="shared" si="11"/>
        <v xml:space="preserve"> </v>
      </c>
      <c r="AZ55" s="286">
        <f t="shared" si="17"/>
        <v>0</v>
      </c>
      <c r="BA55" s="99">
        <f t="shared" si="12"/>
        <v>0</v>
      </c>
      <c r="BB55" s="291">
        <f t="shared" si="13"/>
        <v>0</v>
      </c>
      <c r="BC55" s="294">
        <f t="shared" si="14"/>
        <v>0</v>
      </c>
      <c r="BD55" s="7">
        <f t="shared" si="15"/>
        <v>0</v>
      </c>
      <c r="BE55" s="218">
        <f t="shared" si="16"/>
        <v>31.000000549999999</v>
      </c>
      <c r="BF55" s="99">
        <f>IF(AP55="","",SMALL(BE$9:BE$62,ROWS(AZ$9:AZ55)))</f>
        <v>31.000000549999999</v>
      </c>
      <c r="BG55" s="88"/>
      <c r="BH55" s="289" t="str">
        <f>IF(OR(AP55="",AZ55=""),"",INDEX($AP$9:$AP$63,MATCH(BF55,$BE$9:BE$62,0)))</f>
        <v>C11</v>
      </c>
      <c r="BI55" s="7">
        <f t="shared" si="18"/>
        <v>0</v>
      </c>
      <c r="BJ55" s="7">
        <f t="shared" si="19"/>
        <v>0</v>
      </c>
      <c r="BK55" s="7">
        <f t="shared" si="20"/>
        <v>0</v>
      </c>
      <c r="BL55" s="280">
        <f>IF(BF55="","",IF(AND(BI54=BI55,BJ54=BJ55,BK54=BK55),BL54,$BL$9+46))</f>
        <v>31</v>
      </c>
      <c r="BM55" s="29"/>
      <c r="BN55" s="262"/>
    </row>
    <row r="56" spans="1:66" ht="16.5" thickBot="1">
      <c r="A56" s="128"/>
      <c r="B56" s="23"/>
      <c r="C56" s="23"/>
      <c r="D56" s="23"/>
      <c r="E56" s="23"/>
      <c r="F56" s="23"/>
      <c r="G56" s="23"/>
      <c r="H56" s="23"/>
      <c r="I56" s="25"/>
      <c r="J56" s="128"/>
      <c r="K56" s="128"/>
      <c r="L56" s="128"/>
      <c r="P56" s="23"/>
      <c r="Q56" s="128"/>
      <c r="R56" s="29"/>
      <c r="S56" s="23"/>
      <c r="T56" s="23"/>
      <c r="U56" s="23"/>
      <c r="V56" s="23"/>
      <c r="W56" s="23"/>
      <c r="X56" s="23"/>
      <c r="Y56" s="447"/>
      <c r="Z56" s="14">
        <f>+P21</f>
        <v>0</v>
      </c>
      <c r="AA56" s="17">
        <f>IF(ISTEXT(Z56),AA55,0)</f>
        <v>0</v>
      </c>
      <c r="AB56" s="18">
        <f>IF(ISTEXT(Z56),AB55,0)</f>
        <v>0</v>
      </c>
      <c r="AC56" s="19">
        <f>IF(ISTEXT(Z56),AC55,0)</f>
        <v>0</v>
      </c>
      <c r="AD56" s="9"/>
      <c r="AE56" s="14">
        <f>+S21</f>
        <v>0</v>
      </c>
      <c r="AF56" s="17">
        <f>IF(ISTEXT(AE56),AF55,0)</f>
        <v>0</v>
      </c>
      <c r="AG56" s="18">
        <f>IF(ISTEXT(AE56),AG55,0)</f>
        <v>0</v>
      </c>
      <c r="AH56" s="19">
        <f>IF(ISTEXT(AE56),AH55,0)</f>
        <v>0</v>
      </c>
      <c r="AI56" s="9"/>
      <c r="AJ56" s="14">
        <f>+V21</f>
        <v>0</v>
      </c>
      <c r="AK56" s="17">
        <f>IF(ISTEXT(AJ56),AK55,0)</f>
        <v>0</v>
      </c>
      <c r="AL56" s="18">
        <f>IF(ISTEXT(AJ56),AL55,0)</f>
        <v>0</v>
      </c>
      <c r="AM56" s="19">
        <f>IF(ISTEXT(AJ56),AM55,0)</f>
        <v>0</v>
      </c>
      <c r="AN56" s="23"/>
      <c r="AO56" s="54">
        <v>48</v>
      </c>
      <c r="AP56" s="323" t="str">
        <f>+Inscrits!F14</f>
        <v>C12</v>
      </c>
      <c r="AQ56" s="286" t="str">
        <f t="shared" si="3"/>
        <v xml:space="preserve"> </v>
      </c>
      <c r="AR56" s="99" t="str">
        <f t="shared" si="4"/>
        <v xml:space="preserve"> </v>
      </c>
      <c r="AS56" s="219" t="str">
        <f t="shared" si="5"/>
        <v xml:space="preserve"> </v>
      </c>
      <c r="AT56" s="289" t="str">
        <f t="shared" si="6"/>
        <v xml:space="preserve"> </v>
      </c>
      <c r="AU56" s="99" t="str">
        <f t="shared" si="7"/>
        <v xml:space="preserve"> </v>
      </c>
      <c r="AV56" s="291" t="str">
        <f t="shared" si="8"/>
        <v xml:space="preserve"> </v>
      </c>
      <c r="AW56" s="286" t="str">
        <f t="shared" si="9"/>
        <v xml:space="preserve"> </v>
      </c>
      <c r="AX56" s="99" t="str">
        <f t="shared" si="10"/>
        <v xml:space="preserve"> </v>
      </c>
      <c r="AY56" s="291" t="str">
        <f t="shared" si="11"/>
        <v xml:space="preserve"> </v>
      </c>
      <c r="AZ56" s="286">
        <f t="shared" si="17"/>
        <v>0</v>
      </c>
      <c r="BA56" s="99">
        <f t="shared" si="12"/>
        <v>0</v>
      </c>
      <c r="BB56" s="291">
        <f t="shared" si="13"/>
        <v>0</v>
      </c>
      <c r="BC56" s="294">
        <f t="shared" si="14"/>
        <v>0</v>
      </c>
      <c r="BD56" s="7">
        <f t="shared" si="15"/>
        <v>0</v>
      </c>
      <c r="BE56" s="218">
        <f t="shared" si="16"/>
        <v>31.00000056</v>
      </c>
      <c r="BF56" s="99">
        <f>IF(AP56="","",SMALL(BE$9:BE$62,ROWS(AZ$9:AZ56)))</f>
        <v>31.00000056</v>
      </c>
      <c r="BG56" s="88"/>
      <c r="BH56" s="289" t="str">
        <f>IF(OR(AP56="",AZ56=""),"",INDEX($AP$9:$AP$63,MATCH(BF56,$BE$9:BE$62,0)))</f>
        <v>C12</v>
      </c>
      <c r="BI56" s="7">
        <f t="shared" si="18"/>
        <v>0</v>
      </c>
      <c r="BJ56" s="7">
        <f t="shared" si="19"/>
        <v>0</v>
      </c>
      <c r="BK56" s="7">
        <f t="shared" si="20"/>
        <v>0</v>
      </c>
      <c r="BL56" s="280">
        <f>IF(BF56="","",IF(AND(BI55=BI56,BJ55=BJ56,BK55=BK56),BL55,$BL$9+47))</f>
        <v>31</v>
      </c>
      <c r="BM56" s="29"/>
      <c r="BN56" s="262"/>
    </row>
    <row r="57" spans="1:66" ht="16.5" thickBot="1">
      <c r="A57" s="128"/>
      <c r="B57" s="23"/>
      <c r="C57" s="23"/>
      <c r="D57" s="23"/>
      <c r="E57" s="23"/>
      <c r="F57" s="23"/>
      <c r="G57" s="23"/>
      <c r="H57" s="23"/>
      <c r="I57" s="25"/>
      <c r="J57" s="128"/>
      <c r="K57" s="128"/>
      <c r="L57" s="128"/>
      <c r="P57" s="23"/>
      <c r="Q57" s="128"/>
      <c r="R57" s="29"/>
      <c r="S57" s="23"/>
      <c r="T57" s="23"/>
      <c r="U57" s="23"/>
      <c r="V57" s="23"/>
      <c r="W57" s="23"/>
      <c r="X57" s="23"/>
      <c r="Y57" s="448"/>
      <c r="Z57" s="16">
        <f>+Q21</f>
        <v>0</v>
      </c>
      <c r="AA57" s="17">
        <f>IF(ISTEXT(Z57),AA55,0)</f>
        <v>0</v>
      </c>
      <c r="AB57" s="18">
        <f>IF(ISTEXT(Z57),AB55,0)</f>
        <v>0</v>
      </c>
      <c r="AC57" s="19">
        <f>IF(ISTEXT(Z57),AC55,0)</f>
        <v>0</v>
      </c>
      <c r="AD57" s="9"/>
      <c r="AE57" s="16">
        <f>+T21</f>
        <v>0</v>
      </c>
      <c r="AF57" s="17">
        <f>IF(ISTEXT(AE57),AF55,0)</f>
        <v>0</v>
      </c>
      <c r="AG57" s="18">
        <f>IF(ISTEXT(AE57),AG55,0)</f>
        <v>0</v>
      </c>
      <c r="AH57" s="19">
        <f>IF(ISTEXT(AE57),AH55,0)</f>
        <v>0</v>
      </c>
      <c r="AI57" s="9"/>
      <c r="AJ57" s="16">
        <f>+W21</f>
        <v>0</v>
      </c>
      <c r="AK57" s="17">
        <f>IF(ISTEXT(AJ57),AK55,0)</f>
        <v>0</v>
      </c>
      <c r="AL57" s="18">
        <f>IF(ISTEXT(AJ57),AL55,0)</f>
        <v>0</v>
      </c>
      <c r="AM57" s="19">
        <f>IF(ISTEXT(AJ57),AM55,0)</f>
        <v>0</v>
      </c>
      <c r="AN57" s="23"/>
      <c r="AO57" s="54">
        <v>49</v>
      </c>
      <c r="AP57" s="323" t="str">
        <f>+Inscrits!F15</f>
        <v>C13</v>
      </c>
      <c r="AQ57" s="286" t="str">
        <f t="shared" si="3"/>
        <v xml:space="preserve"> </v>
      </c>
      <c r="AR57" s="99" t="str">
        <f t="shared" si="4"/>
        <v xml:space="preserve"> </v>
      </c>
      <c r="AS57" s="219" t="str">
        <f t="shared" si="5"/>
        <v xml:space="preserve"> </v>
      </c>
      <c r="AT57" s="289" t="str">
        <f t="shared" si="6"/>
        <v xml:space="preserve"> </v>
      </c>
      <c r="AU57" s="99" t="str">
        <f t="shared" si="7"/>
        <v xml:space="preserve"> </v>
      </c>
      <c r="AV57" s="291" t="str">
        <f t="shared" si="8"/>
        <v xml:space="preserve"> </v>
      </c>
      <c r="AW57" s="286" t="str">
        <f t="shared" si="9"/>
        <v xml:space="preserve"> </v>
      </c>
      <c r="AX57" s="99" t="str">
        <f t="shared" si="10"/>
        <v xml:space="preserve"> </v>
      </c>
      <c r="AY57" s="291" t="str">
        <f t="shared" si="11"/>
        <v xml:space="preserve"> </v>
      </c>
      <c r="AZ57" s="286">
        <f t="shared" si="17"/>
        <v>0</v>
      </c>
      <c r="BA57" s="99">
        <f t="shared" si="12"/>
        <v>0</v>
      </c>
      <c r="BB57" s="291">
        <f t="shared" si="13"/>
        <v>0</v>
      </c>
      <c r="BC57" s="294">
        <f t="shared" si="14"/>
        <v>0</v>
      </c>
      <c r="BD57" s="7">
        <f t="shared" si="15"/>
        <v>0</v>
      </c>
      <c r="BE57" s="218">
        <f t="shared" si="16"/>
        <v>31.000000570000001</v>
      </c>
      <c r="BF57" s="99">
        <f>IF(AP57="","",SMALL(BE$9:BE$62,ROWS(AZ$9:AZ57)))</f>
        <v>31.000000570000001</v>
      </c>
      <c r="BG57" s="88"/>
      <c r="BH57" s="289" t="str">
        <f>IF(OR(AP57="",AZ57=""),"",INDEX($AP$9:$AP$63,MATCH(BF57,$BE$9:BE$62,0)))</f>
        <v>C13</v>
      </c>
      <c r="BI57" s="7">
        <f t="shared" si="18"/>
        <v>0</v>
      </c>
      <c r="BJ57" s="7">
        <f t="shared" si="19"/>
        <v>0</v>
      </c>
      <c r="BK57" s="7">
        <f t="shared" si="20"/>
        <v>0</v>
      </c>
      <c r="BL57" s="280">
        <f>IF(BF57="","",IF(AND(BI56=BI57,BJ56=BJ57,BK56=BK57),BL56,$BL$9+48))</f>
        <v>31</v>
      </c>
      <c r="BM57" s="29"/>
      <c r="BN57" s="262"/>
    </row>
    <row r="58" spans="1:66" ht="16.5" thickBot="1">
      <c r="A58" s="128"/>
      <c r="B58" s="23"/>
      <c r="C58" s="23"/>
      <c r="D58" s="23"/>
      <c r="E58" s="23"/>
      <c r="F58" s="128"/>
      <c r="G58" s="128"/>
      <c r="H58" s="23"/>
      <c r="I58" s="25"/>
      <c r="J58" s="128"/>
      <c r="K58" s="128"/>
      <c r="L58" s="128"/>
      <c r="P58" s="23"/>
      <c r="Q58" s="128"/>
      <c r="R58" s="29"/>
      <c r="S58" s="23"/>
      <c r="T58" s="23"/>
      <c r="U58" s="23"/>
      <c r="V58" s="23"/>
      <c r="W58" s="23"/>
      <c r="X58" s="23"/>
      <c r="Y58" s="128"/>
      <c r="Z58" s="70"/>
      <c r="AA58" s="70"/>
      <c r="AB58" s="70"/>
      <c r="AC58" s="70"/>
      <c r="AD58" s="73"/>
      <c r="AE58" s="73"/>
      <c r="AF58" s="73"/>
      <c r="AG58" s="70"/>
      <c r="AH58" s="70"/>
      <c r="AI58" s="73"/>
      <c r="AJ58" s="73"/>
      <c r="AK58" s="70"/>
      <c r="AL58" s="70"/>
      <c r="AM58" s="70"/>
      <c r="AN58" s="23"/>
      <c r="AO58" s="54">
        <v>50</v>
      </c>
      <c r="AP58" s="323" t="str">
        <f>+Inscrits!F16</f>
        <v>C14</v>
      </c>
      <c r="AQ58" s="286" t="str">
        <f t="shared" si="3"/>
        <v xml:space="preserve"> </v>
      </c>
      <c r="AR58" s="99" t="str">
        <f t="shared" si="4"/>
        <v xml:space="preserve"> </v>
      </c>
      <c r="AS58" s="219" t="str">
        <f t="shared" si="5"/>
        <v xml:space="preserve"> </v>
      </c>
      <c r="AT58" s="289" t="str">
        <f t="shared" si="6"/>
        <v xml:space="preserve"> </v>
      </c>
      <c r="AU58" s="99" t="str">
        <f t="shared" si="7"/>
        <v xml:space="preserve"> </v>
      </c>
      <c r="AV58" s="291" t="str">
        <f t="shared" si="8"/>
        <v xml:space="preserve"> </v>
      </c>
      <c r="AW58" s="286" t="str">
        <f t="shared" si="9"/>
        <v xml:space="preserve"> </v>
      </c>
      <c r="AX58" s="99" t="str">
        <f t="shared" si="10"/>
        <v xml:space="preserve"> </v>
      </c>
      <c r="AY58" s="291" t="str">
        <f t="shared" si="11"/>
        <v xml:space="preserve"> </v>
      </c>
      <c r="AZ58" s="286">
        <f t="shared" si="17"/>
        <v>0</v>
      </c>
      <c r="BA58" s="99">
        <f t="shared" si="12"/>
        <v>0</v>
      </c>
      <c r="BB58" s="291">
        <f t="shared" si="13"/>
        <v>0</v>
      </c>
      <c r="BC58" s="294">
        <f t="shared" si="14"/>
        <v>0</v>
      </c>
      <c r="BD58" s="7">
        <f t="shared" si="15"/>
        <v>0</v>
      </c>
      <c r="BE58" s="218">
        <f t="shared" si="16"/>
        <v>31.000000579999998</v>
      </c>
      <c r="BF58" s="99">
        <f>IF(AP58="","",SMALL(BE$9:BE$62,ROWS(AZ$9:AZ58)))</f>
        <v>31.000000579999998</v>
      </c>
      <c r="BG58" s="88"/>
      <c r="BH58" s="289" t="str">
        <f>IF(OR(AP58="",AZ58=""),"",INDEX($AP$9:$AP$63,MATCH(BF58,$BE$9:BE$62,0)))</f>
        <v>C14</v>
      </c>
      <c r="BI58" s="7">
        <f t="shared" si="18"/>
        <v>0</v>
      </c>
      <c r="BJ58" s="7">
        <f t="shared" si="19"/>
        <v>0</v>
      </c>
      <c r="BK58" s="7">
        <f t="shared" si="20"/>
        <v>0</v>
      </c>
      <c r="BL58" s="280">
        <f>IF(BF58="","",IF(AND(BI57=BI58,BJ57=BJ58,BK57=BK58),BL57,$BL$9+49))</f>
        <v>31</v>
      </c>
      <c r="BM58" s="29"/>
      <c r="BN58" s="262"/>
    </row>
    <row r="59" spans="1:66" ht="15.75">
      <c r="A59" s="128"/>
      <c r="B59" s="23"/>
      <c r="C59" s="23"/>
      <c r="D59" s="23"/>
      <c r="E59" s="23"/>
      <c r="F59" s="128"/>
      <c r="G59" s="128"/>
      <c r="H59" s="23"/>
      <c r="I59" s="25"/>
      <c r="J59" s="128"/>
      <c r="K59" s="128"/>
      <c r="L59" s="128"/>
      <c r="P59" s="23"/>
      <c r="Q59" s="128"/>
      <c r="R59" s="29"/>
      <c r="S59" s="23"/>
      <c r="T59" s="23"/>
      <c r="U59" s="23"/>
      <c r="V59" s="23"/>
      <c r="W59" s="23"/>
      <c r="X59" s="23"/>
      <c r="Y59" s="446">
        <v>7</v>
      </c>
      <c r="Z59" s="12">
        <f>+O22</f>
        <v>0</v>
      </c>
      <c r="AA59" s="33">
        <v>0</v>
      </c>
      <c r="AB59" s="48">
        <f>IF(AA59+AA63=0,0,IF(AA59=AA63,2,IF(AA59&gt;AA63,3,1)))</f>
        <v>0</v>
      </c>
      <c r="AC59" s="13">
        <f>AA59-AA63</f>
        <v>0</v>
      </c>
      <c r="AD59" s="9"/>
      <c r="AE59" s="12">
        <f>+R22</f>
        <v>0</v>
      </c>
      <c r="AF59" s="126">
        <v>0</v>
      </c>
      <c r="AG59" s="48">
        <f>IF(AF59+AF63=0,0,IF(AF59=AF63,2,IF(AF59&gt;AF63,3,1)))</f>
        <v>0</v>
      </c>
      <c r="AH59" s="13">
        <f>AF59-AF63</f>
        <v>0</v>
      </c>
      <c r="AI59" s="9"/>
      <c r="AJ59" s="12">
        <f>+U22</f>
        <v>0</v>
      </c>
      <c r="AK59" s="36">
        <v>0</v>
      </c>
      <c r="AL59" s="48">
        <f>IF(AK59+AK63=0,0,IF(AK59=AK63,2,IF(AK59&gt;AK63,3,1)))</f>
        <v>0</v>
      </c>
      <c r="AM59" s="13">
        <f>AK59-AK63</f>
        <v>0</v>
      </c>
      <c r="AN59" s="23"/>
      <c r="AO59" s="54">
        <v>51</v>
      </c>
      <c r="AP59" s="323" t="str">
        <f>+Inscrits!F17</f>
        <v>C15</v>
      </c>
      <c r="AQ59" s="286" t="str">
        <f t="shared" si="3"/>
        <v xml:space="preserve"> </v>
      </c>
      <c r="AR59" s="99" t="str">
        <f t="shared" si="4"/>
        <v xml:space="preserve"> </v>
      </c>
      <c r="AS59" s="219" t="str">
        <f t="shared" si="5"/>
        <v xml:space="preserve"> </v>
      </c>
      <c r="AT59" s="289" t="str">
        <f t="shared" si="6"/>
        <v xml:space="preserve"> </v>
      </c>
      <c r="AU59" s="99" t="str">
        <f t="shared" si="7"/>
        <v xml:space="preserve"> </v>
      </c>
      <c r="AV59" s="291" t="str">
        <f t="shared" si="8"/>
        <v xml:space="preserve"> </v>
      </c>
      <c r="AW59" s="286" t="str">
        <f t="shared" si="9"/>
        <v xml:space="preserve"> </v>
      </c>
      <c r="AX59" s="99" t="str">
        <f t="shared" si="10"/>
        <v xml:space="preserve"> </v>
      </c>
      <c r="AY59" s="291" t="str">
        <f t="shared" si="11"/>
        <v xml:space="preserve"> </v>
      </c>
      <c r="AZ59" s="286">
        <f t="shared" si="17"/>
        <v>0</v>
      </c>
      <c r="BA59" s="99">
        <f t="shared" si="12"/>
        <v>0</v>
      </c>
      <c r="BB59" s="291">
        <f t="shared" si="13"/>
        <v>0</v>
      </c>
      <c r="BC59" s="294">
        <f t="shared" si="14"/>
        <v>0</v>
      </c>
      <c r="BD59" s="7">
        <f t="shared" si="15"/>
        <v>0</v>
      </c>
      <c r="BE59" s="218">
        <f t="shared" si="16"/>
        <v>31.000000589999999</v>
      </c>
      <c r="BF59" s="99">
        <f>IF(AP59="","",SMALL(BE$9:BE$62,ROWS(AZ$9:AZ59)))</f>
        <v>31.000000589999999</v>
      </c>
      <c r="BG59" s="88"/>
      <c r="BH59" s="289" t="str">
        <f>IF(OR(AP59="",AZ59=""),"",INDEX($AP$9:$AP$63,MATCH(BF59,$BE$9:BE$62,0)))</f>
        <v>C15</v>
      </c>
      <c r="BI59" s="7">
        <f t="shared" si="18"/>
        <v>0</v>
      </c>
      <c r="BJ59" s="7">
        <f t="shared" si="19"/>
        <v>0</v>
      </c>
      <c r="BK59" s="7">
        <f t="shared" si="20"/>
        <v>0</v>
      </c>
      <c r="BL59" s="280">
        <f>IF(BF59="","",IF(AND(BI58=BI59,BJ58=BJ59,BK58=BK59),BL58,$BL$9+50))</f>
        <v>31</v>
      </c>
      <c r="BM59" s="29"/>
      <c r="BN59" s="262"/>
    </row>
    <row r="60" spans="1:66" ht="16.5" thickBot="1">
      <c r="A60" s="128"/>
      <c r="B60" s="29"/>
      <c r="C60" s="29"/>
      <c r="D60" s="128"/>
      <c r="E60" s="128"/>
      <c r="F60" s="128"/>
      <c r="G60" s="128"/>
      <c r="H60" s="23"/>
      <c r="I60" s="25"/>
      <c r="J60" s="128"/>
      <c r="K60" s="128"/>
      <c r="L60" s="128"/>
      <c r="P60" s="23"/>
      <c r="Q60" s="128"/>
      <c r="R60" s="29"/>
      <c r="S60" s="29"/>
      <c r="T60" s="29"/>
      <c r="U60" s="23"/>
      <c r="V60" s="23"/>
      <c r="W60" s="23"/>
      <c r="X60" s="23"/>
      <c r="Y60" s="447"/>
      <c r="Z60" s="14">
        <f>+P22</f>
        <v>0</v>
      </c>
      <c r="AA60" s="17">
        <f>IF(ISTEXT(Z60),AA59,0)</f>
        <v>0</v>
      </c>
      <c r="AB60" s="18">
        <f>IF(ISTEXT(Z60),AB59,0)</f>
        <v>0</v>
      </c>
      <c r="AC60" s="19">
        <f>IF(ISTEXT(Z60),AC59,0)</f>
        <v>0</v>
      </c>
      <c r="AD60" s="9"/>
      <c r="AE60" s="14">
        <f>+S22</f>
        <v>0</v>
      </c>
      <c r="AF60" s="17">
        <f>IF(ISTEXT(AE60),AF59,0)</f>
        <v>0</v>
      </c>
      <c r="AG60" s="59">
        <f>IF(ISTEXT(AE60),AG59,0)</f>
        <v>0</v>
      </c>
      <c r="AH60" s="19">
        <f>IF(ISTEXT(AE60),AH59,0)</f>
        <v>0</v>
      </c>
      <c r="AI60" s="9"/>
      <c r="AJ60" s="14">
        <f>+V22</f>
        <v>0</v>
      </c>
      <c r="AK60" s="17">
        <f>IF(ISTEXT(AJ60),AK59,0)</f>
        <v>0</v>
      </c>
      <c r="AL60" s="59">
        <f>IF(ISTEXT(AJ60),AL59,0)</f>
        <v>0</v>
      </c>
      <c r="AM60" s="19">
        <f>IF(ISTEXT(AJ60),AM59,0)</f>
        <v>0</v>
      </c>
      <c r="AN60" s="23"/>
      <c r="AO60" s="54">
        <v>52</v>
      </c>
      <c r="AP60" s="323" t="str">
        <f>+Inscrits!F18</f>
        <v>C16</v>
      </c>
      <c r="AQ60" s="286" t="str">
        <f t="shared" si="3"/>
        <v xml:space="preserve"> </v>
      </c>
      <c r="AR60" s="99" t="str">
        <f t="shared" si="4"/>
        <v xml:space="preserve"> </v>
      </c>
      <c r="AS60" s="219" t="str">
        <f t="shared" si="5"/>
        <v xml:space="preserve"> </v>
      </c>
      <c r="AT60" s="289" t="str">
        <f t="shared" si="6"/>
        <v xml:space="preserve"> </v>
      </c>
      <c r="AU60" s="99" t="str">
        <f t="shared" si="7"/>
        <v xml:space="preserve"> </v>
      </c>
      <c r="AV60" s="291" t="str">
        <f t="shared" si="8"/>
        <v xml:space="preserve"> </v>
      </c>
      <c r="AW60" s="286" t="str">
        <f t="shared" si="9"/>
        <v xml:space="preserve"> </v>
      </c>
      <c r="AX60" s="99" t="str">
        <f t="shared" si="10"/>
        <v xml:space="preserve"> </v>
      </c>
      <c r="AY60" s="291" t="str">
        <f t="shared" si="11"/>
        <v xml:space="preserve"> </v>
      </c>
      <c r="AZ60" s="286">
        <f t="shared" si="17"/>
        <v>0</v>
      </c>
      <c r="BA60" s="99">
        <f t="shared" si="12"/>
        <v>0</v>
      </c>
      <c r="BB60" s="291">
        <f t="shared" si="13"/>
        <v>0</v>
      </c>
      <c r="BC60" s="294">
        <f t="shared" si="14"/>
        <v>0</v>
      </c>
      <c r="BD60" s="7">
        <f t="shared" si="15"/>
        <v>0</v>
      </c>
      <c r="BE60" s="218">
        <f t="shared" si="16"/>
        <v>31.0000006</v>
      </c>
      <c r="BF60" s="99">
        <f>IF(AP60="","",SMALL(BE$9:BE$62,ROWS(AZ$9:AZ60)))</f>
        <v>31.0000006</v>
      </c>
      <c r="BG60" s="88"/>
      <c r="BH60" s="289" t="str">
        <f>IF(OR(AP60="",AZ60=""),"",INDEX($AP$9:$AP$63,MATCH(BF60,$BE$9:BE$62,0)))</f>
        <v>C16</v>
      </c>
      <c r="BI60" s="7">
        <f t="shared" si="18"/>
        <v>0</v>
      </c>
      <c r="BJ60" s="7">
        <f t="shared" si="19"/>
        <v>0</v>
      </c>
      <c r="BK60" s="7">
        <f t="shared" si="20"/>
        <v>0</v>
      </c>
      <c r="BL60" s="280">
        <f>IF(BF60="","",IF(AND(BI59=BI60,BJ59=BJ60,BK59=BK60),BL59,$BL$9+51))</f>
        <v>31</v>
      </c>
      <c r="BM60" s="29"/>
      <c r="BN60" s="262"/>
    </row>
    <row r="61" spans="1:66" ht="15.75">
      <c r="A61" s="128"/>
      <c r="B61" s="29"/>
      <c r="C61" s="29"/>
      <c r="D61" s="128"/>
      <c r="E61" s="128"/>
      <c r="F61" s="128"/>
      <c r="G61" s="128"/>
      <c r="H61" s="23"/>
      <c r="I61" s="25"/>
      <c r="J61" s="128"/>
      <c r="K61" s="128"/>
      <c r="L61" s="128"/>
      <c r="P61" s="23"/>
      <c r="Q61" s="128"/>
      <c r="R61" s="29"/>
      <c r="S61" s="29"/>
      <c r="T61" s="29"/>
      <c r="U61" s="29"/>
      <c r="V61" s="23"/>
      <c r="W61" s="23"/>
      <c r="X61" s="23"/>
      <c r="Y61" s="447"/>
      <c r="Z61" s="14">
        <f>+Q22</f>
        <v>0</v>
      </c>
      <c r="AA61" s="71">
        <f>IF(ISTEXT(Z61),AA59,0)</f>
        <v>0</v>
      </c>
      <c r="AB61" s="67">
        <f>IF(ISTEXT(Z61),AB59,0)</f>
        <v>0</v>
      </c>
      <c r="AC61" s="72">
        <f>IF(ISTEXT(Z61),AC59,0)</f>
        <v>0</v>
      </c>
      <c r="AD61" s="9"/>
      <c r="AE61" s="14">
        <f>+T22</f>
        <v>0</v>
      </c>
      <c r="AF61" s="71">
        <f>IF(ISTEXT(AE61),AF59,0)</f>
        <v>0</v>
      </c>
      <c r="AG61" s="64">
        <f>IF(ISTEXT(AE61),AG59,0)</f>
        <v>0</v>
      </c>
      <c r="AH61" s="72">
        <f>IF(ISTEXT(AE61),AH59,0)</f>
        <v>0</v>
      </c>
      <c r="AI61" s="9"/>
      <c r="AJ61" s="14">
        <f>+W22</f>
        <v>0</v>
      </c>
      <c r="AK61" s="71">
        <f>IF(ISTEXT(AJ61),AK59,0)</f>
        <v>0</v>
      </c>
      <c r="AL61" s="64">
        <f>IF(ISTEXT(AJ61),AL59,0)</f>
        <v>0</v>
      </c>
      <c r="AM61" s="72">
        <f>IF(ISTEXT(AJ61),AM59,0)</f>
        <v>0</v>
      </c>
      <c r="AN61" s="23"/>
      <c r="AO61" s="54">
        <v>53</v>
      </c>
      <c r="AP61" s="323" t="str">
        <f>+Inscrits!F19</f>
        <v>C17</v>
      </c>
      <c r="AQ61" s="286" t="str">
        <f t="shared" si="3"/>
        <v xml:space="preserve"> </v>
      </c>
      <c r="AR61" s="99" t="str">
        <f t="shared" si="4"/>
        <v xml:space="preserve"> </v>
      </c>
      <c r="AS61" s="219" t="str">
        <f t="shared" si="5"/>
        <v xml:space="preserve"> </v>
      </c>
      <c r="AT61" s="289" t="str">
        <f t="shared" si="6"/>
        <v xml:space="preserve"> </v>
      </c>
      <c r="AU61" s="99" t="str">
        <f t="shared" si="7"/>
        <v xml:space="preserve"> </v>
      </c>
      <c r="AV61" s="291" t="str">
        <f t="shared" si="8"/>
        <v xml:space="preserve"> </v>
      </c>
      <c r="AW61" s="286" t="str">
        <f t="shared" si="9"/>
        <v xml:space="preserve"> </v>
      </c>
      <c r="AX61" s="99" t="str">
        <f t="shared" si="10"/>
        <v xml:space="preserve"> </v>
      </c>
      <c r="AY61" s="291" t="str">
        <f t="shared" si="11"/>
        <v xml:space="preserve"> </v>
      </c>
      <c r="AZ61" s="286">
        <f t="shared" si="17"/>
        <v>0</v>
      </c>
      <c r="BA61" s="99">
        <f t="shared" si="12"/>
        <v>0</v>
      </c>
      <c r="BB61" s="291">
        <f t="shared" si="13"/>
        <v>0</v>
      </c>
      <c r="BC61" s="294">
        <f t="shared" si="14"/>
        <v>0</v>
      </c>
      <c r="BD61" s="7">
        <f t="shared" si="15"/>
        <v>0</v>
      </c>
      <c r="BE61" s="218">
        <f t="shared" si="16"/>
        <v>31.000000610000001</v>
      </c>
      <c r="BF61" s="99">
        <f>IF(AP61="","",SMALL(BE$9:BE$62,ROWS(AZ$9:AZ61)))</f>
        <v>31.000000610000001</v>
      </c>
      <c r="BG61" s="88"/>
      <c r="BH61" s="289" t="str">
        <f>IF(OR(AP61="",AZ61=""),"",INDEX($AP$9:$AP$63,MATCH(BF61,$BE$9:BE$62,0)))</f>
        <v>C17</v>
      </c>
      <c r="BI61" s="7">
        <f t="shared" si="18"/>
        <v>0</v>
      </c>
      <c r="BJ61" s="7">
        <f t="shared" si="19"/>
        <v>0</v>
      </c>
      <c r="BK61" s="7">
        <f t="shared" si="20"/>
        <v>0</v>
      </c>
      <c r="BL61" s="280">
        <f>IF(BF61="","",IF(AND(BI60=BI61,BJ60=BJ61,BK60=BK61),BL60,$BL$9+52))</f>
        <v>31</v>
      </c>
      <c r="BM61" s="29"/>
      <c r="BN61" s="262"/>
    </row>
    <row r="62" spans="1:66" ht="16.5" thickBot="1">
      <c r="A62" s="128"/>
      <c r="B62" s="29"/>
      <c r="C62" s="29"/>
      <c r="D62" s="128"/>
      <c r="E62" s="128"/>
      <c r="F62" s="128"/>
      <c r="G62" s="128"/>
      <c r="H62" s="23"/>
      <c r="I62" s="25"/>
      <c r="J62" s="128"/>
      <c r="K62" s="128"/>
      <c r="L62" s="128"/>
      <c r="P62" s="23"/>
      <c r="Q62" s="128"/>
      <c r="R62" s="29"/>
      <c r="S62" s="29"/>
      <c r="T62" s="29"/>
      <c r="U62" s="29"/>
      <c r="V62" s="23"/>
      <c r="W62" s="23"/>
      <c r="X62" s="23"/>
      <c r="Y62" s="447"/>
      <c r="Z62" s="32"/>
      <c r="AA62" s="21" t="s">
        <v>5</v>
      </c>
      <c r="AB62" s="21"/>
      <c r="AC62" s="22"/>
      <c r="AD62" s="1"/>
      <c r="AE62" s="32"/>
      <c r="AF62" s="21" t="s">
        <v>5</v>
      </c>
      <c r="AG62" s="21"/>
      <c r="AH62" s="22"/>
      <c r="AI62" s="1"/>
      <c r="AJ62" s="32"/>
      <c r="AK62" s="21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 t="str">
        <f t="shared" si="3"/>
        <v xml:space="preserve"> </v>
      </c>
      <c r="AR62" s="224" t="str">
        <f t="shared" si="4"/>
        <v xml:space="preserve"> </v>
      </c>
      <c r="AS62" s="225" t="str">
        <f t="shared" si="5"/>
        <v xml:space="preserve"> </v>
      </c>
      <c r="AT62" s="290" t="str">
        <f t="shared" si="6"/>
        <v xml:space="preserve"> </v>
      </c>
      <c r="AU62" s="224" t="str">
        <f t="shared" si="7"/>
        <v xml:space="preserve"> </v>
      </c>
      <c r="AV62" s="292" t="str">
        <f t="shared" si="8"/>
        <v xml:space="preserve"> </v>
      </c>
      <c r="AW62" s="287" t="str">
        <f t="shared" si="9"/>
        <v xml:space="preserve"> </v>
      </c>
      <c r="AX62" s="224" t="str">
        <f t="shared" si="10"/>
        <v xml:space="preserve"> </v>
      </c>
      <c r="AY62" s="292" t="str">
        <f t="shared" si="11"/>
        <v xml:space="preserve"> </v>
      </c>
      <c r="AZ62" s="287">
        <f t="shared" si="17"/>
        <v>0</v>
      </c>
      <c r="BA62" s="224">
        <f t="shared" si="12"/>
        <v>0</v>
      </c>
      <c r="BB62" s="292">
        <f t="shared" si="13"/>
        <v>0</v>
      </c>
      <c r="BC62" s="295">
        <f t="shared" si="14"/>
        <v>0</v>
      </c>
      <c r="BD62" s="282">
        <f t="shared" si="15"/>
        <v>0</v>
      </c>
      <c r="BE62" s="218">
        <f t="shared" si="16"/>
        <v>31.000000620000002</v>
      </c>
      <c r="BF62" s="224">
        <f>IF(AP62="","",SMALL(BE$9:BE$62,ROWS(AZ$9:AZ62)))</f>
        <v>31.000000620000002</v>
      </c>
      <c r="BG62" s="88"/>
      <c r="BH62" s="290" t="str">
        <f>IF(OR(AP62="",AZ62=""),"",INDEX($AP$9:$AP$63,MATCH(BF62,$BE$9:BE$62,0)))</f>
        <v>C18</v>
      </c>
      <c r="BI62" s="282">
        <f t="shared" si="18"/>
        <v>0</v>
      </c>
      <c r="BJ62" s="282">
        <f t="shared" si="19"/>
        <v>0</v>
      </c>
      <c r="BK62" s="282">
        <f t="shared" si="20"/>
        <v>0</v>
      </c>
      <c r="BL62" s="280">
        <f>IF(BF62="","",IF(AND(BI61=BI62,BJ61=BJ62,BK61=BK62),BL61,$BL$9+53))</f>
        <v>31</v>
      </c>
      <c r="BM62" s="29"/>
      <c r="BN62" s="262"/>
    </row>
    <row r="63" spans="1:66" ht="15.75">
      <c r="A63" s="128"/>
      <c r="B63" s="29"/>
      <c r="C63" s="29"/>
      <c r="D63" s="128"/>
      <c r="E63" s="128"/>
      <c r="F63" s="128"/>
      <c r="G63" s="128"/>
      <c r="H63" s="23"/>
      <c r="I63" s="25"/>
      <c r="J63" s="128"/>
      <c r="K63" s="128"/>
      <c r="L63" s="128"/>
      <c r="P63" s="23"/>
      <c r="Q63" s="128"/>
      <c r="R63" s="29"/>
      <c r="S63" s="29"/>
      <c r="T63" s="29"/>
      <c r="U63" s="29"/>
      <c r="V63" s="23"/>
      <c r="W63" s="23"/>
      <c r="X63" s="23"/>
      <c r="Y63" s="447"/>
      <c r="Z63" s="14">
        <f>+O23</f>
        <v>0</v>
      </c>
      <c r="AA63" s="35">
        <v>0</v>
      </c>
      <c r="AB63" s="30">
        <f>IF(AA59+AA63=0,0,IF(AA59=AA63,2,IF(AA59&lt;AA63,3,1)))</f>
        <v>0</v>
      </c>
      <c r="AC63" s="15">
        <f>AA63-AA59</f>
        <v>0</v>
      </c>
      <c r="AD63" s="9"/>
      <c r="AE63" s="14">
        <f>+R23</f>
        <v>0</v>
      </c>
      <c r="AF63" s="127">
        <v>0</v>
      </c>
      <c r="AG63" s="30">
        <f>IF(AF59+AF63=0,0,IF(AF59=AF63,2,IF(AF59&lt;AF63,3,1)))</f>
        <v>0</v>
      </c>
      <c r="AH63" s="15">
        <f>AF63-AF59</f>
        <v>0</v>
      </c>
      <c r="AI63" s="9"/>
      <c r="AJ63" s="14">
        <f>+U23</f>
        <v>0</v>
      </c>
      <c r="AK63" s="37">
        <v>0</v>
      </c>
      <c r="AL63" s="30">
        <f>IF(AK59+AK63=0,0,IF(AK59=AK63,2,IF(AK59&lt;AK63,3,1)))</f>
        <v>0</v>
      </c>
      <c r="AM63" s="15">
        <f>AK63-AK59</f>
        <v>0</v>
      </c>
      <c r="AN63" s="23"/>
      <c r="AP63" s="8"/>
      <c r="AQ63" s="89">
        <f>SUM(IF(ISNA(AQ9:AQ62),0,AQ9:AQ62))</f>
        <v>60</v>
      </c>
      <c r="AR63" s="89">
        <f t="array" ref="AR63">SUM(IF(ISNA(AR9:AR62),0,AR9:AR62))</f>
        <v>0</v>
      </c>
      <c r="AS63" s="89"/>
      <c r="AT63" s="89">
        <f>SUM(IF(ISNA(AT9:AT62),0,AT9:AT62))</f>
        <v>60</v>
      </c>
      <c r="AU63" s="89">
        <f t="array" ref="AU63">SUM(IF(ISNA(AU9:AU62),0,AU9:AU62))</f>
        <v>0</v>
      </c>
      <c r="AV63" s="89"/>
      <c r="AW63" s="89">
        <f t="array" ref="AW63">SUM(IF(ISNA(AW9:AW62),0,AW9:AW62))</f>
        <v>60</v>
      </c>
      <c r="AX63" s="89">
        <f t="array" ref="AX63">SUM(IF(ISNA(AX9:AX62),0,AX9:AX62))</f>
        <v>0</v>
      </c>
      <c r="AY63" s="89"/>
      <c r="AZ63" s="39">
        <f t="array" ref="AZ63">SUM(AZ9:AZ62)</f>
        <v>180</v>
      </c>
      <c r="BA63" s="39">
        <f t="array" ref="BA63">SUM(BA9:BA62)</f>
        <v>0</v>
      </c>
      <c r="BB63" s="39"/>
      <c r="BC63" s="39"/>
      <c r="BD63" s="39"/>
      <c r="BE63" s="39"/>
      <c r="BF63" s="39"/>
      <c r="BG63" s="84"/>
      <c r="BH63" s="39"/>
      <c r="BI63" s="79"/>
      <c r="BJ63" s="39">
        <f t="array" ref="BJ63">SUM(BJ9:BJ62)</f>
        <v>0</v>
      </c>
      <c r="BK63" s="39"/>
      <c r="BL63" s="8"/>
      <c r="BM63" s="29"/>
    </row>
    <row r="64" spans="1:66" ht="16.5" thickBot="1">
      <c r="A64" s="128"/>
      <c r="B64" s="29"/>
      <c r="C64" s="29"/>
      <c r="D64" s="128"/>
      <c r="E64" s="128"/>
      <c r="F64" s="128"/>
      <c r="G64" s="128"/>
      <c r="H64" s="23"/>
      <c r="I64" s="25"/>
      <c r="J64" s="128"/>
      <c r="K64" s="128"/>
      <c r="L64" s="128"/>
      <c r="P64" s="23"/>
      <c r="Q64" s="128"/>
      <c r="R64" s="29"/>
      <c r="S64" s="29"/>
      <c r="T64" s="29"/>
      <c r="U64" s="29"/>
      <c r="V64" s="23"/>
      <c r="W64" s="23"/>
      <c r="X64" s="23"/>
      <c r="Y64" s="447"/>
      <c r="Z64" s="14">
        <f>+P23</f>
        <v>0</v>
      </c>
      <c r="AA64" s="17">
        <f>IF(ISTEXT(Z64),AA63,0)</f>
        <v>0</v>
      </c>
      <c r="AB64" s="18">
        <f>IF(ISTEXT(Z64),AB63,0)</f>
        <v>0</v>
      </c>
      <c r="AC64" s="19">
        <f>IF(ISTEXT(Z64),AC63,0)</f>
        <v>0</v>
      </c>
      <c r="AD64" s="9"/>
      <c r="AE64" s="14">
        <f>+S23</f>
        <v>0</v>
      </c>
      <c r="AF64" s="17">
        <f>IF(ISTEXT(AE64),AF63,0)</f>
        <v>0</v>
      </c>
      <c r="AG64" s="18">
        <f>IF(ISTEXT(AE64),AG63,0)</f>
        <v>0</v>
      </c>
      <c r="AH64" s="19">
        <f>IF(ISTEXT(AE64),AH63,0)</f>
        <v>0</v>
      </c>
      <c r="AI64" s="9"/>
      <c r="AJ64" s="14">
        <f>+V23</f>
        <v>0</v>
      </c>
      <c r="AK64" s="17">
        <f>IF(ISTEXT(AJ64),AK63,0)</f>
        <v>0</v>
      </c>
      <c r="AL64" s="18">
        <f>IF(ISTEXT(AJ64),AL63,0)</f>
        <v>0</v>
      </c>
      <c r="AM64" s="19">
        <f>IF(ISTEXT(AJ64),AM63,0)</f>
        <v>0</v>
      </c>
      <c r="AN64" s="23"/>
      <c r="AP64" s="8"/>
      <c r="AQ64" s="39"/>
      <c r="AR64" s="79" t="str">
        <f>IF(AR63=0,"OK","ERREUR")</f>
        <v>OK</v>
      </c>
      <c r="AS64" s="75"/>
      <c r="AT64" s="39"/>
      <c r="AU64" s="79" t="str">
        <f>IF(AU63=0,"OK","ERREUR")</f>
        <v>OK</v>
      </c>
      <c r="AV64" s="75"/>
      <c r="AW64" s="39"/>
      <c r="AX64" s="79" t="str">
        <f>IF(AX63=0,"OK","ERREUR")</f>
        <v>OK</v>
      </c>
      <c r="AY64" s="75"/>
      <c r="AZ64" s="8"/>
      <c r="BA64" s="79" t="str">
        <f>IF(BA63=0,"OK","ERREUR")</f>
        <v>OK</v>
      </c>
      <c r="BB64" s="75"/>
      <c r="BC64" s="9"/>
      <c r="BD64" s="9"/>
      <c r="BE64" s="9"/>
      <c r="BF64" s="39"/>
      <c r="BG64" s="84"/>
      <c r="BH64" s="39"/>
      <c r="BI64" s="79"/>
      <c r="BJ64" s="79" t="str">
        <f>IF(BJ63=0,"OK","ERREUR")</f>
        <v>OK</v>
      </c>
      <c r="BK64" s="75"/>
      <c r="BL64" s="8"/>
      <c r="BM64" s="29"/>
    </row>
    <row r="65" spans="1:65" ht="16.5" thickBot="1">
      <c r="A65" s="128"/>
      <c r="B65" s="29"/>
      <c r="C65" s="29"/>
      <c r="D65" s="128"/>
      <c r="E65" s="128"/>
      <c r="F65" s="128"/>
      <c r="G65" s="128"/>
      <c r="H65" s="23"/>
      <c r="I65" s="25"/>
      <c r="J65" s="128"/>
      <c r="K65" s="128"/>
      <c r="L65" s="128"/>
      <c r="P65" s="23"/>
      <c r="Q65" s="128"/>
      <c r="R65" s="29"/>
      <c r="S65" s="29"/>
      <c r="T65" s="29"/>
      <c r="U65" s="29"/>
      <c r="V65" s="23"/>
      <c r="W65" s="23"/>
      <c r="X65" s="23"/>
      <c r="Y65" s="448"/>
      <c r="Z65" s="16">
        <f>+Q23</f>
        <v>0</v>
      </c>
      <c r="AA65" s="17">
        <f>IF(ISTEXT(Z65),AA63,0)</f>
        <v>0</v>
      </c>
      <c r="AB65" s="18">
        <f>IF(ISTEXT(Z65),AB63,0)</f>
        <v>0</v>
      </c>
      <c r="AC65" s="19">
        <f>IF(ISTEXT(Z65),AC63,0)</f>
        <v>0</v>
      </c>
      <c r="AD65" s="9"/>
      <c r="AE65" s="16">
        <f>+T23</f>
        <v>0</v>
      </c>
      <c r="AF65" s="17">
        <f>IF(ISTEXT(AE65),AF63,0)</f>
        <v>0</v>
      </c>
      <c r="AG65" s="18">
        <f>IF(ISTEXT(AE65),AG63,0)</f>
        <v>0</v>
      </c>
      <c r="AH65" s="19">
        <f>IF(ISTEXT(AE65),AH63,0)</f>
        <v>0</v>
      </c>
      <c r="AI65" s="9"/>
      <c r="AJ65" s="16">
        <f>+W23</f>
        <v>0</v>
      </c>
      <c r="AK65" s="17">
        <f>IF(ISTEXT(AJ65),AK63,0)</f>
        <v>0</v>
      </c>
      <c r="AL65" s="18">
        <f>IF(ISTEXT(AJ65),AL63,0)</f>
        <v>0</v>
      </c>
      <c r="AM65" s="19">
        <f>IF(ISTEXT(AJ65),AM63,0)</f>
        <v>0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G65" s="84"/>
      <c r="BH65" s="39"/>
      <c r="BI65" s="79"/>
      <c r="BJ65" s="75"/>
      <c r="BK65" s="75"/>
      <c r="BL65" s="8"/>
      <c r="BM65" s="29"/>
    </row>
    <row r="66" spans="1:65" ht="16.5" thickBot="1">
      <c r="A66" s="128"/>
      <c r="B66" s="29"/>
      <c r="C66" s="29"/>
      <c r="D66" s="128"/>
      <c r="E66" s="128"/>
      <c r="F66" s="128"/>
      <c r="G66" s="128"/>
      <c r="H66" s="23"/>
      <c r="I66" s="25"/>
      <c r="J66" s="128"/>
      <c r="K66" s="128"/>
      <c r="L66" s="128"/>
      <c r="P66" s="23"/>
      <c r="Q66" s="128"/>
      <c r="R66" s="29"/>
      <c r="S66" s="29"/>
      <c r="T66" s="29"/>
      <c r="U66" s="29"/>
      <c r="V66" s="23"/>
      <c r="W66" s="23"/>
      <c r="X66" s="23"/>
      <c r="Y66" s="128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23"/>
      <c r="AO66" s="128"/>
      <c r="AP66" s="23"/>
      <c r="AQ66" s="84"/>
      <c r="AR66" s="119"/>
      <c r="AS66" s="119"/>
      <c r="AT66" s="84"/>
      <c r="AU66" s="84"/>
      <c r="AV66" s="84"/>
      <c r="AW66" s="84"/>
      <c r="AX66" s="119"/>
      <c r="AY66" s="119"/>
      <c r="AZ66" s="119"/>
      <c r="BA66" s="119"/>
      <c r="BB66" s="119"/>
      <c r="BC66" s="119"/>
      <c r="BD66" s="119"/>
      <c r="BE66" s="119"/>
      <c r="BF66" s="119"/>
      <c r="BG66" s="84"/>
      <c r="BH66" s="119"/>
      <c r="BI66" s="128"/>
      <c r="BJ66" s="128"/>
      <c r="BK66" s="128"/>
      <c r="BL66" s="23"/>
      <c r="BM66" s="29"/>
    </row>
    <row r="67" spans="1:65" ht="15.75">
      <c r="A67" s="128"/>
      <c r="B67" s="29"/>
      <c r="C67" s="29"/>
      <c r="D67" s="128"/>
      <c r="E67" s="128"/>
      <c r="F67" s="128"/>
      <c r="G67" s="128"/>
      <c r="H67" s="23"/>
      <c r="I67" s="25"/>
      <c r="J67" s="128"/>
      <c r="K67" s="128"/>
      <c r="L67" s="128"/>
      <c r="P67" s="23"/>
      <c r="Q67" s="128"/>
      <c r="R67" s="29"/>
      <c r="S67" s="29"/>
      <c r="T67" s="29"/>
      <c r="U67" s="29"/>
      <c r="V67" s="23"/>
      <c r="W67" s="23"/>
      <c r="X67" s="23"/>
      <c r="Y67" s="446">
        <v>8</v>
      </c>
      <c r="Z67" s="12">
        <f>+O24</f>
        <v>0</v>
      </c>
      <c r="AA67" s="33">
        <v>0</v>
      </c>
      <c r="AB67" s="48">
        <f>IF(AA67+AA71=0,0,IF(AA67=AA71,2,IF(AA67&gt;AA71,3,1)))</f>
        <v>0</v>
      </c>
      <c r="AC67" s="13">
        <f>AA67-AA71</f>
        <v>0</v>
      </c>
      <c r="AD67" s="9"/>
      <c r="AE67" s="12">
        <f>+R24</f>
        <v>0</v>
      </c>
      <c r="AF67" s="126">
        <v>0</v>
      </c>
      <c r="AG67" s="48">
        <f>IF(AF67+AF71=0,0,IF(AF67=AF71,2,IF(AF67&gt;AF71,3,1)))</f>
        <v>0</v>
      </c>
      <c r="AH67" s="13">
        <f>AF67-AF71</f>
        <v>0</v>
      </c>
      <c r="AI67" s="9"/>
      <c r="AJ67" s="12">
        <f>+U24</f>
        <v>0</v>
      </c>
      <c r="AK67" s="36">
        <v>0</v>
      </c>
      <c r="AL67" s="48">
        <f>IF(AK67+AK71=0,0,IF(AK67=AK71,2,IF(AK67&gt;AK71,3,1)))</f>
        <v>0</v>
      </c>
      <c r="AM67" s="13">
        <f>AK67-AK71</f>
        <v>0</v>
      </c>
      <c r="AN67" s="23"/>
      <c r="AO67" s="128"/>
      <c r="AP67" s="386" t="s">
        <v>28</v>
      </c>
      <c r="AQ67" s="383">
        <f>COUNTIF(AQ9:AQ56,1)</f>
        <v>15</v>
      </c>
      <c r="AR67" s="384"/>
      <c r="AS67" s="384"/>
      <c r="AT67" s="383">
        <f>COUNTIF(AT9:AT56,1)</f>
        <v>15</v>
      </c>
      <c r="AU67" s="383"/>
      <c r="AV67" s="383"/>
      <c r="AW67" s="383">
        <f>COUNTIF(AW9:AW56,1)</f>
        <v>15</v>
      </c>
      <c r="AX67" s="384"/>
      <c r="AY67" s="384"/>
      <c r="AZ67" s="383">
        <f>COUNTIF(AZ9:AZ62,3)</f>
        <v>5</v>
      </c>
      <c r="BA67" s="84"/>
      <c r="BB67" s="84"/>
      <c r="BC67" s="26">
        <f>COUNTIF(BC9:BC56,1)</f>
        <v>0</v>
      </c>
      <c r="BD67" s="26"/>
      <c r="BE67" s="26"/>
      <c r="BF67" s="26">
        <f>COUNTIF(BF9:BF56,1)</f>
        <v>0</v>
      </c>
      <c r="BG67" s="84"/>
      <c r="BH67" s="23"/>
      <c r="BI67" s="23"/>
      <c r="BJ67" s="23"/>
      <c r="BK67" s="23"/>
      <c r="BL67" s="23"/>
      <c r="BM67" s="29"/>
    </row>
    <row r="68" spans="1:65" ht="16.5" thickBot="1">
      <c r="A68" s="128"/>
      <c r="B68" s="29"/>
      <c r="C68" s="29"/>
      <c r="D68" s="128"/>
      <c r="E68" s="128"/>
      <c r="F68" s="128"/>
      <c r="G68" s="128"/>
      <c r="H68" s="23"/>
      <c r="I68" s="25"/>
      <c r="J68" s="128"/>
      <c r="K68" s="128"/>
      <c r="L68" s="128"/>
      <c r="P68" s="23"/>
      <c r="Q68" s="128"/>
      <c r="R68" s="29"/>
      <c r="S68" s="29"/>
      <c r="T68" s="29"/>
      <c r="U68" s="29"/>
      <c r="V68" s="23"/>
      <c r="W68" s="23"/>
      <c r="X68" s="23"/>
      <c r="Y68" s="447"/>
      <c r="Z68" s="14">
        <f>+P24</f>
        <v>0</v>
      </c>
      <c r="AA68" s="17">
        <f>IF(ISTEXT(Z68),AA67,0)</f>
        <v>0</v>
      </c>
      <c r="AB68" s="18">
        <f>IF(ISTEXT(Z68),AB67,0)</f>
        <v>0</v>
      </c>
      <c r="AC68" s="19">
        <f>IF(ISTEXT(Z68),AC67,0)</f>
        <v>0</v>
      </c>
      <c r="AD68" s="9"/>
      <c r="AE68" s="14">
        <f>+S24</f>
        <v>0</v>
      </c>
      <c r="AF68" s="17">
        <f>IF(ISTEXT(AE68),AF67,0)</f>
        <v>0</v>
      </c>
      <c r="AG68" s="59">
        <f>IF(ISTEXT(AE68),AG67,0)</f>
        <v>0</v>
      </c>
      <c r="AH68" s="19">
        <f>IF(ISTEXT(AE68),AH67,0)</f>
        <v>0</v>
      </c>
      <c r="AI68" s="9"/>
      <c r="AJ68" s="14">
        <f>+V24</f>
        <v>0</v>
      </c>
      <c r="AK68" s="17">
        <f>IF(ISTEXT(AJ68),AK67,0)</f>
        <v>0</v>
      </c>
      <c r="AL68" s="59">
        <f>IF(ISTEXT(AJ68),AL67,0)</f>
        <v>0</v>
      </c>
      <c r="AM68" s="19">
        <f>IF(ISTEXT(AJ68),AM67,0)</f>
        <v>0</v>
      </c>
      <c r="AN68" s="23"/>
      <c r="AO68" s="128"/>
      <c r="AP68" s="386" t="s">
        <v>44</v>
      </c>
      <c r="AQ68" s="383">
        <f>COUNTIF(AQ9:AQ56,2)</f>
        <v>0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8</v>
      </c>
      <c r="BA68" s="84"/>
      <c r="BB68" s="84"/>
      <c r="BC68" s="26">
        <f>COUNTIF(BC9:BC56,2)</f>
        <v>0</v>
      </c>
      <c r="BD68" s="235"/>
      <c r="BE68" s="235"/>
      <c r="BF68" s="26">
        <f>COUNTIF(BF9:BF56,2)</f>
        <v>0</v>
      </c>
      <c r="BG68" s="84"/>
      <c r="BH68" s="23" t="s">
        <v>31</v>
      </c>
      <c r="BI68" s="23"/>
      <c r="BJ68" s="23"/>
      <c r="BK68" s="23"/>
      <c r="BL68" s="23"/>
      <c r="BM68" s="29"/>
    </row>
    <row r="69" spans="1:65" ht="15.75">
      <c r="A69" s="128"/>
      <c r="B69" s="29"/>
      <c r="C69" s="29"/>
      <c r="D69" s="128"/>
      <c r="E69" s="128"/>
      <c r="F69" s="128"/>
      <c r="G69" s="128"/>
      <c r="H69" s="23"/>
      <c r="I69" s="25"/>
      <c r="J69" s="128"/>
      <c r="K69" s="128"/>
      <c r="L69" s="128"/>
      <c r="P69" s="23"/>
      <c r="Q69" s="128"/>
      <c r="R69" s="29"/>
      <c r="S69" s="29"/>
      <c r="T69" s="29"/>
      <c r="U69" s="29"/>
      <c r="V69" s="23"/>
      <c r="W69" s="23"/>
      <c r="X69" s="23"/>
      <c r="Y69" s="447"/>
      <c r="Z69" s="14">
        <f>+Q24</f>
        <v>0</v>
      </c>
      <c r="AA69" s="71">
        <f>IF(ISTEXT(Z69),AA67,0)</f>
        <v>0</v>
      </c>
      <c r="AB69" s="67">
        <f>IF(ISTEXT(Z69),AB67,0)</f>
        <v>0</v>
      </c>
      <c r="AC69" s="72">
        <f>IF(ISTEXT(Z69),AC67,0)</f>
        <v>0</v>
      </c>
      <c r="AD69" s="9"/>
      <c r="AE69" s="14">
        <f>+T24</f>
        <v>0</v>
      </c>
      <c r="AF69" s="71">
        <f>IF(ISTEXT(AE69),AF67,0)</f>
        <v>0</v>
      </c>
      <c r="AG69" s="64">
        <f>IF(ISTEXT(AE69),AG67,0)</f>
        <v>0</v>
      </c>
      <c r="AH69" s="72">
        <f>IF(ISTEXT(AE69),AH67,0)</f>
        <v>0</v>
      </c>
      <c r="AI69" s="9"/>
      <c r="AJ69" s="14">
        <f>+W24</f>
        <v>0</v>
      </c>
      <c r="AK69" s="71">
        <f>IF(ISTEXT(AJ69),AK67,0)</f>
        <v>0</v>
      </c>
      <c r="AL69" s="64">
        <f>IF(ISTEXT(AJ69),AL67,0)</f>
        <v>0</v>
      </c>
      <c r="AM69" s="72">
        <f>IF(ISTEXT(AJ69),AM67,0)</f>
        <v>0</v>
      </c>
      <c r="AN69" s="23"/>
      <c r="AO69" s="23"/>
      <c r="AP69" s="386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0</v>
      </c>
      <c r="BA69" s="84"/>
      <c r="BB69" s="84"/>
      <c r="BC69" s="26">
        <f>COUNTIF(BC9:BC56,3)</f>
        <v>0</v>
      </c>
      <c r="BD69" s="235"/>
      <c r="BE69" s="235"/>
      <c r="BF69" s="26">
        <f>COUNTIF(BF9:BF56,3)</f>
        <v>0</v>
      </c>
      <c r="BG69" s="84"/>
      <c r="BH69" s="23"/>
      <c r="BI69" s="23"/>
      <c r="BJ69" s="23"/>
      <c r="BK69" s="23"/>
      <c r="BL69" s="23"/>
      <c r="BM69" s="29"/>
    </row>
    <row r="70" spans="1:65" ht="15.75">
      <c r="A70" s="128"/>
      <c r="B70" s="29"/>
      <c r="C70" s="29"/>
      <c r="D70" s="128"/>
      <c r="E70" s="128"/>
      <c r="F70" s="128"/>
      <c r="G70" s="128"/>
      <c r="H70" s="23"/>
      <c r="I70" s="25"/>
      <c r="J70" s="128"/>
      <c r="K70" s="128"/>
      <c r="L70" s="128"/>
      <c r="P70" s="23"/>
      <c r="Q70" s="128"/>
      <c r="R70" s="29"/>
      <c r="S70" s="29"/>
      <c r="T70" s="29"/>
      <c r="U70" s="29"/>
      <c r="V70" s="23"/>
      <c r="W70" s="23"/>
      <c r="X70" s="23"/>
      <c r="Y70" s="447"/>
      <c r="Z70" s="32"/>
      <c r="AA70" s="21" t="s">
        <v>5</v>
      </c>
      <c r="AB70" s="21"/>
      <c r="AC70" s="22"/>
      <c r="AD70" s="1"/>
      <c r="AE70" s="32"/>
      <c r="AF70" s="21" t="s">
        <v>5</v>
      </c>
      <c r="AG70" s="21"/>
      <c r="AH70" s="22"/>
      <c r="AI70" s="1"/>
      <c r="AJ70" s="32"/>
      <c r="AK70" s="21" t="s">
        <v>5</v>
      </c>
      <c r="AL70" s="21"/>
      <c r="AM70" s="22"/>
      <c r="AN70" s="23"/>
      <c r="AO70" s="23"/>
      <c r="AP70" s="386" t="s">
        <v>45</v>
      </c>
      <c r="AQ70" s="383">
        <f>COUNTIF(AQ9:AQ56,3)</f>
        <v>15</v>
      </c>
      <c r="AR70" s="384"/>
      <c r="AS70" s="384"/>
      <c r="AT70" s="383">
        <f>COUNTIF(AT9:AT56,3)</f>
        <v>15</v>
      </c>
      <c r="AU70" s="384"/>
      <c r="AV70" s="384"/>
      <c r="AW70" s="383">
        <f>COUNTIF(AW9:AW56,3)</f>
        <v>15</v>
      </c>
      <c r="AX70" s="384"/>
      <c r="AY70" s="384"/>
      <c r="AZ70" s="383">
        <f>COUNTIF(AZ9:AZ62,7)</f>
        <v>14</v>
      </c>
      <c r="BA70" s="84"/>
      <c r="BB70" s="84"/>
      <c r="BC70" s="26">
        <f>COUNTIF(BC9:BC56,0)</f>
        <v>35</v>
      </c>
      <c r="BD70" s="235"/>
      <c r="BE70" s="235"/>
      <c r="BF70" s="26">
        <f>COUNTIF(BF9:BF56,0)</f>
        <v>0</v>
      </c>
      <c r="BG70" s="23"/>
      <c r="BH70" s="23"/>
      <c r="BI70" s="23"/>
      <c r="BJ70" s="23"/>
      <c r="BK70" s="23"/>
      <c r="BL70" s="23"/>
      <c r="BM70" s="29"/>
    </row>
    <row r="71" spans="1:65" ht="15.75">
      <c r="A71" s="128"/>
      <c r="B71" s="29"/>
      <c r="C71" s="29"/>
      <c r="D71" s="128"/>
      <c r="E71" s="128"/>
      <c r="F71" s="128"/>
      <c r="G71" s="128"/>
      <c r="H71" s="23"/>
      <c r="I71" s="25"/>
      <c r="J71" s="128"/>
      <c r="K71" s="128"/>
      <c r="L71" s="128"/>
      <c r="P71" s="23"/>
      <c r="Q71" s="128"/>
      <c r="R71" s="29"/>
      <c r="S71" s="29"/>
      <c r="T71" s="29"/>
      <c r="U71" s="29"/>
      <c r="V71" s="23"/>
      <c r="W71" s="23"/>
      <c r="X71" s="23"/>
      <c r="Y71" s="447"/>
      <c r="Z71" s="14">
        <f>+O25</f>
        <v>0</v>
      </c>
      <c r="AA71" s="35">
        <v>0</v>
      </c>
      <c r="AB71" s="30">
        <f>IF(AA67+AA71=0,0,IF(AA67=AA71,2,IF(AA67&lt;AA71,3,1)))</f>
        <v>0</v>
      </c>
      <c r="AC71" s="15">
        <f>AA71-AA67</f>
        <v>0</v>
      </c>
      <c r="AD71" s="9"/>
      <c r="AE71" s="14">
        <f>+R25</f>
        <v>0</v>
      </c>
      <c r="AF71" s="127">
        <v>0</v>
      </c>
      <c r="AG71" s="30">
        <f>IF(AF67+AF71=0,0,IF(AF67=AF71,2,IF(AF67&lt;AF71,3,1)))</f>
        <v>0</v>
      </c>
      <c r="AH71" s="15">
        <f>AF71-AF67</f>
        <v>0</v>
      </c>
      <c r="AI71" s="9"/>
      <c r="AJ71" s="14">
        <f>+U25</f>
        <v>0</v>
      </c>
      <c r="AK71" s="37">
        <v>0</v>
      </c>
      <c r="AL71" s="30">
        <f>IF(AK67+AK71=0,0,IF(AK67=AK71,2,IF(AK67&lt;AK71,3,1)))</f>
        <v>0</v>
      </c>
      <c r="AM71" s="15">
        <f>AK71-AK67</f>
        <v>0</v>
      </c>
      <c r="AN71" s="23"/>
      <c r="AO71" s="23"/>
      <c r="AP71" s="386" t="s">
        <v>46</v>
      </c>
      <c r="AQ71" s="383">
        <f>COUNTIF(AQ9:AQ56,0)</f>
        <v>0</v>
      </c>
      <c r="AR71" s="384"/>
      <c r="AS71" s="384"/>
      <c r="AT71" s="383">
        <f>COUNTIF(AT9:AT56,0)</f>
        <v>0</v>
      </c>
      <c r="AU71" s="384"/>
      <c r="AV71" s="384"/>
      <c r="AW71" s="383">
        <f>COUNTIF(AW9:AW56,0)</f>
        <v>0</v>
      </c>
      <c r="AX71" s="384"/>
      <c r="AY71" s="384"/>
      <c r="AZ71" s="383">
        <f>COUNTIF(AZ10:AZ63,9)</f>
        <v>3</v>
      </c>
      <c r="BA71" s="84"/>
      <c r="BB71" s="84"/>
      <c r="BC71" s="26">
        <f>COUNTIF(BC9:BC63,#N/A)</f>
        <v>0</v>
      </c>
      <c r="BD71" s="235"/>
      <c r="BE71" s="235"/>
      <c r="BF71" s="26">
        <f>COUNTIF(BF9:BF63,#N/A)</f>
        <v>0</v>
      </c>
      <c r="BG71" s="23"/>
      <c r="BH71" s="23"/>
      <c r="BI71" s="23"/>
      <c r="BJ71" s="23"/>
      <c r="BK71" s="23"/>
      <c r="BL71" s="23"/>
      <c r="BM71" s="29"/>
    </row>
    <row r="72" spans="1:65" ht="16.5" thickBot="1">
      <c r="A72" s="128"/>
      <c r="B72" s="29"/>
      <c r="C72" s="29"/>
      <c r="D72" s="128"/>
      <c r="E72" s="128"/>
      <c r="F72" s="128"/>
      <c r="G72" s="128"/>
      <c r="H72" s="23"/>
      <c r="I72" s="25"/>
      <c r="J72" s="128"/>
      <c r="K72" s="128"/>
      <c r="L72" s="128"/>
      <c r="P72" s="23"/>
      <c r="Q72" s="128"/>
      <c r="R72" s="29"/>
      <c r="S72" s="29"/>
      <c r="T72" s="29"/>
      <c r="U72" s="29"/>
      <c r="V72" s="23"/>
      <c r="W72" s="23"/>
      <c r="X72" s="23"/>
      <c r="Y72" s="447"/>
      <c r="Z72" s="14">
        <f>+P25</f>
        <v>0</v>
      </c>
      <c r="AA72" s="17">
        <f>IF(ISTEXT(Z72),AA71,0)</f>
        <v>0</v>
      </c>
      <c r="AB72" s="18">
        <f>IF(ISTEXT(Z72),AB71,0)</f>
        <v>0</v>
      </c>
      <c r="AC72" s="19">
        <f>IF(ISTEXT(Z72),AC71,0)</f>
        <v>0</v>
      </c>
      <c r="AD72" s="9"/>
      <c r="AE72" s="14">
        <f>+S25</f>
        <v>0</v>
      </c>
      <c r="AF72" s="17">
        <f>IF(ISTEXT(AE72),AF71,0)</f>
        <v>0</v>
      </c>
      <c r="AG72" s="18">
        <f>IF(ISTEXT(AE72),AG71,0)</f>
        <v>0</v>
      </c>
      <c r="AH72" s="19">
        <f>IF(ISTEXT(AE72),AH71,0)</f>
        <v>0</v>
      </c>
      <c r="AI72" s="9"/>
      <c r="AJ72" s="14">
        <f>+V25</f>
        <v>0</v>
      </c>
      <c r="AK72" s="17">
        <f>IF(ISTEXT(AJ72),AK71,0)</f>
        <v>0</v>
      </c>
      <c r="AL72" s="18">
        <f>IF(ISTEXT(AJ72),AL71,0)</f>
        <v>0</v>
      </c>
      <c r="AM72" s="19">
        <f>IF(ISTEXT(AJ72),AM71,0)</f>
        <v>0</v>
      </c>
      <c r="AN72" s="23"/>
      <c r="AO72" s="23"/>
      <c r="AP72" s="386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A72" s="84"/>
      <c r="BB72" s="84"/>
      <c r="BC72" s="26">
        <f>SUM(BC67:BC71)</f>
        <v>35</v>
      </c>
      <c r="BD72" s="26"/>
      <c r="BE72" s="26"/>
      <c r="BF72" s="26">
        <f>SUM(BF67:BF71)</f>
        <v>0</v>
      </c>
      <c r="BG72" s="23"/>
      <c r="BH72" s="23"/>
      <c r="BI72" s="23"/>
      <c r="BJ72" s="23"/>
      <c r="BK72" s="23"/>
      <c r="BL72" s="23"/>
      <c r="BM72" s="29"/>
    </row>
    <row r="73" spans="1:65" ht="16.5" thickBot="1">
      <c r="A73" s="128"/>
      <c r="B73" s="29"/>
      <c r="C73" s="29"/>
      <c r="D73" s="128"/>
      <c r="E73" s="128"/>
      <c r="F73" s="128"/>
      <c r="G73" s="128"/>
      <c r="H73" s="23"/>
      <c r="I73" s="25"/>
      <c r="J73" s="128"/>
      <c r="K73" s="128"/>
      <c r="L73" s="128"/>
      <c r="P73" s="23"/>
      <c r="Q73" s="128"/>
      <c r="R73" s="29"/>
      <c r="S73" s="29"/>
      <c r="T73" s="29"/>
      <c r="U73" s="29"/>
      <c r="V73" s="23"/>
      <c r="W73" s="23"/>
      <c r="X73" s="23"/>
      <c r="Y73" s="448"/>
      <c r="Z73" s="16">
        <f>+Q25</f>
        <v>0</v>
      </c>
      <c r="AA73" s="17">
        <f>IF(ISTEXT(Z73),AA71,0)</f>
        <v>0</v>
      </c>
      <c r="AB73" s="18">
        <f>IF(ISTEXT(Z73),AB71,0)</f>
        <v>0</v>
      </c>
      <c r="AC73" s="19">
        <f>IF(ISTEXT(Z73),AC71,0)</f>
        <v>0</v>
      </c>
      <c r="AD73" s="9"/>
      <c r="AE73" s="16">
        <f>+T25</f>
        <v>0</v>
      </c>
      <c r="AF73" s="17">
        <f>IF(ISTEXT(AE73),AF71,0)</f>
        <v>0</v>
      </c>
      <c r="AG73" s="18">
        <f>IF(ISTEXT(AE73),AG71,0)</f>
        <v>0</v>
      </c>
      <c r="AH73" s="19">
        <f>IF(ISTEXT(AE73),AH71,0)</f>
        <v>0</v>
      </c>
      <c r="AI73" s="9"/>
      <c r="AJ73" s="16">
        <f>+W25</f>
        <v>0</v>
      </c>
      <c r="AK73" s="17">
        <f>IF(ISTEXT(AJ73),AK71,0)</f>
        <v>0</v>
      </c>
      <c r="AL73" s="18">
        <f>IF(ISTEXT(AJ73),AL71,0)</f>
        <v>0</v>
      </c>
      <c r="AM73" s="19">
        <f>IF(ISTEXT(AJ73),AM71,0)</f>
        <v>0</v>
      </c>
      <c r="AN73" s="23"/>
      <c r="AO73" s="23"/>
      <c r="AP73" s="386"/>
      <c r="AQ73" s="383">
        <f>SUM(AQ67:AQ72)</f>
        <v>30</v>
      </c>
      <c r="AR73" s="383"/>
      <c r="AS73" s="383"/>
      <c r="AT73" s="383">
        <f>SUM(AT67:AT72)</f>
        <v>30</v>
      </c>
      <c r="AU73" s="383"/>
      <c r="AV73" s="383"/>
      <c r="AW73" s="383">
        <f>SUM(AW67:AW72)</f>
        <v>30</v>
      </c>
      <c r="AX73" s="384"/>
      <c r="AY73" s="384"/>
      <c r="AZ73" s="383">
        <f>SUM(AZ67:AZ72)</f>
        <v>30</v>
      </c>
      <c r="BA73" s="23"/>
      <c r="BB73" s="23"/>
      <c r="BC73" s="23"/>
      <c r="BD73" s="23"/>
      <c r="BE73" s="23"/>
      <c r="BF73" s="23"/>
      <c r="BG73" s="23"/>
      <c r="BH73" s="23"/>
      <c r="BI73" s="23"/>
      <c r="BJ73" s="29"/>
      <c r="BK73" s="29"/>
      <c r="BL73" s="29"/>
      <c r="BM73" s="29"/>
    </row>
    <row r="74" spans="1:65" ht="16.5" thickBot="1">
      <c r="A74" s="128"/>
      <c r="B74" s="29"/>
      <c r="C74" s="29"/>
      <c r="D74" s="128"/>
      <c r="E74" s="128"/>
      <c r="F74" s="128"/>
      <c r="G74" s="128"/>
      <c r="H74" s="23"/>
      <c r="I74" s="25"/>
      <c r="J74" s="128"/>
      <c r="K74" s="128"/>
      <c r="L74" s="128"/>
      <c r="P74" s="23"/>
      <c r="Q74" s="128"/>
      <c r="R74" s="29"/>
      <c r="S74" s="29"/>
      <c r="T74" s="29"/>
      <c r="U74" s="29"/>
      <c r="V74" s="23"/>
      <c r="W74" s="23"/>
      <c r="X74" s="23"/>
      <c r="Y74" s="128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9"/>
      <c r="BK74" s="29"/>
      <c r="BL74" s="29"/>
      <c r="BM74" s="29"/>
    </row>
    <row r="75" spans="1:65" ht="15.75">
      <c r="A75" s="128"/>
      <c r="B75" s="29"/>
      <c r="C75" s="29"/>
      <c r="D75" s="128"/>
      <c r="E75" s="128"/>
      <c r="F75" s="128"/>
      <c r="G75" s="128"/>
      <c r="H75" s="23"/>
      <c r="I75" s="25"/>
      <c r="J75" s="128"/>
      <c r="K75" s="128"/>
      <c r="L75" s="128"/>
      <c r="P75" s="23"/>
      <c r="Q75" s="128"/>
      <c r="R75" s="29"/>
      <c r="S75" s="29"/>
      <c r="T75" s="29"/>
      <c r="U75" s="29"/>
      <c r="V75" s="23"/>
      <c r="W75" s="23"/>
      <c r="X75" s="23"/>
      <c r="Y75" s="446">
        <v>9</v>
      </c>
      <c r="Z75" s="12">
        <f>+O26</f>
        <v>0</v>
      </c>
      <c r="AA75" s="33">
        <v>0</v>
      </c>
      <c r="AB75" s="48">
        <f>IF(AA75+AA79=0,0,IF(AA75=AA79,2,IF(AA75&gt;AA79,3,1)))</f>
        <v>0</v>
      </c>
      <c r="AC75" s="13">
        <f>AA75-AA79</f>
        <v>0</v>
      </c>
      <c r="AD75" s="9"/>
      <c r="AE75" s="12">
        <f>+R26</f>
        <v>0</v>
      </c>
      <c r="AF75" s="126">
        <v>0</v>
      </c>
      <c r="AG75" s="48">
        <f>IF(AF75+AF79=0,0,IF(AF75=AF79,2,IF(AF75&gt;AF79,3,1)))</f>
        <v>0</v>
      </c>
      <c r="AH75" s="13">
        <f>AF75-AF79</f>
        <v>0</v>
      </c>
      <c r="AI75" s="9"/>
      <c r="AJ75" s="12">
        <f>+U26</f>
        <v>0</v>
      </c>
      <c r="AK75" s="36">
        <v>0</v>
      </c>
      <c r="AL75" s="48">
        <f>IF(AK75+AK79=0,0,IF(AK75=AK79,2,IF(AK75&gt;AK79,3,1)))</f>
        <v>0</v>
      </c>
      <c r="AM75" s="13">
        <f>AK75-AK79</f>
        <v>0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9"/>
      <c r="BK75" s="29"/>
      <c r="BL75" s="29"/>
      <c r="BM75" s="29"/>
    </row>
    <row r="76" spans="1:65" ht="16.5" thickBot="1">
      <c r="A76" s="128"/>
      <c r="B76" s="29"/>
      <c r="C76" s="29"/>
      <c r="D76" s="128"/>
      <c r="E76" s="128"/>
      <c r="F76" s="128"/>
      <c r="G76" s="128"/>
      <c r="H76" s="23"/>
      <c r="I76" s="25"/>
      <c r="J76" s="128"/>
      <c r="K76" s="128"/>
      <c r="L76" s="128"/>
      <c r="P76" s="23"/>
      <c r="Q76" s="128"/>
      <c r="R76" s="29"/>
      <c r="S76" s="29"/>
      <c r="T76" s="29"/>
      <c r="U76" s="29"/>
      <c r="V76" s="23"/>
      <c r="W76" s="23"/>
      <c r="X76" s="23"/>
      <c r="Y76" s="447"/>
      <c r="Z76" s="14">
        <f>+P26</f>
        <v>0</v>
      </c>
      <c r="AA76" s="17">
        <f>IF(ISTEXT(Z76),AA75,0)</f>
        <v>0</v>
      </c>
      <c r="AB76" s="18">
        <f>IF(ISTEXT(Z76),AB75,0)</f>
        <v>0</v>
      </c>
      <c r="AC76" s="19">
        <f>IF(ISTEXT(Z76),AC75,0)</f>
        <v>0</v>
      </c>
      <c r="AD76" s="9"/>
      <c r="AE76" s="14">
        <f>+S26</f>
        <v>0</v>
      </c>
      <c r="AF76" s="17">
        <f>IF(ISTEXT(AE76),AF75,0)</f>
        <v>0</v>
      </c>
      <c r="AG76" s="59">
        <f>IF(ISTEXT(AE76),AG75,0)</f>
        <v>0</v>
      </c>
      <c r="AH76" s="19">
        <f>IF(ISTEXT(AE76),AH75,0)</f>
        <v>0</v>
      </c>
      <c r="AI76" s="9"/>
      <c r="AJ76" s="14">
        <f>+V26</f>
        <v>0</v>
      </c>
      <c r="AK76" s="17">
        <f>IF(ISTEXT(AJ76),AK75,0)</f>
        <v>0</v>
      </c>
      <c r="AL76" s="59">
        <f>IF(ISTEXT(AJ76),AL75,0)</f>
        <v>0</v>
      </c>
      <c r="AM76" s="19">
        <f>IF(ISTEXT(AJ76),AM75,0)</f>
        <v>0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9"/>
      <c r="BK76" s="29"/>
      <c r="BL76" s="29"/>
      <c r="BM76" s="29"/>
    </row>
    <row r="77" spans="1:65" ht="15.75">
      <c r="A77" s="128"/>
      <c r="B77" s="29"/>
      <c r="C77" s="29"/>
      <c r="D77" s="128"/>
      <c r="E77" s="128"/>
      <c r="F77" s="128"/>
      <c r="G77" s="128"/>
      <c r="H77" s="23"/>
      <c r="I77" s="25"/>
      <c r="J77" s="128"/>
      <c r="K77" s="128"/>
      <c r="L77" s="128"/>
      <c r="P77" s="23"/>
      <c r="Q77" s="128"/>
      <c r="R77" s="29"/>
      <c r="S77" s="29"/>
      <c r="T77" s="29"/>
      <c r="U77" s="29"/>
      <c r="V77" s="23"/>
      <c r="W77" s="23"/>
      <c r="X77" s="23"/>
      <c r="Y77" s="447"/>
      <c r="Z77" s="14">
        <f>+Q26</f>
        <v>0</v>
      </c>
      <c r="AA77" s="71">
        <f>IF(ISTEXT(Z77),AA75,0)</f>
        <v>0</v>
      </c>
      <c r="AB77" s="67">
        <f>IF(ISTEXT(Z77),AB75,0)</f>
        <v>0</v>
      </c>
      <c r="AC77" s="72">
        <f>IF(ISTEXT(Z77),AC75,0)</f>
        <v>0</v>
      </c>
      <c r="AD77" s="9"/>
      <c r="AE77" s="14">
        <f>+T26</f>
        <v>0</v>
      </c>
      <c r="AF77" s="71">
        <f>IF(ISTEXT(AE77),AF75,0)</f>
        <v>0</v>
      </c>
      <c r="AG77" s="64">
        <f>IF(ISTEXT(AE77),AG75,0)</f>
        <v>0</v>
      </c>
      <c r="AH77" s="72">
        <f>IF(ISTEXT(AE77),AH75,0)</f>
        <v>0</v>
      </c>
      <c r="AI77" s="9"/>
      <c r="AJ77" s="14">
        <f>+W26</f>
        <v>0</v>
      </c>
      <c r="AK77" s="71">
        <f>IF(ISTEXT(AJ77),AK75,0)</f>
        <v>0</v>
      </c>
      <c r="AL77" s="64">
        <f>IF(ISTEXT(AJ77),AL75,0)</f>
        <v>0</v>
      </c>
      <c r="AM77" s="72">
        <f>IF(ISTEXT(AJ77),AM75,0)</f>
        <v>0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9"/>
      <c r="BK77" s="29"/>
      <c r="BL77" s="29"/>
      <c r="BM77" s="29"/>
    </row>
    <row r="78" spans="1:65" ht="15.75">
      <c r="A78" s="128"/>
      <c r="B78" s="29"/>
      <c r="C78" s="29"/>
      <c r="D78" s="128"/>
      <c r="E78" s="128"/>
      <c r="F78" s="128"/>
      <c r="G78" s="128"/>
      <c r="H78" s="23"/>
      <c r="I78" s="25"/>
      <c r="J78" s="128"/>
      <c r="K78" s="128"/>
      <c r="L78" s="128"/>
      <c r="P78" s="23"/>
      <c r="Q78" s="128"/>
      <c r="R78" s="29"/>
      <c r="S78" s="29"/>
      <c r="T78" s="29"/>
      <c r="U78" s="29"/>
      <c r="V78" s="23"/>
      <c r="W78" s="23"/>
      <c r="X78" s="23"/>
      <c r="Y78" s="447"/>
      <c r="Z78" s="32"/>
      <c r="AA78" s="21" t="s">
        <v>5</v>
      </c>
      <c r="AB78" s="21"/>
      <c r="AC78" s="22"/>
      <c r="AD78" s="1"/>
      <c r="AE78" s="32"/>
      <c r="AF78" s="21" t="s">
        <v>5</v>
      </c>
      <c r="AG78" s="21"/>
      <c r="AH78" s="22"/>
      <c r="AI78" s="1"/>
      <c r="AJ78" s="32"/>
      <c r="AK78" s="21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9"/>
      <c r="BK78" s="29"/>
      <c r="BL78" s="29"/>
      <c r="BM78" s="29"/>
    </row>
    <row r="79" spans="1:65" ht="15.75">
      <c r="A79" s="128"/>
      <c r="B79" s="29"/>
      <c r="C79" s="29"/>
      <c r="D79" s="128"/>
      <c r="E79" s="128"/>
      <c r="F79" s="128"/>
      <c r="G79" s="128"/>
      <c r="H79" s="23"/>
      <c r="I79" s="25"/>
      <c r="J79" s="128"/>
      <c r="K79" s="128"/>
      <c r="L79" s="128"/>
      <c r="P79" s="23"/>
      <c r="Q79" s="128"/>
      <c r="R79" s="29"/>
      <c r="S79" s="29"/>
      <c r="T79" s="29"/>
      <c r="U79" s="29"/>
      <c r="V79" s="23"/>
      <c r="W79" s="23"/>
      <c r="X79" s="23"/>
      <c r="Y79" s="447"/>
      <c r="Z79" s="14">
        <f>+O27</f>
        <v>0</v>
      </c>
      <c r="AA79" s="35">
        <v>0</v>
      </c>
      <c r="AB79" s="30">
        <f>IF(AA75+AA79=0,0,IF(AA75=AA79,2,IF(AA75&lt;AA79,3,1)))</f>
        <v>0</v>
      </c>
      <c r="AC79" s="15">
        <f>AA79-AA75</f>
        <v>0</v>
      </c>
      <c r="AD79" s="9"/>
      <c r="AE79" s="14">
        <f>+R27</f>
        <v>0</v>
      </c>
      <c r="AF79" s="127">
        <v>0</v>
      </c>
      <c r="AG79" s="30">
        <f>IF(AF75+AF79=0,0,IF(AF75=AF79,2,IF(AF75&lt;AF79,3,1)))</f>
        <v>0</v>
      </c>
      <c r="AH79" s="15">
        <f>AF79-AF75</f>
        <v>0</v>
      </c>
      <c r="AI79" s="9"/>
      <c r="AJ79" s="14">
        <f>+U27</f>
        <v>0</v>
      </c>
      <c r="AK79" s="37">
        <v>0</v>
      </c>
      <c r="AL79" s="30">
        <f>IF(AK75+AK79=0,0,IF(AK75=AK79,2,IF(AK75&lt;AK79,3,1)))</f>
        <v>0</v>
      </c>
      <c r="AM79" s="15">
        <f>AK79-AK75</f>
        <v>0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9"/>
      <c r="BK79" s="29"/>
      <c r="BL79" s="29"/>
      <c r="BM79" s="29"/>
    </row>
    <row r="80" spans="1:65" ht="16.5" thickBot="1">
      <c r="A80" s="128"/>
      <c r="B80" s="29"/>
      <c r="C80" s="29"/>
      <c r="D80" s="128"/>
      <c r="E80" s="128"/>
      <c r="F80" s="128"/>
      <c r="G80" s="128"/>
      <c r="H80" s="23"/>
      <c r="I80" s="25"/>
      <c r="J80" s="128"/>
      <c r="K80" s="128"/>
      <c r="L80" s="128"/>
      <c r="P80" s="23"/>
      <c r="Q80" s="128"/>
      <c r="R80" s="29"/>
      <c r="S80" s="29"/>
      <c r="T80" s="29"/>
      <c r="U80" s="29"/>
      <c r="V80" s="23"/>
      <c r="W80" s="23"/>
      <c r="X80" s="23"/>
      <c r="Y80" s="447"/>
      <c r="Z80" s="14">
        <f>+P27</f>
        <v>0</v>
      </c>
      <c r="AA80" s="17">
        <f>IF(ISTEXT(Z80),AA79,0)</f>
        <v>0</v>
      </c>
      <c r="AB80" s="18">
        <f>IF(ISTEXT(Z80),AB79,0)</f>
        <v>0</v>
      </c>
      <c r="AC80" s="19">
        <f>IF(ISTEXT(Z80),AC79,0)</f>
        <v>0</v>
      </c>
      <c r="AD80" s="9"/>
      <c r="AE80" s="14">
        <f>+S27</f>
        <v>0</v>
      </c>
      <c r="AF80" s="17">
        <f>IF(ISTEXT(AE80),AF79,0)</f>
        <v>0</v>
      </c>
      <c r="AG80" s="18">
        <f>IF(ISTEXT(AE80),AG79,0)</f>
        <v>0</v>
      </c>
      <c r="AH80" s="19">
        <f>IF(ISTEXT(AE80),AH79,0)</f>
        <v>0</v>
      </c>
      <c r="AI80" s="9"/>
      <c r="AJ80" s="14">
        <f>+V27</f>
        <v>0</v>
      </c>
      <c r="AK80" s="17">
        <f>IF(ISTEXT(AJ80),AK79,0)</f>
        <v>0</v>
      </c>
      <c r="AL80" s="18">
        <f>IF(ISTEXT(AJ80),AL79,0)</f>
        <v>0</v>
      </c>
      <c r="AM80" s="19">
        <f>IF(ISTEXT(AJ80),AM79,0)</f>
        <v>0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9"/>
      <c r="BK80" s="29"/>
      <c r="BL80" s="29"/>
      <c r="BM80" s="29"/>
    </row>
    <row r="81" spans="1:65" ht="16.5" thickBot="1">
      <c r="A81" s="128"/>
      <c r="B81" s="29"/>
      <c r="C81" s="29"/>
      <c r="D81" s="128"/>
      <c r="E81" s="128"/>
      <c r="F81" s="128"/>
      <c r="G81" s="128"/>
      <c r="H81" s="23"/>
      <c r="I81" s="25"/>
      <c r="J81" s="128"/>
      <c r="K81" s="128"/>
      <c r="L81" s="128"/>
      <c r="P81" s="23"/>
      <c r="Q81" s="128"/>
      <c r="R81" s="29"/>
      <c r="S81" s="29"/>
      <c r="T81" s="29"/>
      <c r="U81" s="29"/>
      <c r="V81" s="23"/>
      <c r="W81" s="23"/>
      <c r="X81" s="23"/>
      <c r="Y81" s="448"/>
      <c r="Z81" s="16">
        <f>+Q27</f>
        <v>0</v>
      </c>
      <c r="AA81" s="17">
        <f>IF(ISTEXT(Z81),AA79,0)</f>
        <v>0</v>
      </c>
      <c r="AB81" s="18">
        <f>IF(ISTEXT(Z81),AB79,0)</f>
        <v>0</v>
      </c>
      <c r="AC81" s="19">
        <f>IF(ISTEXT(Z81),AC79,0)</f>
        <v>0</v>
      </c>
      <c r="AD81" s="9"/>
      <c r="AE81" s="16">
        <f>+T27</f>
        <v>0</v>
      </c>
      <c r="AF81" s="17">
        <f>IF(ISTEXT(AE81),AF79,0)</f>
        <v>0</v>
      </c>
      <c r="AG81" s="18">
        <f>IF(ISTEXT(AE81),AG79,0)</f>
        <v>0</v>
      </c>
      <c r="AH81" s="19">
        <f>IF(ISTEXT(AE81),AH79,0)</f>
        <v>0</v>
      </c>
      <c r="AI81" s="9"/>
      <c r="AJ81" s="16">
        <f>+W27</f>
        <v>0</v>
      </c>
      <c r="AK81" s="17">
        <f>IF(ISTEXT(AJ81),AK79,0)</f>
        <v>0</v>
      </c>
      <c r="AL81" s="18">
        <f>IF(ISTEXT(AJ81),AL79,0)</f>
        <v>0</v>
      </c>
      <c r="AM81" s="19">
        <f>IF(ISTEXT(AJ81),AM79,0)</f>
        <v>0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9"/>
      <c r="BK81" s="29"/>
      <c r="BL81" s="29"/>
      <c r="BM81" s="29"/>
    </row>
    <row r="82" spans="1:65" ht="15.75">
      <c r="A82" s="128"/>
      <c r="B82" s="29"/>
      <c r="C82" s="29"/>
      <c r="D82" s="128"/>
      <c r="E82" s="128"/>
      <c r="F82" s="128"/>
      <c r="G82" s="128"/>
      <c r="H82" s="23"/>
      <c r="I82" s="25"/>
      <c r="J82" s="128"/>
      <c r="K82" s="128"/>
      <c r="L82" s="128"/>
      <c r="P82" s="23"/>
      <c r="Q82" s="128"/>
      <c r="R82" s="29"/>
      <c r="S82" s="29"/>
      <c r="T82" s="29"/>
      <c r="U82" s="29"/>
      <c r="V82" s="23"/>
      <c r="W82" s="23"/>
      <c r="X82" s="23"/>
      <c r="Y82" s="128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</row>
    <row r="83" spans="1:65" ht="15.75">
      <c r="A83" s="128"/>
      <c r="B83" s="29"/>
      <c r="C83" s="29"/>
      <c r="D83" s="128"/>
      <c r="E83" s="128"/>
      <c r="F83" s="128"/>
      <c r="G83" s="128"/>
      <c r="H83" s="23"/>
      <c r="I83" s="25"/>
      <c r="J83" s="128"/>
      <c r="K83" s="128"/>
      <c r="L83" s="128"/>
      <c r="P83" s="23"/>
      <c r="Q83" s="128"/>
      <c r="R83" s="29"/>
      <c r="S83" s="29"/>
      <c r="T83" s="29"/>
      <c r="U83" s="29"/>
      <c r="V83" s="23"/>
      <c r="W83" s="23"/>
      <c r="X83" s="23"/>
      <c r="Y83" s="128"/>
      <c r="Z83" s="8"/>
      <c r="AA83" s="8"/>
      <c r="AB83" s="79">
        <f t="array" ref="AB83">SUM(AB11:AB81)</f>
        <v>60</v>
      </c>
      <c r="AC83" s="79">
        <f t="array" ref="AC83">SUM(AC11:AC81)</f>
        <v>0</v>
      </c>
      <c r="AD83" s="23"/>
      <c r="AE83" s="23"/>
      <c r="AF83" s="23"/>
      <c r="AG83" s="79">
        <f t="array" ref="AG83">SUM(AG11:AG81)</f>
        <v>60</v>
      </c>
      <c r="AH83" s="79">
        <f t="array" ref="AH83">SUM(AH11:AH81)</f>
        <v>0</v>
      </c>
      <c r="AI83" s="23"/>
      <c r="AJ83" s="23"/>
      <c r="AK83" s="23"/>
      <c r="AL83" s="79">
        <f t="array" ref="AL83">SUM(AL11:AL81)</f>
        <v>60</v>
      </c>
      <c r="AM83" s="79">
        <f t="array" ref="AM83">SUM(AM11:AM81)</f>
        <v>0</v>
      </c>
      <c r="AN83" s="23"/>
      <c r="AO83" s="23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</row>
    <row r="84" spans="1:65" ht="15.75">
      <c r="A84" s="128"/>
      <c r="B84" s="29"/>
      <c r="C84" s="29"/>
      <c r="D84" s="128"/>
      <c r="E84" s="128"/>
      <c r="F84" s="128"/>
      <c r="G84" s="128"/>
      <c r="H84" s="23"/>
      <c r="I84" s="25"/>
      <c r="J84" s="128"/>
      <c r="K84" s="128"/>
      <c r="L84" s="128"/>
      <c r="P84" s="23"/>
      <c r="Q84" s="128"/>
      <c r="R84" s="29"/>
      <c r="S84" s="29"/>
      <c r="T84" s="29"/>
      <c r="U84" s="29"/>
      <c r="V84" s="23"/>
      <c r="W84" s="23"/>
      <c r="X84" s="23"/>
      <c r="Y84" s="128"/>
      <c r="Z84" s="8"/>
      <c r="AA84" s="8"/>
      <c r="AB84" s="8"/>
      <c r="AC84" s="79" t="str">
        <f>IF(AC83=0,"OK","ERREUR")</f>
        <v>OK</v>
      </c>
      <c r="AD84" s="23"/>
      <c r="AE84" s="23"/>
      <c r="AF84" s="23"/>
      <c r="AG84" s="8"/>
      <c r="AH84" s="79" t="str">
        <f>IF(AH83=0,"OK","ERREUR")</f>
        <v>OK</v>
      </c>
      <c r="AI84" s="23"/>
      <c r="AJ84" s="23"/>
      <c r="AK84" s="23"/>
      <c r="AL84" s="8"/>
      <c r="AM84" s="79" t="str">
        <f>IF(AM83=0,"OK","ERREUR")</f>
        <v>OK</v>
      </c>
      <c r="AN84" s="23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</row>
    <row r="85" spans="1:65" ht="15.75">
      <c r="A85" s="128"/>
      <c r="B85" s="29"/>
      <c r="C85" s="29"/>
      <c r="D85" s="128"/>
      <c r="E85" s="128"/>
      <c r="F85" s="128"/>
      <c r="G85" s="128"/>
      <c r="H85" s="23"/>
      <c r="I85" s="25"/>
      <c r="J85" s="128"/>
      <c r="K85" s="128"/>
      <c r="L85" s="128"/>
      <c r="P85" s="23"/>
      <c r="Q85" s="128"/>
      <c r="R85" s="29"/>
      <c r="S85" s="29"/>
      <c r="T85" s="29"/>
      <c r="U85" s="29"/>
      <c r="V85" s="23"/>
      <c r="W85" s="23"/>
      <c r="X85" s="23"/>
      <c r="Y85" s="12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</row>
    <row r="86" spans="1:65" ht="15.75">
      <c r="A86" s="128"/>
      <c r="B86" s="29"/>
      <c r="C86" s="29"/>
      <c r="D86" s="128"/>
      <c r="E86" s="128"/>
      <c r="F86" s="128"/>
      <c r="G86" s="128"/>
      <c r="H86" s="23"/>
      <c r="I86" s="25"/>
      <c r="J86" s="128"/>
      <c r="K86" s="128"/>
      <c r="L86" s="128"/>
      <c r="P86" s="23"/>
      <c r="Q86" s="128"/>
      <c r="R86" s="29"/>
      <c r="S86" s="29"/>
      <c r="T86" s="29"/>
      <c r="U86" s="29"/>
      <c r="V86" s="23"/>
      <c r="W86" s="23"/>
      <c r="X86" s="23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</row>
    <row r="87" spans="1:65" ht="15.75">
      <c r="A87" s="128"/>
      <c r="B87" s="29"/>
      <c r="C87" s="29"/>
      <c r="D87" s="128"/>
      <c r="E87" s="128"/>
      <c r="F87" s="128"/>
      <c r="G87" s="128"/>
      <c r="H87" s="23"/>
      <c r="I87" s="25"/>
      <c r="J87" s="128"/>
      <c r="K87" s="128"/>
      <c r="L87" s="128"/>
      <c r="P87" s="23"/>
      <c r="Q87" s="128"/>
      <c r="R87" s="29"/>
      <c r="S87" s="29"/>
      <c r="T87" s="29"/>
      <c r="U87" s="29"/>
      <c r="V87" s="23"/>
      <c r="W87" s="23"/>
      <c r="X87" s="23"/>
      <c r="AN87" s="29"/>
      <c r="AO87" s="29"/>
      <c r="BM87" s="29"/>
    </row>
    <row r="88" spans="1:65" ht="15.75">
      <c r="A88" s="128"/>
      <c r="B88" s="29"/>
      <c r="C88" s="29"/>
      <c r="D88" s="128"/>
      <c r="E88" s="128"/>
      <c r="F88" s="128"/>
      <c r="G88" s="128"/>
      <c r="H88" s="23"/>
      <c r="I88" s="25"/>
      <c r="J88" s="128"/>
      <c r="K88" s="128"/>
      <c r="L88" s="128"/>
      <c r="P88" s="23"/>
      <c r="Q88" s="128"/>
      <c r="R88" s="29"/>
      <c r="S88" s="29"/>
      <c r="T88" s="29"/>
      <c r="U88" s="29"/>
      <c r="V88" s="23"/>
      <c r="W88" s="23"/>
      <c r="X88" s="23"/>
      <c r="AN88" s="29"/>
      <c r="AO88" s="29"/>
      <c r="BM88" s="29"/>
    </row>
    <row r="89" spans="1:65" ht="15.75">
      <c r="A89" s="128"/>
      <c r="B89" s="29"/>
      <c r="C89" s="29"/>
      <c r="D89" s="128"/>
      <c r="E89" s="128"/>
      <c r="F89" s="128"/>
      <c r="G89" s="128"/>
      <c r="H89" s="23"/>
      <c r="I89" s="25"/>
      <c r="J89" s="128"/>
      <c r="K89" s="128"/>
      <c r="L89" s="128"/>
      <c r="P89" s="23"/>
      <c r="Q89" s="128"/>
      <c r="R89" s="29"/>
      <c r="S89" s="29"/>
      <c r="T89" s="29"/>
      <c r="U89" s="29"/>
      <c r="V89" s="23"/>
      <c r="W89" s="23"/>
      <c r="X89" s="23"/>
      <c r="AN89" s="29"/>
      <c r="BM89" s="29"/>
    </row>
  </sheetData>
  <sheetProtection sheet="1" objects="1" scenarios="1" formatCells="0" formatColumns="0" formatRows="0" insertColumns="0" insertRows="0" insertHyperlinks="0" deleteColumns="0" deleteRows="0" sort="0"/>
  <mergeCells count="34">
    <mergeCell ref="T5:T6"/>
    <mergeCell ref="O8:W8"/>
    <mergeCell ref="B1:D1"/>
    <mergeCell ref="Q3:R3"/>
    <mergeCell ref="D7:E7"/>
    <mergeCell ref="D8:E8"/>
    <mergeCell ref="Q5:Q6"/>
    <mergeCell ref="S5:S6"/>
    <mergeCell ref="B5:D5"/>
    <mergeCell ref="N1:P1"/>
    <mergeCell ref="B9:C9"/>
    <mergeCell ref="D9:E9"/>
    <mergeCell ref="F9:G9"/>
    <mergeCell ref="J9:L9"/>
    <mergeCell ref="O9:Q9"/>
    <mergeCell ref="R9:T9"/>
    <mergeCell ref="U9:W9"/>
    <mergeCell ref="AZ7:BB7"/>
    <mergeCell ref="BH7:BL7"/>
    <mergeCell ref="Z7:AC7"/>
    <mergeCell ref="AE7:AH7"/>
    <mergeCell ref="AJ7:AM7"/>
    <mergeCell ref="AQ7:AS7"/>
    <mergeCell ref="AT7:AV7"/>
    <mergeCell ref="AW7:AY7"/>
    <mergeCell ref="Y51:Y57"/>
    <mergeCell ref="Y59:Y65"/>
    <mergeCell ref="Y67:Y73"/>
    <mergeCell ref="Y75:Y81"/>
    <mergeCell ref="Y11:Y17"/>
    <mergeCell ref="Y19:Y25"/>
    <mergeCell ref="Y27:Y33"/>
    <mergeCell ref="Y35:Y41"/>
    <mergeCell ref="Y43:Y49"/>
  </mergeCells>
  <conditionalFormatting sqref="BA63:BB63 BJ63">
    <cfRule type="colorScale" priority="63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BA64:BB64 AX64:AY64 AU64:AV64 AR64:AS64 BJ64">
    <cfRule type="containsText" dxfId="91" priority="61" stopIfTrue="1" operator="containsText" text="ERREUR">
      <formula>NOT(ISERROR(SEARCH("ERREUR",AR64)))</formula>
    </cfRule>
    <cfRule type="containsText" dxfId="90" priority="62" operator="containsText" text="OK">
      <formula>NOT(ISERROR(SEARCH("OK",AR64)))</formula>
    </cfRule>
  </conditionalFormatting>
  <conditionalFormatting sqref="AH84 AM84 AC84">
    <cfRule type="colorScale" priority="56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AM83 AH83 AC83">
    <cfRule type="colorScale" priority="55">
      <colorScale>
        <cfvo type="num" val="-10"/>
        <cfvo type="percentile" val="0"/>
        <cfvo type="num" val="10"/>
        <color rgb="FFFF66FF"/>
        <color rgb="FF00FF00"/>
        <color rgb="FFFF00FF"/>
      </colorScale>
    </cfRule>
  </conditionalFormatting>
  <conditionalFormatting sqref="AM84">
    <cfRule type="containsText" dxfId="89" priority="53" operator="containsText" text="ERREUR">
      <formula>NOT(ISERROR(SEARCH("ERREUR",AM84)))</formula>
    </cfRule>
    <cfRule type="containsText" dxfId="88" priority="54" operator="containsText" text="OK">
      <formula>NOT(ISERROR(SEARCH("OK",AM84)))</formula>
    </cfRule>
  </conditionalFormatting>
  <conditionalFormatting sqref="AH84 AC84">
    <cfRule type="containsText" dxfId="87" priority="52" operator="containsText" text="OK">
      <formula>NOT(ISERROR(SEARCH("OK",AC84)))</formula>
    </cfRule>
  </conditionalFormatting>
  <conditionalFormatting sqref="O10:W27">
    <cfRule type="cellIs" dxfId="86" priority="51" operator="equal">
      <formula>0</formula>
    </cfRule>
  </conditionalFormatting>
  <conditionalFormatting sqref="C10:C27 E10:E27 G10:G27">
    <cfRule type="cellIs" dxfId="85" priority="50" operator="equal">
      <formula>0</formula>
    </cfRule>
  </conditionalFormatting>
  <conditionalFormatting sqref="AH83">
    <cfRule type="colorScale" priority="47">
      <colorScale>
        <cfvo type="num" val="-10"/>
        <cfvo type="percentile" val="0"/>
        <cfvo type="num" val="10"/>
        <color rgb="FFFFC000"/>
        <color rgb="FFFFC000"/>
        <color rgb="FFFFC000"/>
      </colorScale>
    </cfRule>
  </conditionalFormatting>
  <conditionalFormatting sqref="AM84 AH84 AC84 BA64 AX64 AU64 AR64 BJ64">
    <cfRule type="containsText" dxfId="84" priority="45" operator="containsText" text="ERREUR">
      <formula>NOT(ISERROR(SEARCH("ERREUR",AC64)))</formula>
    </cfRule>
    <cfRule type="containsText" dxfId="83" priority="46" operator="containsText" text="OK">
      <formula>NOT(ISERROR(SEARCH("OK",AC64)))</formula>
    </cfRule>
  </conditionalFormatting>
  <conditionalFormatting sqref="AC83 AM83">
    <cfRule type="colorScale" priority="39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AH83">
    <cfRule type="colorScale" priority="37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BA63 AM83 AR63 AU63 AX63 BJ63">
    <cfRule type="colorScale" priority="29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AC83">
    <cfRule type="colorScale" priority="27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28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L9:BL62">
    <cfRule type="duplicateValues" dxfId="82" priority="120"/>
  </conditionalFormatting>
  <conditionalFormatting sqref="BL55:BL62">
    <cfRule type="duplicateValues" dxfId="81" priority="6"/>
  </conditionalFormatting>
  <conditionalFormatting sqref="BL62">
    <cfRule type="duplicateValues" dxfId="80" priority="2"/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FF"/>
  </sheetPr>
  <dimension ref="A1:BN89"/>
  <sheetViews>
    <sheetView zoomScale="70" zoomScaleNormal="70" workbookViewId="0">
      <selection activeCell="V4" sqref="V4"/>
    </sheetView>
  </sheetViews>
  <sheetFormatPr baseColWidth="10" defaultRowHeight="12.75"/>
  <cols>
    <col min="2" max="2" width="20.140625" customWidth="1"/>
    <col min="3" max="3" width="5.7109375" customWidth="1"/>
    <col min="4" max="4" width="23.7109375" customWidth="1"/>
    <col min="5" max="5" width="6.7109375" customWidth="1"/>
    <col min="6" max="6" width="24.140625" customWidth="1"/>
    <col min="7" max="7" width="6.140625" customWidth="1"/>
    <col min="8" max="12" width="11.42578125" hidden="1" customWidth="1"/>
    <col min="13" max="13" width="8.140625" customWidth="1"/>
    <col min="15" max="15" width="22.7109375" customWidth="1"/>
    <col min="16" max="16" width="23.7109375" customWidth="1"/>
    <col min="17" max="17" width="23.42578125" customWidth="1"/>
    <col min="18" max="18" width="20.5703125" customWidth="1"/>
    <col min="19" max="19" width="25.140625" customWidth="1"/>
    <col min="20" max="20" width="23.28515625" customWidth="1"/>
    <col min="21" max="21" width="19.5703125" customWidth="1"/>
    <col min="22" max="23" width="21.5703125" customWidth="1"/>
    <col min="24" max="24" width="5.5703125" customWidth="1"/>
    <col min="25" max="25" width="10.5703125" customWidth="1"/>
    <col min="26" max="26" width="17.140625" customWidth="1"/>
    <col min="27" max="27" width="7.7109375" customWidth="1"/>
    <col min="28" max="28" width="5.7109375" customWidth="1"/>
    <col min="29" max="29" width="5.5703125" customWidth="1"/>
    <col min="30" max="30" width="3.7109375" customWidth="1"/>
    <col min="31" max="31" width="17.7109375" customWidth="1"/>
    <col min="32" max="32" width="8" customWidth="1"/>
    <col min="33" max="33" width="6.7109375" customWidth="1"/>
    <col min="34" max="34" width="5.7109375" customWidth="1"/>
    <col min="35" max="35" width="4.140625" customWidth="1"/>
    <col min="36" max="36" width="18.140625" customWidth="1"/>
    <col min="37" max="37" width="8" customWidth="1"/>
    <col min="38" max="38" width="6.5703125" customWidth="1"/>
    <col min="39" max="39" width="6.7109375" customWidth="1"/>
    <col min="40" max="40" width="3.7109375" customWidth="1"/>
    <col min="41" max="41" width="7.28515625" customWidth="1"/>
    <col min="42" max="42" width="25.42578125" customWidth="1"/>
    <col min="43" max="43" width="8.42578125" customWidth="1"/>
    <col min="44" max="44" width="6.140625" customWidth="1"/>
    <col min="45" max="45" width="8.140625" customWidth="1"/>
    <col min="46" max="46" width="6.7109375" customWidth="1"/>
    <col min="47" max="47" width="7" customWidth="1"/>
    <col min="48" max="48" width="8.140625" customWidth="1"/>
    <col min="49" max="49" width="7.5703125" customWidth="1"/>
    <col min="50" max="50" width="6.7109375" customWidth="1"/>
    <col min="51" max="51" width="8" customWidth="1"/>
    <col min="52" max="52" width="10" customWidth="1"/>
    <col min="53" max="53" width="8.140625" customWidth="1"/>
    <col min="54" max="54" width="8.7109375" customWidth="1"/>
    <col min="55" max="56" width="9.140625" hidden="1" customWidth="1"/>
    <col min="57" max="57" width="13.85546875" hidden="1" customWidth="1"/>
    <col min="58" max="58" width="13" hidden="1" customWidth="1"/>
    <col min="59" max="59" width="4.140625" customWidth="1"/>
    <col min="60" max="60" width="16.5703125" customWidth="1"/>
    <col min="61" max="61" width="10.140625" customWidth="1"/>
    <col min="62" max="62" width="9" customWidth="1"/>
    <col min="63" max="63" width="8.5703125" customWidth="1"/>
    <col min="64" max="64" width="9.140625" customWidth="1"/>
    <col min="65" max="65" width="8.42578125" customWidth="1"/>
    <col min="66" max="66" width="0" hidden="1" customWidth="1"/>
  </cols>
  <sheetData>
    <row r="1" spans="1:66" ht="27" thickBot="1">
      <c r="A1" s="128"/>
      <c r="B1" s="420" t="s">
        <v>36</v>
      </c>
      <c r="C1" s="420"/>
      <c r="D1" s="420"/>
      <c r="E1" s="132"/>
      <c r="F1" s="132"/>
      <c r="G1" s="132"/>
      <c r="H1" s="132"/>
      <c r="I1" s="132"/>
      <c r="J1" s="84"/>
      <c r="K1" s="84"/>
      <c r="L1" s="133" t="s">
        <v>37</v>
      </c>
      <c r="N1" s="443" t="s">
        <v>121</v>
      </c>
      <c r="O1" s="444"/>
      <c r="P1" s="445"/>
      <c r="R1" s="84"/>
      <c r="S1" s="84"/>
      <c r="T1" s="132"/>
      <c r="Y1" s="134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6" ht="18.75">
      <c r="A2" s="128"/>
      <c r="B2" s="29"/>
      <c r="C2" s="29"/>
      <c r="D2" s="80"/>
      <c r="E2" s="80"/>
      <c r="F2" s="128"/>
      <c r="G2" s="128"/>
      <c r="H2" s="23"/>
      <c r="I2" s="25"/>
      <c r="J2" s="128"/>
      <c r="K2" s="128"/>
      <c r="L2" s="128"/>
      <c r="P2" s="23"/>
      <c r="Q2" s="128"/>
      <c r="R2" s="29"/>
      <c r="S2" s="29"/>
      <c r="T2" s="29"/>
      <c r="U2" s="29"/>
      <c r="V2" s="128"/>
      <c r="W2" s="23"/>
      <c r="X2" s="23"/>
      <c r="Y2" s="43"/>
      <c r="Z2" s="23"/>
      <c r="AA2" s="45"/>
      <c r="AB2" s="45"/>
      <c r="AC2" s="45" t="s">
        <v>8</v>
      </c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9"/>
      <c r="BK2" s="29"/>
      <c r="BL2" s="29"/>
      <c r="BM2" s="29"/>
    </row>
    <row r="3" spans="1:66" ht="23.25">
      <c r="A3" s="134"/>
      <c r="B3" s="277" t="s">
        <v>62</v>
      </c>
      <c r="C3" s="29"/>
      <c r="D3" s="276" t="s">
        <v>51</v>
      </c>
      <c r="E3" s="80"/>
      <c r="F3" s="128"/>
      <c r="G3" s="128"/>
      <c r="H3" s="23"/>
      <c r="I3" s="25"/>
      <c r="J3" s="128"/>
      <c r="K3" s="128"/>
      <c r="L3" s="128"/>
      <c r="P3" s="23"/>
      <c r="Q3" s="442" t="s">
        <v>38</v>
      </c>
      <c r="R3" s="442"/>
      <c r="S3" s="442"/>
      <c r="T3" s="29"/>
      <c r="U3" s="134"/>
      <c r="V3" s="134"/>
      <c r="W3" s="134"/>
      <c r="X3" s="134"/>
      <c r="Y3" s="128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9"/>
      <c r="BK3" s="29"/>
      <c r="BL3" s="29"/>
      <c r="BM3" s="29"/>
    </row>
    <row r="4" spans="1:66" ht="24" thickBot="1">
      <c r="A4" s="134"/>
      <c r="B4" s="134"/>
      <c r="C4" s="29"/>
      <c r="D4" s="80"/>
      <c r="E4" s="80"/>
      <c r="F4" s="128"/>
      <c r="G4" s="128"/>
      <c r="H4" s="23"/>
      <c r="I4" s="25"/>
      <c r="J4" s="128"/>
      <c r="K4" s="128"/>
      <c r="L4" s="128"/>
      <c r="P4" s="23"/>
      <c r="Q4" s="128"/>
      <c r="R4" s="156"/>
      <c r="S4" s="156"/>
      <c r="V4" s="134"/>
      <c r="W4" s="134"/>
      <c r="Y4" s="44" t="s">
        <v>22</v>
      </c>
      <c r="Z4" s="45"/>
      <c r="AA4" s="45"/>
      <c r="AB4" s="46"/>
      <c r="AC4" s="47"/>
      <c r="AD4" s="46"/>
      <c r="AE4" s="46"/>
      <c r="AF4" s="45"/>
      <c r="AG4" s="45"/>
      <c r="AH4" s="45"/>
      <c r="AI4" s="45"/>
      <c r="AJ4" s="45"/>
      <c r="AK4" s="45"/>
      <c r="AL4" s="45"/>
      <c r="AM4" s="45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9"/>
      <c r="BI4" s="29"/>
      <c r="BJ4" s="29"/>
      <c r="BK4" s="29"/>
      <c r="BL4" s="29"/>
      <c r="BM4" s="29"/>
    </row>
    <row r="5" spans="1:66" ht="26.25" thickBot="1">
      <c r="A5" s="135">
        <f>+Q5</f>
        <v>34</v>
      </c>
      <c r="B5" s="424" t="s">
        <v>120</v>
      </c>
      <c r="C5" s="425"/>
      <c r="D5" s="426"/>
      <c r="Q5" s="451">
        <v>34</v>
      </c>
      <c r="R5" s="84"/>
      <c r="S5" s="479">
        <f>IF(Q5=8,2,IF($Q$5=9,2,IF($Q$5=10,2,IF($Q$5=11,2,IF($Q$5=12,2,IF($Q$5=13,3,IF(Q5=14,3,IF($Q$5=15,3,IF(Q5=16,3,IF($Q$5=17,3,IF(Q5=18,3,IF($Q$5=19,4,IF(Q5=20,4,IF($Q$5=21,4,IF(Q5=22,4,IF($Q$5=23,4,IF(Q5=24,4,IF($Q$5=25,5,IF(Q5=26,5,IF($Q$5=27,5,IF(Q5=28,5,IF($Q$5=29,5,IF(Q5=30,5,IF($Q$5=31,6,IF(Q5=32,6,IF($Q$5=33,6,IF($Q$5=34,6,IF($Q$5=35,6,IF($Q$5=36,6,IF($Q$5=37,7,IF($Q$5=38,7,IF($Q$5=39,7,IF($Q$5=40,7,IF($Q$5=41,7,IF($Q$5=42,7,IF($Q$5=43,8,IF($Q$5=44,8,IF($Q$5=45,8,IF($Q$5=46,8,IF($Q$5=47,8,IF($Q$5=48,8,IF($Q$5=49,9,IF($Q$5=50,9,IF($Q$5=51,9,IF($Q$5=52,9,IF($Q$5=53,9,IF($Q$5=54,9,0)))))))))))))))))))))))))))))))))))))))))))))))</f>
        <v>6</v>
      </c>
      <c r="T5" s="477" t="s">
        <v>39</v>
      </c>
      <c r="Y5" s="128"/>
      <c r="Z5" s="23"/>
      <c r="AA5" s="23"/>
      <c r="AB5" s="23"/>
      <c r="AC5" s="23"/>
      <c r="AD5" s="23"/>
      <c r="AE5" s="45" t="s">
        <v>23</v>
      </c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9"/>
      <c r="BI5" s="29"/>
      <c r="BJ5" s="29"/>
      <c r="BK5" s="29"/>
      <c r="BL5" s="29"/>
      <c r="BM5" s="29"/>
    </row>
    <row r="6" spans="1:66" ht="31.5" customHeight="1" thickBot="1">
      <c r="Q6" s="452"/>
      <c r="R6" s="84"/>
      <c r="S6" s="480"/>
      <c r="T6" s="478"/>
      <c r="Y6" s="12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50"/>
      <c r="BI6" s="50"/>
      <c r="BJ6" s="50"/>
      <c r="BK6" s="50"/>
      <c r="BL6" s="50"/>
      <c r="BM6" s="50"/>
    </row>
    <row r="7" spans="1:66" ht="28.5" customHeight="1" thickTop="1" thickBot="1">
      <c r="D7" s="440" t="s">
        <v>60</v>
      </c>
      <c r="E7" s="441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375" t="s">
        <v>0</v>
      </c>
      <c r="AQ7" s="421" t="s">
        <v>1</v>
      </c>
      <c r="AR7" s="422"/>
      <c r="AS7" s="423"/>
      <c r="AT7" s="465" t="s">
        <v>2</v>
      </c>
      <c r="AU7" s="466"/>
      <c r="AV7" s="476"/>
      <c r="AW7" s="470" t="s">
        <v>3</v>
      </c>
      <c r="AX7" s="471"/>
      <c r="AY7" s="472"/>
      <c r="AZ7" s="462" t="s">
        <v>7</v>
      </c>
      <c r="BA7" s="463"/>
      <c r="BB7" s="464"/>
      <c r="BC7" s="51"/>
      <c r="BD7" s="42"/>
      <c r="BE7" s="25"/>
      <c r="BF7" s="25"/>
      <c r="BG7" s="84"/>
      <c r="BH7" s="462" t="s">
        <v>21</v>
      </c>
      <c r="BI7" s="463"/>
      <c r="BJ7" s="463"/>
      <c r="BK7" s="463"/>
      <c r="BL7" s="464"/>
    </row>
    <row r="8" spans="1:66" ht="33" thickTop="1" thickBot="1">
      <c r="A8" s="193"/>
      <c r="D8" s="453" t="s">
        <v>61</v>
      </c>
      <c r="E8" s="454"/>
      <c r="G8" s="194"/>
      <c r="H8" s="195"/>
      <c r="I8" s="194"/>
      <c r="J8" s="194"/>
      <c r="K8" s="194"/>
      <c r="L8" s="194"/>
      <c r="M8" s="194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06" t="s">
        <v>10</v>
      </c>
      <c r="AR8" s="107" t="s">
        <v>11</v>
      </c>
      <c r="AS8" s="110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117" t="s">
        <v>15</v>
      </c>
      <c r="BG8" s="84"/>
      <c r="BH8" s="118" t="s">
        <v>6</v>
      </c>
      <c r="BI8" s="123" t="s">
        <v>16</v>
      </c>
      <c r="BJ8" s="49" t="s">
        <v>17</v>
      </c>
      <c r="BK8" s="281" t="s">
        <v>12</v>
      </c>
      <c r="BL8" s="270" t="s">
        <v>18</v>
      </c>
      <c r="BM8" s="194"/>
      <c r="BN8" s="261" t="s">
        <v>16</v>
      </c>
    </row>
    <row r="9" spans="1:66" ht="2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H9" s="23"/>
      <c r="I9" s="136"/>
      <c r="J9" s="459" t="s">
        <v>40</v>
      </c>
      <c r="K9" s="460"/>
      <c r="L9" s="461"/>
      <c r="M9" s="154"/>
      <c r="N9" s="81"/>
      <c r="O9" s="450" t="s">
        <v>1</v>
      </c>
      <c r="P9" s="450"/>
      <c r="Q9" s="450"/>
      <c r="R9" s="465" t="s">
        <v>2</v>
      </c>
      <c r="S9" s="466"/>
      <c r="T9" s="466"/>
      <c r="U9" s="470" t="s">
        <v>3</v>
      </c>
      <c r="V9" s="471"/>
      <c r="W9" s="472"/>
      <c r="X9" s="23"/>
      <c r="Y9" s="40" t="s">
        <v>30</v>
      </c>
      <c r="Z9" s="26" t="s">
        <v>4</v>
      </c>
      <c r="AA9" s="26" t="s">
        <v>12</v>
      </c>
      <c r="AB9" s="26" t="s">
        <v>10</v>
      </c>
      <c r="AC9" s="26" t="s">
        <v>11</v>
      </c>
      <c r="AD9" s="24"/>
      <c r="AE9" s="26" t="s">
        <v>4</v>
      </c>
      <c r="AF9" s="26" t="s">
        <v>12</v>
      </c>
      <c r="AG9" s="26" t="s">
        <v>10</v>
      </c>
      <c r="AH9" s="26" t="s">
        <v>11</v>
      </c>
      <c r="AI9" s="24"/>
      <c r="AJ9" s="26" t="s">
        <v>4</v>
      </c>
      <c r="AK9" s="26" t="s">
        <v>12</v>
      </c>
      <c r="AL9" s="26" t="s">
        <v>10</v>
      </c>
      <c r="AM9" s="26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2</v>
      </c>
      <c r="AR9" s="38" t="str">
        <f>IF(ISNA(VLOOKUP(AP9,$Z$11:$AC$81,4,0))," ",IF(VLOOKUP(AP9,$Z$11:$AC$81,4,0)=0,"0",VLOOKUP(AP9,$Z$11:$AC$81,4,0)))</f>
        <v>0</v>
      </c>
      <c r="AS9" s="94">
        <f>IF(ISNA(VLOOKUP(AP9,$Z$11:$AC$81,2,0))," ",IF(VLOOKUP(AP9,$Z$11:$AC$81,2,0)=0,"0",VLOOKUP(AP9,$Z$11:$AC$81,2,0)))</f>
        <v>6</v>
      </c>
      <c r="AT9" s="91">
        <f>IF(ISNA(VLOOKUP(AP9,$AE$11:$AH$81,3,0))," ",IF(VLOOKUP(AP9,$AE$11:$AH$81,3,0)=0,"0",VLOOKUP(AP9,$AE$11:$AH$81,3,0)))</f>
        <v>1</v>
      </c>
      <c r="AU9" s="38">
        <f>IF(ISNA(VLOOKUP(AP9,$AE$11:$AH$81,4,0))," ",IF(VLOOKUP(AP9,$AE$11:$AH$81,4,0)=0,"0",VLOOKUP(AP9,$AE$11:$AH$81,4,0)))</f>
        <v>-1</v>
      </c>
      <c r="AV9" s="288" t="str">
        <f>IF(ISNA(VLOOKUP(AP9,$AE$11:$AH$81,2,0))," ",IF(VLOOKUP(AP9,$AE$11:$AH$81,2,0)=0,"0",VLOOKUP(AP9,$AE$11:$AH$81,2,0)))</f>
        <v>0</v>
      </c>
      <c r="AW9" s="285">
        <f>IF(ISNA(VLOOKUP(AP9,$AJ$11:$AM$81,3,0))," ",IF(VLOOKUP(AP9,$AJ$11:$AM$81,3,0)=0,"0",VLOOKUP(AP9,$AJ$11:$AM$81,3,0)))</f>
        <v>1</v>
      </c>
      <c r="AX9" s="38">
        <f>IF(ISNA(VLOOKUP(AP9,$AJ$11:$AM$81,4,0))," ",IF(VLOOKUP(AP9,$AJ$11:$AM$81,4,0)=0,"0",VLOOKUP(AP9,$AJ$11:$AM$81,4,0)))</f>
        <v>-1</v>
      </c>
      <c r="AY9" s="288">
        <f>IF(ISNA(VLOOKUP(AP9,$AJ$11:$AM$81,2,0))," ",IF(VLOOKUP(AP9,$AJ$11:$AM$81,2,0)=0,"0",VLOOKUP(AP9,$AJ$11:$AM$81,2,0)))</f>
        <v>4</v>
      </c>
      <c r="AZ9" s="285">
        <f>SUMIFS(AQ9:AW9,$AQ$8:$AW$8,"Pts",AQ9:AW9,"&lt;&gt;#N/A")</f>
        <v>4</v>
      </c>
      <c r="BA9" s="38">
        <f>SUMIFS(AQ9:AX9,$AQ$8:$AX$8,"GA",AQ9:AX9,"&lt;&gt;#N/A")</f>
        <v>-2</v>
      </c>
      <c r="BB9" s="288">
        <f>SUMIFS(AQ9:AY9,$AQ$8:$AY$8,"Score",AQ9:AY9,"&lt;&gt;#N/A")</f>
        <v>10</v>
      </c>
      <c r="BC9" s="293">
        <f>IF(BA9="","",IF(BA9&lt;0,BA9,0))</f>
        <v>-2</v>
      </c>
      <c r="BD9" s="217">
        <f>IF(BA9="","",IF(BA9&gt;0,BA9,0))</f>
        <v>0</v>
      </c>
      <c r="BE9" s="218">
        <f>IF(OR(AP9="",AZ9="",BA9="",BB9=""),"",RANK(AZ9,$AZ$9:$AZ$62)+SUM(-BA9/100)-(+BB9/10000)+COUNTIF(AP$9:AP$62,"&lt;="&amp;AP9+1)/1000000+ROW()/100000000)</f>
        <v>29.019000089999999</v>
      </c>
      <c r="BF9" s="99">
        <f>IF(AP9="","",SMALL(BE$9:BE$62,ROWS(AZ$9:AZ9)))</f>
        <v>0.91830031000000001</v>
      </c>
      <c r="BG9" s="88"/>
      <c r="BH9" s="99" t="str">
        <f>IF(OR(AP9="",AZ9=""),"",INDEX($AP$9:$AP$63,MATCH(BF9,$BE$9:BE$62,0)))</f>
        <v>B5</v>
      </c>
      <c r="BI9" s="7">
        <f t="shared" ref="BI9:BI40" si="0">IF(AP9="","",INDEX($AZ$9:$AZ$63,MATCH(BF9,$BE$9:$BE$62,0)))</f>
        <v>9</v>
      </c>
      <c r="BJ9" s="7">
        <f t="shared" ref="BJ9:BJ40" si="1">IF(AP9="","",INDEX($BA$9:$BA$63,MATCH(BF9,$BE$9:$BE$62,0)))</f>
        <v>8</v>
      </c>
      <c r="BK9" s="7">
        <f t="shared" ref="BK9:BK40" si="2">IF(AP9="","",INDEX($BB$9:$BB$63,MATCH(BF9,$BE$9:$BE$62,0)))</f>
        <v>17</v>
      </c>
      <c r="BL9" s="278">
        <f>IF(BF9="","",1)</f>
        <v>1</v>
      </c>
      <c r="BM9" s="29"/>
      <c r="BN9" s="40"/>
    </row>
    <row r="10" spans="1:66" ht="21" thickBot="1">
      <c r="A10" s="130">
        <v>1</v>
      </c>
      <c r="B10" s="392" t="s">
        <v>66</v>
      </c>
      <c r="C10" s="271">
        <f>IF($Q$5&gt;7,1,0)</f>
        <v>1</v>
      </c>
      <c r="D10" s="400" t="s">
        <v>84</v>
      </c>
      <c r="E10" s="271">
        <f>IF($Q$5&gt;7,1,0)</f>
        <v>1</v>
      </c>
      <c r="F10" s="399" t="s">
        <v>102</v>
      </c>
      <c r="G10" s="271">
        <f>IF($Q$5&gt;7,1,0)</f>
        <v>1</v>
      </c>
      <c r="H10" s="23"/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M10" s="155"/>
      <c r="N10" s="82">
        <v>1</v>
      </c>
      <c r="O10" s="138" t="str">
        <f>IF($Q$5&lt;55&gt;7,J10,0)</f>
        <v>A1</v>
      </c>
      <c r="P10" s="139" t="str">
        <f>IF($Q$5&gt;=8,K10,0)</f>
        <v>B1</v>
      </c>
      <c r="Q10" s="140" t="str">
        <f>IF($Q$5&gt;9,L10,IF($Q$5=9,L10,0))</f>
        <v>C1</v>
      </c>
      <c r="R10" s="178" t="str">
        <f>IF($Q$5=8,K12,IF($Q$5=9,O13,IF($Q$5=10,J12,IF($Q$5=11,J10,IF($Q$5=12,J10,IF($Q$5=13,J11,IF($Q$5=14,J11,IF($Q$5=15,J11,IF($Q$5=16,J11,IF($Q$5=17,J10,IF($Q$5=18,J10,IF($Q$5=19,J11,IF($Q$5=20,J10,IF($Q$5=21,J10,IF($Q$5=22,J11,IF($Q$5=23,J11,IF($Q$5=24,J11,IF($Q$5=25,J11,IF($Q$5=26,J11,IF($Q$5=27,J11,IF($Q$5=28,J11,IF($Q$5=29,J11,IF($Q$5=30,J11,IF($Q$5=31,J11,IF($Q$5=32,J11,IF($Q$5=33,J11,IF($Q$5=34,J11,IF($Q$5=35,J11,IF($Q$5=36,J11,IF($Q$5=37,J11,IF($Q$5=38,J11,IF($Q$5=39,J11,IF($Q$5=40,J11,IF($Q$5=41,J11,IF($Q$5=42,J11,IF($Q$5=43,J11,IF($Q$5=44,J11,IF($Q$5=45,J11,IF($Q$5=46,J11,IF($Q$5=47,J11,IF($Q$5=48,J11,IF($Q$5=49,J11,IF($Q$5=50,J11,IF($Q$5=51,J11,IF($Q$5=52,J11,IF($Q$5=53,J11,IF($Q$5=54,J11,0)))))))))))))))))))))))))))))))))))))))))))))))</f>
        <v>A2</v>
      </c>
      <c r="S10" s="157" t="str">
        <f>IF($Q$5=8,L11,IF($Q$5=9,L11,IF($Q$5=10,K10,IF($Q$5=11,K13,IF($Q$5=12,K13,IF($Q$5=13,L10,IF($Q$5=14,K12,IF($Q$5=15,K13,IF($Q$5=16,K12,IF($Q$5=17,K13,IF($Q$5=18,K13,IF($Q$5=19,K13,IF($Q$5=20,P17,IF($Q$5=21,K13,IF($Q$5=22,K13,IF($Q$5=23,K13,IF($Q$5=24,K16,IF($Q$5=25,K13,IF($Q$5=26,K16,IF($Q$5=27,K13,IF($Q$5=28,K13,IF($Q$5=29,K13,IF($Q$5=30,K13,IF($Q$5=31,K13,IF($Q$5=32,K13,IF($Q$5=33,K13,IF($Q$5=34,K13,IF($Q$5=35,K13,IF($Q$5=36,K12,IF($Q$5=37,K12,IF($Q$5=38,K12,IF($Q$5=39,K12,IF($Q$5=40,K12,IF($Q$5=41,K12,IF($Q$5=42,K12,IF($Q$5=43,K12,IF($Q$5=44,K12,IF($Q$5=45,K12,IF($Q$5=46,K12,IF($Q$5=47,K12,IF($Q$5=48,K12,IF($Q$5=49,K12,IF($Q$5=50,K12,IF($Q$5=51,K12,IF($Q$5=52,K12,IF($Q$5=53,K12,IF($Q$5=54,K12,0)))))))))))))))))))))))))))))))))))))))))))))))</f>
        <v>B4</v>
      </c>
      <c r="T10" s="179" t="str">
        <f>IF($Q$5=9,P13,IF($Q$5=10,L12,IF($Q$5=11,L11,IF($Q$5=12,L12,IF($Q$5=13,P15,IF($Q$5=14,P15,IF($Q$5=15,P14,IF($Q$5=16,L13,IF($Q$5=17,L12,IF($Q$5=18,L12,IF($Q$5=19,P17,IF($Q$5=20,L12,IF($Q$5=21,P10,IF($Q$5=22,L12,IF($Q$5=23,L12,IF($Q$5=24,L12,IF($Q$5=25,L12,IF($Q$5=26,L12,IF($Q$5=27,L12,IF($Q$5=28,L12,IF($Q$5=29,L12,IF($Q$5=30,L12,IF($Q$5=31,L12,IF($Q$5=32,L12,IF($Q$5=33,L12,IF($Q$5=34,L12,IF($Q$5=35,L12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)))))))</f>
        <v>C3</v>
      </c>
      <c r="U10" s="191" t="str">
        <f>IF($Q$5=8,J11,IF($Q$5=9,R11,IF($Q$5=10,J13,IF($Q$5=11,J13,IF($Q$5=12,J10,IF($Q$5=13,R12,IF($Q$5=14,R11,IF($Q$5=15,R11,IF($Q$5=16,R15,IF($Q$5=17,R10,IF(Q$5=18,R10,IF($Q$5=19,R13,IF($Q$5=20,R10,IF($Q$5=21,O10,IF($Q$5=22,R17,IF($Q$5=23,R11,IF($Q$5=24,R17,IF($Q$5=25,R19,IF($Q$5=26,R19,IF($Q$5=27,R18,IF($Q$5=28,R19,IF($Q$5=29,R19,IF($Q$5=30,R19,IF($Q$5=31,R20,IF($Q$5=32,R21,IF($Q$5=33,O10,IF($Q$5=34,O10,IF($Q$5=35,R21,IF($Q$5=36,O12,IF($Q$5=37,R11,IF($Q$5=38,R11,IF($Q$5=39,R11,IF($Q$5=40,R11,IF($Q$5=41,R11,IF($Q$5=42,R11,IF($Q$5=43,R11,IF($Q$5=44,R11,IF($Q$5=45,R11,IF($Q$5=46,R11,IF($Q$5=47,R11,IF($Q$5=48,R11,IF($Q$5=49,R11,IF($Q$5=50,R11,IF($Q$5=51,R11,IF($Q$5=52,R11,IF($Q$5=53,R11,IF($Q$5=54,R11,0)))))))))))))))))))))))))))))))))))))))))))))))</f>
        <v>A1</v>
      </c>
      <c r="V10" s="157" t="str">
        <f>IF($Q$5=8,L10,IF($Q$5=9,T10,IF($Q$5=10,K12,IF($Q$5=11,S12,IF($Q$5=12,P12,IF($Q$5=13,S13,IF($Q$5=14,S12,IF($Q$5=15,S14,IF($Q$5=16,S10,IF($Q$5=17,S13,IF($Q$5=18,S13,IF($Q$5=19,S14,IF($Q$5=20,S13,IF($Q$5=21,S13,IF($Q$5=22,S13,IF($Q$5=23,S13,IF($Q$5=24,S13,IF($Q$5=25,S10,IF($Q$5=26,S13,IF($Q$5=27,S13,IF($Q$5=28,S10,IF($Q$5=29,S13,IF($Q$5=30,S13,IF($Q$5=31,S13,IF($Q$5=32,S10,IF($Q$5=33,S10,IF($Q$5=34,S10,IF($Q$5=35,S10,IF($Q$5=36,S12,IF($Q$5=37,S12,IF($Q$5=38,S12,IF($Q$5=39,S12,IF($Q$5=40,S12,IF($Q$5=41,S12,IF($Q$5=42,S12,IF($Q$5=43,S12,IF($Q$5=44,S12,IF($Q$5=45,S12,IF($Q$5=46,S12,IF($Q$5=47,S12,IF($Q$5=48,S12,IF($Q$5=49,S12,IF($Q$5=50,S12,IF($Q$5=51,S12,IF($Q$5=52,S12,IF($Q$5=53,S12,IF($Q$5=54,S12,0)))))))))))))))))))))))))))))))))))))))))))))))</f>
        <v>B4</v>
      </c>
      <c r="W10" s="172" t="str">
        <f>IF($Q$5=9,L11,IF($Q$5=10,L11,IF($Q$5=11,T11,IF($Q$5=12,T11,IF($Q$5=13,S11,IF($Q$5=14,S14,IF($Q$5=15,T12,IF($Q$5=16,T11,IF($Q$5=17,T12,IF($Q$5=18,T12,IF($Q$5=19,T12,IF($Q$5=20,T12,IF($Q$5=21,T12,IF($Q$5=22,T12,IF(Q$5=23,T12,IF($Q$5=24,T12,IF($Q$5=25,T12,IF($Q$5=26,T12,IF($Q$5=27,T12,IF($Q$5=28,T12,IF($Q$5=29,T11,IF($Q$5=30,T12,IF($Q$5=31,T12,IF($Q$5=32,T11,IF($Q$5=33,T11,IF($Q$5=34,T11,IF($Q$5=35,T11,IF($Q$5=36,T13,IF($Q$5=37,T13,IF($Q$5=38,T13,IF($Q$5=39,T13,IF($Q$5=40,T13,IF($Q$5=41,T13,IF($Q$5=42,T13,IF($Q$5=43,T13,IF($Q$5=44,T13,IF($Q$5=45,T13,IF($Q$5=46,T13,IF($Q$5=47,T13,IF($Q$5=48,T13,IF($Q$5=49,T13,IF($Q$5=50,T13,IF($Q$5=51,T13,IF($Q$5=52,T13,IF($Q$5=53,T13,IF($Q$5=54,T13,0))))))))))))))))))))))))))))))))))))))))))))))</f>
        <v>C2</v>
      </c>
      <c r="X10" s="23"/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2</v>
      </c>
      <c r="AR10" s="99" t="str">
        <f t="shared" ref="AR10:AR62" si="4">IF(ISNA(VLOOKUP(AP10,$Z$11:$AC$81,4,0))," ",IF(VLOOKUP(AP10,$Z$11:$AC$81,4,0)=0,"0",VLOOKUP(AP10,$Z$11:$AC$81,4,0)))</f>
        <v>0</v>
      </c>
      <c r="AS10" s="219">
        <f t="shared" ref="AS10:AS62" si="5">IF(ISNA(VLOOKUP(AP10,$Z$11:$AC$81,2,0))," ",IF(VLOOKUP(AP10,$Z$11:$AC$81,2,0)=0,"0",VLOOKUP(AP10,$Z$11:$AC$81,2,0)))</f>
        <v>6</v>
      </c>
      <c r="AT10" s="289">
        <f t="shared" ref="AT10:AT62" si="6">IF(ISNA(VLOOKUP(AP10,$AE$11:$AH$81,3,0))," ",IF(VLOOKUP(AP10,$AE$11:$AH$81,3,0)=0,"0",VLOOKUP(AP10,$AE$11:$AH$81,3,0)))</f>
        <v>1</v>
      </c>
      <c r="AU10" s="99">
        <f t="shared" ref="AU10:AU62" si="7">IF(ISNA(VLOOKUP(AP10,$AE$11:$AH$81,4,0))," ",IF(VLOOKUP(AP10,$AE$11:$AH$81,4,0)=0,"0",VLOOKUP(AP10,$AE$11:$AH$81,4,0)))</f>
        <v>-5</v>
      </c>
      <c r="AV10" s="291">
        <f t="shared" ref="AV10:AV62" si="8">IF(ISNA(VLOOKUP(AP10,$AE$11:$AH$81,2,0))," ",IF(VLOOKUP(AP10,$AE$11:$AH$81,2,0)=0,"0",VLOOKUP(AP10,$AE$11:$AH$81,2,0)))</f>
        <v>5</v>
      </c>
      <c r="AW10" s="286">
        <f t="shared" ref="AW10:AW62" si="9">IF(ISNA(VLOOKUP(AP10,$AJ$11:$AM$81,3,0))," ",IF(VLOOKUP(AP10,$AJ$11:$AM$81,3,0)=0,"0",VLOOKUP(AP10,$AJ$11:$AM$81,3,0)))</f>
        <v>1</v>
      </c>
      <c r="AX10" s="99">
        <f t="shared" ref="AX10:AX62" si="10">IF(ISNA(VLOOKUP(AP10,$AJ$11:$AM$81,4,0))," ",IF(VLOOKUP(AP10,$AJ$11:$AM$81,4,0)=0,"0",VLOOKUP(AP10,$AJ$11:$AM$81,4,0)))</f>
        <v>-1</v>
      </c>
      <c r="AY10" s="291" t="str">
        <f t="shared" ref="AY10:AY62" si="11">IF(ISNA(VLOOKUP(AP10,$AJ$11:$AM$81,2,0))," ",IF(VLOOKUP(AP10,$AJ$11:$AM$81,2,0)=0,"0",VLOOKUP(AP10,$AJ$11:$AM$81,2,0)))</f>
        <v>0</v>
      </c>
      <c r="AZ10" s="286">
        <f>SUMIFS(AQ10:AW10,$AQ$8:$AW$8,"Pts",AQ10:AW10,"&lt;&gt;#N/A")</f>
        <v>4</v>
      </c>
      <c r="BA10" s="99">
        <f t="shared" ref="BA10:BA62" si="12">SUMIFS(AQ10:AX10,$AQ$8:$AX$8,"GA",AQ10:AX10,"&lt;&gt;#N/A")</f>
        <v>-6</v>
      </c>
      <c r="BB10" s="291">
        <f t="shared" ref="BB10:BB62" si="13">SUMIFS(AQ10:AY10,$AQ$8:$AY$8,"Score",AQ10:AY10,"&lt;&gt;#N/A")</f>
        <v>11</v>
      </c>
      <c r="BC10" s="294">
        <f t="shared" ref="BC10:BC62" si="14">IF(BA10="","",IF(BA10&lt;0,BA10,0))</f>
        <v>-6</v>
      </c>
      <c r="BD10" s="7">
        <f t="shared" ref="BD10:BD62" si="15">IF(BA10="","",IF(BA10&gt;0,BA10,0))</f>
        <v>0</v>
      </c>
      <c r="BE10" s="218">
        <f t="shared" ref="BE10:BE62" si="16">IF(OR(AP10="",AZ10="",BA10="",BB10=""),"",RANK(AZ10,$AZ$9:$AZ$62)+SUM(-BA10/100)-(+BB10/10000)+COUNTIF(AP$9:AP$62,"&lt;="&amp;AP10+1)/1000000+ROW()/100000000)</f>
        <v>29.058900099999999</v>
      </c>
      <c r="BF10" s="99">
        <f>IF(AP10="","",SMALL(BE$9:BE$62,ROWS(AZ$9:AZ10)))</f>
        <v>1.97920027</v>
      </c>
      <c r="BG10" s="88"/>
      <c r="BH10" s="99" t="str">
        <f>IF(OR(AP10="",AZ10=""),"",INDEX($AP$9:$AP$63,MATCH(BF10,$BE$9:BE$62,0)))</f>
        <v>B1</v>
      </c>
      <c r="BI10" s="7">
        <f t="shared" si="0"/>
        <v>8</v>
      </c>
      <c r="BJ10" s="7">
        <f t="shared" si="1"/>
        <v>2</v>
      </c>
      <c r="BK10" s="7">
        <f t="shared" si="2"/>
        <v>8</v>
      </c>
      <c r="BL10" s="279">
        <f>IF(BF10="","",IF(AND(BI9=BI10,BJ9=BJ10,BK9=BK10),BL9,$BL$9+1))</f>
        <v>2</v>
      </c>
      <c r="BM10" s="29"/>
      <c r="BN10" s="40"/>
    </row>
    <row r="11" spans="1:66" ht="21" thickBot="1">
      <c r="A11" s="131">
        <v>2</v>
      </c>
      <c r="B11" s="393" t="s">
        <v>67</v>
      </c>
      <c r="C11" s="272">
        <f>IF($Q$5&gt;7,2,0)</f>
        <v>2</v>
      </c>
      <c r="D11" s="398" t="s">
        <v>85</v>
      </c>
      <c r="E11" s="272">
        <f>IF($Q$5&gt;7,2,0)</f>
        <v>2</v>
      </c>
      <c r="F11" s="396" t="s">
        <v>103</v>
      </c>
      <c r="G11" s="272">
        <f>IF($Q$5&gt;7,2,0)</f>
        <v>2</v>
      </c>
      <c r="H11" s="23"/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M11" s="155"/>
      <c r="N11" s="52" t="s">
        <v>5</v>
      </c>
      <c r="O11" s="141" t="str">
        <f>IF($Q$5&gt;=8,J11,0)</f>
        <v>A2</v>
      </c>
      <c r="P11" s="144" t="str">
        <f>IF($Q$5&gt;=8,K11,0)</f>
        <v>B2</v>
      </c>
      <c r="Q11" s="152" t="str">
        <f>IF($Q$5=10,L11,IF($Q$5=11,L11,IF($Q$5=12,L11,IF($Q$5=14,L11,IF($Q$5=15,L11,IF($Q$5=16,L11,IF($Q$5=17,L11,IF($Q$5=18,L11,IF($Q$5=19,L11,IF($Q$5=20,L11,IF($Q$5=21,L11,IF($Q$5=22,L11,IF($Q$5=23,L11,IF($Q$5=24,L11,IF($Q$5=25,L11,IF($Q$5=26,L11,IF($Q$5=27,L11,IF($Q$5=28,L11,IF($Q$5=29,L11,IF($Q$5=30,L11,IF($Q$5=31,L11,IF($Q$5=32,L11,IF($Q$5=33,L11,IF($Q$5=34,L11,IF($Q$5=35,L11,IF($Q$5=36,L11,IF($Q$5=37,L11,IF($Q$5=38,L11,IF($Q$5=39,L11,IF($Q$5=40,L11,IF($Q$5=41,L11,IF($Q$5=42,L11,IF($Q$5=43,L11,IF($Q$5=44,L11,IF($Q$5=45,L11,IF($Q$5=46,L11,IF($Q$5=47,L11,IF($Q$5=48,L11,IF($Q$5=49,L11,IF($Q$5=50,L11,IF($Q$5=51,L11,IF($Q$5=52,L11,IF($Q$5=53,L11,IF($Q$5=54,L11,0))))))))))))))))))))))))))))))))))))))))))))</f>
        <v>C2</v>
      </c>
      <c r="R11" s="158" t="str">
        <f>IF($Q$5=8,J10,IF($Q$5=9,O10,IF($Q$5=10,J13,IF($Q$5=11,J12,IF($Q$5=12,J13,IF($Q$5=13,J12,IF($Q$5=14,J12,IF($Q$5=15,J12,IF($Q$5=16,J12,IF($Q$5=17,J12,IF($Q$5=18,J12,IF($Q$5=19,J13,IF($Q$5=20,J12,IF($Q$5=21,J12,IF($Q$5=22,J12,IF($Q$5=23,J12,IF($Q$5=24,J12,IF($Q$5=25,J12,IF($Q$5=26,J12,IF($Q$5=27,J12,IF($Q$5=28,J12,IF($Q$5=29,J12,IF($Q$5=30,J12,IF($Q$5=31,J12,IF($Q$5=32,J12,IF($Q$5=33,J12,IF($Q$5=34,J12,IF($Q$5=35,J12,IF($Q$5=36,J12,IF($Q$5=37,J12,IF($Q$5=38,J12,IF($Q$5=39,J12,IF($Q$5=40,J12,IF($Q$5=41,J12,IF($Q$5=42,J12,IF($Q$5=43,J12,IF($Q$5=44,J12,IF($Q$5=45,J12,IF($Q$5=46,J12,IF($Q$5=47,J12,IF($Q$5=48,J12,IF($Q$5=49,J12,IF($Q$5=50,J12,IF($Q$5=51,J12,IF($Q$5=52,J12,IF($Q$5=53,J12,IF($Q$5=54,J12,0)))))))))))))))))))))))))))))))))))))))))))))))</f>
        <v>A3</v>
      </c>
      <c r="S11" s="159" t="str">
        <f>IF($Q$5=8,L10,IF($Q$5=9,K11,IF($Q$5=10,L11,IF($Q$5=11,K10,IF($Q$5=12,K12,IF($Q$5=13,P13,IF($Q$5=14,K13,IF($Q$5=15,K10,IF($Q$5=16,K13,IF($Q$5=17,K14,IF($Q$5=18,K14,IF($Q$5=19,K14,IF($Q$5=20,K14,IF($Q$5=21,K14,IF($Q$5=22,K14,IF($Q$5=23,K14,IF($Q$5=24,K14,IF($Q$5=25,K14,IF($Q$5=26,K14,IF(Q$5=27,K14,IF($Q$5=28,K14,IF($Q$5=29,K14,IF($Q$5=30,K14,IF($Q$5=31,K14,IF($Q$5=32,K14,IF($Q$5=33,K14,IF($Q$5=34,K14,IF($Q$5=35,K14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B5</v>
      </c>
      <c r="T11" s="180" t="str">
        <f>IF($Q$5=10,L10,IF($Q$5=11,L12,IF($Q$5=12,L11,IF($Q$5=14,L10,IF($Q$5=15,P15,IF($Q$5=16,P15,IF($Q$5=17,L11,IF($Q$5=18,L13,IF($Q$5=19,L10,IF($Q$5=20,L11,IF($Q$5=21,P17,IF($Q$5=22,L13,IF($Q$5=23,L13,IF($Q$5=24,L13,IF($Q$5=25,L13,IF($Q$5=26,L13,IF($Q$5=27,L13,IF($Q$5=28,L13,IF($Q$5=29,L10,IF($Q$5=30,L10,IF($Q$5=31,L13,IF($Q$5=32,L11,IF($Q$5=33,L11,IF($Q$5=34,L11,IF($Q$5=35,L11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))))))))</f>
        <v>C2</v>
      </c>
      <c r="U11" s="185" t="str">
        <f>IF($Q$5=8,J12,IF($Q$5=9,R12,IF($Q$5=10,J10,IF($Q$5=11,O11,IF($Q$5=12,O12,IF($Q$5=13,R11,IF($Q$5=14,R12,IF($Q$5=15,O13,IF($Q$5=16,O12,IF($Q$5=17,R12,IF($Q$5=18,R14,IF($Q$5=19,R14,IF($Q$5=20,R13,IF($Q$5=21,O14,IF($Q$5=22,O12,IF(Q$5=23,R13,IF($Q$5=24,O13,IF($Q$5=25,R12,IF($Q$5=26,O13,IF($Q$5=27,O13,IF($Q$5=28,O13,IF($Q$5=29,O13,IF($Q$5=30,O13,IF($Q$5=31,O13,IF($Q$5=32,R12,IF($Q$5=33,O13,IF($Q$5=34,O13,IF($Q$5=35,R12,IF($Q$5=36,O13,IF($Q$5=37,O13,IF($Q$5=38,O13,IF($Q$5=39,O13,IF($Q$5=40,O13,IF($Q$5=41,O13,IF($Q$5=42,R12,IF($Q$5=43,R12,IF($Q$5=44,O13,IF($Q$5=45,O13,IF($Q$5=46,R12,IF($Q$5=47,O13,IF($Q$5=48,O13,IF($Q$5=49,O13,IF($Q$5=50,O13,IF($Q$5=51,O13,IF($Q$5=52,O13,IF($Q$5=53,R12,IF($Q$5=54,O13,0)))))))))))))))))))))))))))))))))))))))))))))))</f>
        <v>A4</v>
      </c>
      <c r="V11" s="163" t="str">
        <f>IF($Q$5=8,K10,IF($Q$5=9,S12,IF($Q$5=10,K10,IF(Q$5=11,S10,IF($Q$5=12,S10,IF($Q$5=13,R15,IF($Q$5=14,S10,IF($Q$5=15,S10,IF($Q$5=16,S11,IF($Q$5=17,S10,IF($Q$5=18,S12,IF($Q$5=19,S10,IF($Q$5=20,S10,IF($Q$5=21,S17,IF($Q$5=22,S10,IF($Q$5=23,S10,IF($Q$5=24,S10,IF($Q$5=25,S13,IF($Q$5=26,S10,IF($Q$5=27,S10,IF($Q$5=28,S13,IF($Q$5=29,S10,IF($Q$5=30,S11,IF($Q$5=31,S10,IF($Q$5=32,S11,IF($Q$5=33,S11,IF($Q$5=34,S11,IF($Q$5=35,S11,IF($Q$5=36,S13,IF($Q$5=37,S13,IF($Q$5=38,S13,IF($Q$5=39,S13,IF($Q$5=40,S13,IF($Q$5=41,S13,IF($Q$5=42,S13,IF($Q$5=43,S13,IF($Q$5=44,S13,IF($Q$5=45,S13,IF($Q$5=46,S13,IF($Q$5=47,S13,IF($Q$5=48,S13,IF($Q$5=49,S13,IF($Q$5=50,S13,IF($Q$5=51,S13,IF($Q$5=52,S13,IF($Q$5=53,S13,IF($Q$5=54,S13,0)))))))))))))))))))))))))))))))))))))))))))))))</f>
        <v>B5</v>
      </c>
      <c r="W11" s="173" t="str">
        <f>IF($Q$5=10,L12,IF($Q$5=11,T10,IF($Q$5=12,Q10,IF(Q$5=14,T11,IF($Q$5=15,T11,IF(Q$5=16,S15,IF($Q$5=17,T13,IF($Q$5=18,T13,IF($Q$5=19,S17,IF($Q$5=20,T11,IF($Q$5=21,T10,IF($Q$5=22,T13,IF($Q$5=23,T13,IF($Q$5=24,T13,IF($Q$5=25,T13,IF($Q$5=26,T13,IF($Q$5=27,T13,IF($Q$5=28,T13,IF($Q$5=29,T13,IF($Q$5=30,T13,IF($Q$5=31,T13,IF($Q$5=32,T10,IF($Q$5=33,T10,IF($Q$5=34,T10,IF($Q$5=35,T10,IF($Q$5=36,T14,IF($Q$5=37,T14,IF($Q$5=38,T14,IF($Q$5=39,T14,IF($Q$5=40,T14,IF($Q$5=41,T14,IF($Q$5=42,T14,IF($Q$5=43,T14,IF($Q$5=44,T14,IF($Q$5=45,T14,IF($Q$5=46,T14,IF($Q$5=47,T14,IF($Q$5=48,T14,IF($Q$5=49,T14,IF($Q$5=50,T14,IF($Q$5=51,T14,IF($Q$5=52,T14,IF($Q$5=53,T14,IF($Q$5=54,T14,0))))))))))))))))))))))))))))))))))))))))))))</f>
        <v>C3</v>
      </c>
      <c r="X11" s="23"/>
      <c r="Y11" s="446">
        <v>1</v>
      </c>
      <c r="Z11" s="12" t="str">
        <f>+O10</f>
        <v>A1</v>
      </c>
      <c r="AA11" s="33">
        <v>6</v>
      </c>
      <c r="AB11" s="48">
        <f>IF(AA11+AA15=0,0,IF(AA11=AA15,2,IF(AA11&gt;AA15,3,1)))</f>
        <v>2</v>
      </c>
      <c r="AC11" s="13">
        <f>AA11-AA15</f>
        <v>0</v>
      </c>
      <c r="AD11" s="9"/>
      <c r="AE11" s="12" t="str">
        <f>+R10</f>
        <v>A2</v>
      </c>
      <c r="AF11" s="126">
        <v>5</v>
      </c>
      <c r="AG11" s="48">
        <f>IF(AF11+AF15=0,0,IF(AF11=AF15,2,IF(AF11&gt;AF15,3,1)))</f>
        <v>1</v>
      </c>
      <c r="AH11" s="13">
        <f>AF11-AF15</f>
        <v>-5</v>
      </c>
      <c r="AI11" s="9"/>
      <c r="AJ11" s="12" t="str">
        <f>+U10</f>
        <v>A1</v>
      </c>
      <c r="AK11" s="36">
        <v>4</v>
      </c>
      <c r="AL11" s="48">
        <f>IF(AK11+AK15=0,0,IF(AK11=AK15,2,IF(AK11&gt;AK15,3,1)))</f>
        <v>1</v>
      </c>
      <c r="AM11" s="13">
        <f>AK11-AK15</f>
        <v>-1</v>
      </c>
      <c r="AN11" s="23"/>
      <c r="AO11" s="54">
        <v>3</v>
      </c>
      <c r="AP11" s="321" t="str">
        <f>+Inscrits!B5</f>
        <v>A3</v>
      </c>
      <c r="AQ11" s="286">
        <f t="shared" si="3"/>
        <v>1</v>
      </c>
      <c r="AR11" s="99">
        <f t="shared" si="4"/>
        <v>-5</v>
      </c>
      <c r="AS11" s="219">
        <f t="shared" si="5"/>
        <v>5</v>
      </c>
      <c r="AT11" s="289">
        <f t="shared" si="6"/>
        <v>3</v>
      </c>
      <c r="AU11" s="99">
        <f t="shared" si="7"/>
        <v>5</v>
      </c>
      <c r="AV11" s="291">
        <f t="shared" si="8"/>
        <v>10</v>
      </c>
      <c r="AW11" s="286">
        <f t="shared" si="9"/>
        <v>3</v>
      </c>
      <c r="AX11" s="99">
        <f t="shared" si="10"/>
        <v>5</v>
      </c>
      <c r="AY11" s="291">
        <f t="shared" si="11"/>
        <v>14</v>
      </c>
      <c r="AZ11" s="286">
        <f t="shared" ref="AZ11:AZ62" si="17">SUMIFS(AQ11:AW11,$AQ$8:$AW$8,"Pts",AQ11:AW11,"&lt;&gt;#N/A")</f>
        <v>7</v>
      </c>
      <c r="BA11" s="99">
        <f t="shared" si="12"/>
        <v>5</v>
      </c>
      <c r="BB11" s="291">
        <f t="shared" si="13"/>
        <v>29</v>
      </c>
      <c r="BC11" s="294">
        <f t="shared" si="14"/>
        <v>0</v>
      </c>
      <c r="BD11" s="7">
        <f t="shared" si="15"/>
        <v>5</v>
      </c>
      <c r="BE11" s="218">
        <f t="shared" si="16"/>
        <v>3.9471001100000005</v>
      </c>
      <c r="BF11" s="99">
        <f>IF(AP11="","",SMALL(BE$9:BE$62,ROWS(AZ$9:AZ11)))</f>
        <v>1.97920045</v>
      </c>
      <c r="BG11" s="88"/>
      <c r="BH11" s="99" t="str">
        <f>IF(OR(AP11="",AZ11=""),"",INDEX($AP$9:$AP$63,MATCH(BF11,$BE$9:BE$62,0)))</f>
        <v>C1</v>
      </c>
      <c r="BI11" s="7">
        <f t="shared" si="0"/>
        <v>8</v>
      </c>
      <c r="BJ11" s="7">
        <f t="shared" si="1"/>
        <v>2</v>
      </c>
      <c r="BK11" s="7">
        <f t="shared" si="2"/>
        <v>8</v>
      </c>
      <c r="BL11" s="280">
        <f>IF(BF11="","",IF(AND(BI10=BI11,BJ10=BJ11,BK10=BK11),BL10,$BL$9+2))</f>
        <v>2</v>
      </c>
      <c r="BM11" s="29"/>
      <c r="BN11" s="40"/>
    </row>
    <row r="12" spans="1:66" ht="21" thickBot="1">
      <c r="A12" s="131">
        <v>3</v>
      </c>
      <c r="B12" s="393" t="s">
        <v>68</v>
      </c>
      <c r="C12" s="272">
        <f>IF($Q$5&gt;7,3,0)</f>
        <v>3</v>
      </c>
      <c r="D12" s="398" t="s">
        <v>86</v>
      </c>
      <c r="E12" s="272">
        <f>IF($Q$5&gt;7,3,0)</f>
        <v>3</v>
      </c>
      <c r="F12" s="396" t="s">
        <v>104</v>
      </c>
      <c r="G12" s="272">
        <f>IF($Q$5=8,0,3)</f>
        <v>3</v>
      </c>
      <c r="H12" s="23"/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M12" s="155"/>
      <c r="N12" s="82">
        <v>2</v>
      </c>
      <c r="O12" s="138" t="str">
        <f>IF($Q$5&gt;=8,J12,0)</f>
        <v>A3</v>
      </c>
      <c r="P12" s="139" t="str">
        <f>IF($Q$5&gt;=10,K12,IF($Q$5=8,L10,IF($Q$5=9,L11,0)))</f>
        <v>B3</v>
      </c>
      <c r="Q12" s="153" t="str">
        <f>IF($Q$5=11,L12,IF($Q$5=12,L12,IF($Q$5=15,L14,IF($Q$5=16,L12,IF($Q$5=17,L12,IF($Q$5=18,L12,IF($Q$5=19,L12,IF($Q$5=20,L12,IF($Q$5=21,L12,IF($Q$5=22,L12,IF($Q$5=23,L12,IF($Q$5=24,L12,IF($Q$5=25,L12,IF($Q$5=26,L12,IF($Q$5=27,L12,IF($Q$5=28,L12,IF($Q$5=29,L12,IF($Q$5=30,L12,IF($Q$5=31,L12,IF($Q$5=32,L12,IF($Q$5=33,L12,IF($Q$5=34,L12,IF($Q$5=35,L12,IF($Q$5=36,L12,IF($Q$5=37,L12,IF($Q$5=38,L12,IF($Q$5=39,L12,IF($Q$5=40,L12,IF($Q$5=41,L12,IF($Q$5=42,L12,IF($Q$5=43,L12,IF($Q$5=44,L12,IF($Q$5=45,L12,IF($Q$5=46,L12,IF($Q$5=47,L12,IF($Q$5=48,L12,IF($Q$5=49,L12,IF($Q$5=50,L12,IF($Q$5=51,L12,IF($Q$5=52,L12,IF($Q$5=53,L12,IF($Q$5=54,L12,0))))))))))))))))))))))))))))))))))))))))))</f>
        <v>C3</v>
      </c>
      <c r="R12" s="160" t="str">
        <f>IF($Q$5=8,J11,IF($Q$5=9,O11,IF($Q$5=10,J10,IF($Q$5=11,J11,IF(Q$5=12,J12,IF($Q$5=13,J10,IF($Q$5=14,J13,IF($Q$5=15,J13,IF($Q$5=16,J13,IF($Q$5=17,J14,IF($Q$5=18,J14,IF($Q$5=19,J12,IF($Q$5=20,J11,IF($Q$5=21,J11,IF($Q$5=22,J13,IF($Q$5=23,J13,IF($Q$5=24,J13,IF($Q$5=25,J13,IF($Q$5=26,J13,IF($Q$5=27,J13,IF($Q$5=28,J13,IF($Q$5=29,J13,IF($Q$5=30,J13,IF($Q$5=31,J13,IF($Q$5=32,J13,IF($Q$5=33,J13,IF($Q$5=34,J13,IF($Q$5=35,J13,IF($Q$5=36,J13,IF($Q$5=37,J13,IF($Q$5=38,J13,IF($Q$5=39,J13,IF($Q$5=40,J13,IF($Q$5=41,J13,IF($Q$5=42,J13,IF($Q$5=43,J13,IF($Q$5=44,J13,IF($Q$5=45,J13,IF($Q$5=46,J13,IF($Q$5=47,J13,IF($Q$5=48,J13,IF($Q$5=49,J13,IF($Q$5=50,C13,IF($Q$5=51,C13,IF($Q$5=52,C13,IF($Q$5=53,O13,IF($Q$5=54,O13,0)))))))))))))))))))))))))))))))))))))))))))))))</f>
        <v>A4</v>
      </c>
      <c r="S12" s="157" t="str">
        <f>IF($Q$5=8,K11,IF($Q$5=9,P10,IF($Q$5=10,K11,IF($Q$5=11,K11,IF($Q$5=12,K11,IF($Q$5=13,K11,IF($Q$5=14,K10,IF($Q$5=15,K11,IF($Q$5=16,K14,IF($Q$5=17,K11,IF($Q$5=18,K11,IF($Q$5=19,K11,IF($Q$5=20,K10,IF($Q$5=21,K11,IF($Q$5=22,K11,IF($Q$5=23,K15,IF($Q$5=24,K10,IF($Q$5=25,K11,IF($Q$5=26,K11,IF($Q$5=27,K11,IF($Q$5=28,K11,IF($Q$5=29,K11,IF($Q$5=30,K11,IF($Q$5=31,K10,IF($Q$5=32,K11,IF($Q$5=33,K11,IF($Q$5=34,K11,IF($Q$5=35,K11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)))))</f>
        <v>B2</v>
      </c>
      <c r="T12" s="179" t="str">
        <f>IF($Q$5=11,L10,IF($Q$5=12,L10,IF($Q$5=15,Q12,IF($Q$5=16,L10,IF($Q$5=17,L13,IF($Q$5=18,L15,IF($Q$5=19,P15,IF($Q$5=20,L13,IF($Q$5=21,L13,IF($Q$5=22,L14,IF($Q$5=23,L11,IF($Q$5=24,L11,IF($Q$5=25,P19,IF($Q$5=26,P19,IF($Q$5=27,P19,IF($Q$5=28,L10,IF($Q$5=29,L13,IF($Q$5=30,L14,IF($Q$5=31,L14,IF($Q$5=32,L14,IF($Q$5=33,L14,IF($Q$5=34,L14,IF($Q$5=35,L14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)))))))))</f>
        <v>C5</v>
      </c>
      <c r="U12" s="165" t="str">
        <f>IF($Q$5=8,J10,IF($Q$5=9,O12,IF($Q$5=10,J11,IF($Q$5=11,O10,IF($Q$5=12,O11,IF($Q$5=13,R14,IF(Q$5=14,R13,IF($Q$5=15,R13,IF(Q$5=16,O14,IF($Q$5=17,O13,IF($Q$5=18,R11,IF($Q$5=19,R12,IF($Q$5=20,R12,IF($Q$5=21,O13,IF($Q$5=22,R10,IF($Q$5=23,O13,IF($Q$5=24,O12,IF($Q$5=25,O12,IF($Q$5=26,O12,IF($Q$5=27,O12,IF($Q$5=28,O12,IF($Q$5=29,O12,IF($Q$5=30,O12,IF($Q$5=31,O12,IF($Q$5=32,O12,IF($Q$5=33,O12,IF($Q$5=34,O12,IF($Q$5=35,R11,IF($Q$5=36,O14,IF($Q$5=37,O14,IF($Q$5=38,O14,IF($Q$5=39,O14,IF($Q$5=40,O14,IF($Q$5=41,O14,IF($Q$5=42,O14,IF($Q$5=43,O14,IF($Q$5=44,O14,IF($Q$5=45,O14,IF($Q$5=46,O14,IF($Q$5=47,O14,IF($Q$5=48,O14,IF($Q$5=49,R13,IF($Q$5=50,O14,IF($Q$5=51,O14,IF($Q$5=52,O14,IF($Q$5=53,O14,IF($Q$5=54,O14,0)))))))))))))))))))))))))))))))))))))))))))))))</f>
        <v>A3</v>
      </c>
      <c r="V12" s="157" t="str">
        <f>IF($Q$5=8,L11,IF($Q$5=9,Q10,IF($Q$5=10,L10,IF($Q$5=11,S13,IF($Q$5=12,P10,IF($Q$5=13,S10,IF($Q$5=14,S13,IF($Q$5=15,S11,IF($Q$5=16,S14,IF($Q$5=17,S11,IF($Q$5=18,S11,IF($Q$5=19,S11,IF($Q$5=20,S11,IF($Q$5=21,S11,IF($Q$5=22,S11,IF($Q$5=23,S11,IF($Q$5=24,S11,IF($Q$5=25,S11,IF($Q$5=26,S11,IF($Q$5=27,S11,IF($Q$5=28,S11,IF($Q$5=29,S11,IF($Q$5=30,S10,IF($Q$5=31,S11,IF($Q$5=32,S16,IF($Q$5=33,S16,IF($Q$5=34,S16,IF($Q$5=35,S16,IF($Q$5=36,S14,IF($Q$5=37,S14,IF($Q$5=38,S14,IF($Q$5=39,S14,IF($Q$5=40,S14,IF($Q$5=41,S14,IF($Q$5=42,S14,IF($Q$5=43,S14,IF($Q$5=44,S14,IF($Q$5=45,S14,IF($Q$5=46,S14,IF($Q$5=47,S14,IF($Q$5=48,S14,IF($Q$5=49,S14,IF($Q$5=50,S14,IF($Q$5=51,S14,IF($Q$5=52,S14,IF($Q$5=53,S14,IF($Q$5=54,S14,0)))))))))))))))))))))))))))))))))))))))))))))))</f>
        <v>B6</v>
      </c>
      <c r="W12" s="172" t="str">
        <f>IF($Q$5=11,T12,IF($Q$5=12,T13,IF($Q$5=14,T14,IF($Q$5=15,S15,IF(Q$5=16,T10,IF($Q$5=17,T14,IF($Q$5=18,T14,IF($Q$5=19,S16,IF($Q$5=20,S16,IF($Q$5=21,T14,IF($Q$5=22,T14,IF($Q$5=23,T14,IF($Q$5=24,T14,IF($Q$5=25,S19,IF($Q$5=26,T14,IF($Q$5=27,T14,IF($Q$5=28,T14,IF($Q$5=29,T14,IF($Q$5=30,T14,IF($Q$5=31,T14,IF($Q$5=32,T12,IF($Q$5=33,T12,IF($Q$5=34,T12,IF($Q$5=35,T12,IF($Q$5=36,T15,IF($Q$5=37,T15,IF($Q$5=38,T15,IF($Q$5=39,T15,IF($Q$5=40,T15,IF($Q$5=41,T15,IF($Q$5=42,T15,IF($Q$5=43,T15,IF($Q$5=44,T15,IF($Q$5=45,T15,IF($Q$5=46,T15,IF($Q$5=47,T15,IF($Q$5=48,T15,IF($Q$5=49,T15,IF($Q$5=50,T15,IF($Q$5=51,T15,IF($Q$5=52,T15,IF($Q$5=53,T15,IF($Q$5=54,T15,0)))))))))))))))))))))))))))))))))))))))))))</f>
        <v>C5</v>
      </c>
      <c r="X12" s="23"/>
      <c r="Y12" s="447"/>
      <c r="Z12" s="14" t="str">
        <f>+P10</f>
        <v>B1</v>
      </c>
      <c r="AA12" s="59">
        <f>IF(ISTEXT(Z12),AA11,0)</f>
        <v>6</v>
      </c>
      <c r="AB12" s="59">
        <f>IF(ISTEXT(Z12),AB11,0)</f>
        <v>2</v>
      </c>
      <c r="AC12" s="60">
        <f>IF(ISTEXT(Z12),AC11,0)</f>
        <v>0</v>
      </c>
      <c r="AD12" s="11"/>
      <c r="AE12" s="14" t="str">
        <f>+S10</f>
        <v>B4</v>
      </c>
      <c r="AF12" s="59">
        <f>IF(ISTEXT(AE12),AF11,0)</f>
        <v>5</v>
      </c>
      <c r="AG12" s="59">
        <f>IF(ISTEXT(AE12),AG11,0)</f>
        <v>1</v>
      </c>
      <c r="AH12" s="61">
        <f>IF(ISTEXT(AE12),AH11,0)</f>
        <v>-5</v>
      </c>
      <c r="AI12" s="11"/>
      <c r="AJ12" s="14" t="str">
        <f>+V10</f>
        <v>B4</v>
      </c>
      <c r="AK12" s="18">
        <f>IF(ISTEXT(AJ12),AK11,0)</f>
        <v>4</v>
      </c>
      <c r="AL12" s="59">
        <f>IF(ISTEXT(AJ12),AL11,0)</f>
        <v>1</v>
      </c>
      <c r="AM12" s="62">
        <f>IF(ISTEXT(AJ12),AM11,0)</f>
        <v>-1</v>
      </c>
      <c r="AN12" s="23"/>
      <c r="AO12" s="54">
        <v>4</v>
      </c>
      <c r="AP12" s="321" t="str">
        <f>+Inscrits!B6</f>
        <v>A4</v>
      </c>
      <c r="AQ12" s="286">
        <f t="shared" si="3"/>
        <v>3</v>
      </c>
      <c r="AR12" s="99">
        <f t="shared" si="4"/>
        <v>5</v>
      </c>
      <c r="AS12" s="219">
        <f t="shared" si="5"/>
        <v>10</v>
      </c>
      <c r="AT12" s="289">
        <f t="shared" si="6"/>
        <v>1</v>
      </c>
      <c r="AU12" s="99">
        <f t="shared" si="7"/>
        <v>-7</v>
      </c>
      <c r="AV12" s="291">
        <f t="shared" si="8"/>
        <v>5</v>
      </c>
      <c r="AW12" s="286">
        <f t="shared" si="9"/>
        <v>3</v>
      </c>
      <c r="AX12" s="99">
        <f t="shared" si="10"/>
        <v>1</v>
      </c>
      <c r="AY12" s="291">
        <f t="shared" si="11"/>
        <v>5</v>
      </c>
      <c r="AZ12" s="286">
        <f t="shared" si="17"/>
        <v>7</v>
      </c>
      <c r="BA12" s="99">
        <f t="shared" si="12"/>
        <v>-1</v>
      </c>
      <c r="BB12" s="291">
        <f t="shared" si="13"/>
        <v>20</v>
      </c>
      <c r="BC12" s="294">
        <f t="shared" si="14"/>
        <v>-1</v>
      </c>
      <c r="BD12" s="7">
        <f t="shared" si="15"/>
        <v>0</v>
      </c>
      <c r="BE12" s="218">
        <f t="shared" si="16"/>
        <v>4.0080001200000002</v>
      </c>
      <c r="BF12" s="99">
        <f>IF(AP12="","",SMALL(BE$9:BE$62,ROWS(AZ$9:AZ12)))</f>
        <v>3.9190001400000001</v>
      </c>
      <c r="BG12" s="88"/>
      <c r="BH12" s="99" t="str">
        <f>IF(OR(AP12="",AZ12=""),"",INDEX($AP$9:$AP$63,MATCH(BF12,$BE$9:BE$62,0)))</f>
        <v>A6</v>
      </c>
      <c r="BI12" s="7">
        <f t="shared" si="0"/>
        <v>7</v>
      </c>
      <c r="BJ12" s="7">
        <f t="shared" si="1"/>
        <v>8</v>
      </c>
      <c r="BK12" s="7">
        <f t="shared" si="2"/>
        <v>10</v>
      </c>
      <c r="BL12" s="280">
        <f>IF(BF12="","",IF(AND(BI11=BI12,BJ11=BJ12,BK11=BK12),BL11,$BL$9+3))</f>
        <v>4</v>
      </c>
      <c r="BM12" s="29"/>
      <c r="BN12" s="40"/>
    </row>
    <row r="13" spans="1:66" ht="21" thickBot="1">
      <c r="A13" s="131">
        <v>4</v>
      </c>
      <c r="B13" s="393" t="s">
        <v>69</v>
      </c>
      <c r="C13" s="273">
        <f>IF($Q$5=8,0,IF($Q$5=9,0,4))</f>
        <v>4</v>
      </c>
      <c r="D13" s="398" t="s">
        <v>87</v>
      </c>
      <c r="E13" s="272">
        <f>IF($Q$5&gt;=11,4,0)</f>
        <v>4</v>
      </c>
      <c r="F13" s="396" t="s">
        <v>105</v>
      </c>
      <c r="G13" s="272">
        <f>IF($Q$5&gt;=12,4,0)</f>
        <v>4</v>
      </c>
      <c r="H13" s="23"/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M13" s="155"/>
      <c r="N13" s="52" t="s">
        <v>5</v>
      </c>
      <c r="O13" s="208" t="str">
        <f>IF($Q$5&gt;=10,J13,IF($Q$5=8,K12,IF($Q$5=9,K12,0)))</f>
        <v>A4</v>
      </c>
      <c r="P13" s="142" t="str">
        <f>IF($Q$5=8,L11,IF($Q$5=9,L12,IF($Q$5=10,L12,IF($Q$5=11,K13,IF($Q$5=12,K13,IF($Q$5=13,L11,IF($Q$5=14,K13,IF($Q$5=15,K13,IF($Q$5=16,K13,IF($Q$5=17,K13,IF($Q$5=18,K13,IF($Q$5=19,K13,IF($Q$5=20,K13,IF($Q$5=21,K13,IF(Q$5=22,K13,IF($Q$5=23,K13,IF($Q$5=24,K13,IF($Q$5=25,K13,IF($Q$5=26,K13,IF($Q$5=27,K13,IF($Q$5=28,K13,IF($Q$5=29,K13,IF($Q$5=30,K13,IF($Q$5=31,K13,IF($Q$5=32,K13,IF($Q$5=33,K13,IF($Q$5=34,K13,IF($Q$5=35,K13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Q13" s="152" t="str">
        <f>IF($Q$5=12,L13,IF($Q$5=16,L13,IF($Q$5=17,L13,IF($Q$5=18,L13,IF($Q$5=20,L13,IF($Q$5=21,L13,IF($Q$5=22,L13,IF($Q$5=23,L13,IF($Q$5=24,L13,IF($Q$5=25,L13,IF($Q$5=26,L13,IF($Q$5=27,L13,IF($Q$5=28,L13,IF($Q$5=29,L13,IF($Q$5=30,L13,IF($Q$5=31,L13,IF($Q$5=32,L13,IF($Q$5=33,L13,IF($Q$5=34,L13,IF($Q$5=35,L13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</f>
        <v>C4</v>
      </c>
      <c r="R13" s="161" t="str">
        <f>IF($Q$5=8,J12,IF($Q$5=9,O12,IF($Q$5=10,J11,IF($Q$5=11,J13,IF($Q$5=12,J11,IF($Q$5=13,J14,IF($Q$5=14,J14,IF($Q$5=15,J14,IF($Q$5=16,J14,IF($Q$5=17,J13,IF($Q$5=18,J11,IF($Q$5=19,J10,IF($Q$5=20,J13,IF($Q$5=21,J14,IF($Q$5=22,J14,IF($Q$5=23,J14,IF($Q$5=24,J14,IF($Q$5=25,J14,IF($Q$5=26,J14,IF($Q$5=27,J14,IF($Q$5=28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))))</f>
        <v>A5</v>
      </c>
      <c r="S13" s="162" t="str">
        <f>IF($Q$5=8,K10,IF($Q$5=9,Q10,IF($Q$5=10,K12,IF($Q$5=11,K12,IF($Q$5=12,K10,IF($Q$5=13,K12,IF($Q$5=14,K11,IF($Q$5=15,P12,IF($Q$5=16,K10,IF($Q$5=17,K12,IF($Q$5=18,K12,IF($Q$5=19,K12,IF($Q$5=20,K12,IF($Q$5=21,K12,IF($Q$5=22,K12,IF($Q$5=23,K16,IF($Q$5=24,K12,IF($Q$5=25,K12,IF($Q$5=26,K12,IF($Q$5=27,K12,IF($Q$5=28,K12,IF($Q$5=29,K12,IF($Q$5=30,K12,IF($Q$5=31,K12,IF($Q$5=32,K12,IF($Q$5=33,K12,IF($Q$5=34,K12,IF($Q$5=35,K12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)))))</f>
        <v>B3</v>
      </c>
      <c r="T13" s="181" t="str">
        <f>IF($Q$5=12,L13,IF($Q$5=16,L11,IF($Q$5=17,L14,IF($Q$5=18,L14,IF($Q$5=19,0,IF($Q$5=20,P16,IF($Q$5=21,L14,IF($Q$5=22,L15,IF($Q$5=23,L16,IF($Q$5=24,L15,IF($Q$5=25,L14,IF($Q$5=26,L14,IF($Q$5=27,L14,IF($Q$5=28,L14,IF($Q$5=29,L14,IF($Q$5=30,L15,IF($Q$5=31,L11,IF($Q$5=32,L13,IF($Q$5=33,L13,IF($Q$5=34,L13,IF($Q$5=35,L13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))))))))))</f>
        <v>C4</v>
      </c>
      <c r="U13" s="184" t="str">
        <f>IF($Q$5=8,K12,IF($Q$5=9,R10,IF($Q$5=10,J12,IF($Q$5=11,O12,IF($Q$5=12,O13,IF($Q$5=13,R13,IF($Q$5=14,R14,IF($Q$5=15,R14,IF(Q$5=16,O15,IF($Q$5=17,R11,IF($Q$5=18,O14,IF($Q$5=19,R11,IF($Q$5=20,R11,IF($Q$5=21,R12,IF($Q$5=22,O13,IF($Q$5=23,R14,IF($Q$5=24,O14,IF($Q$5=25,R13,IF($Q$5=26,O14,IF($Q$5=27,O14,IF($Q$5=28,O14,IF($Q$5=29,O14,IF($Q$5=30,O14,IF($Q$5=31,O14,IF($Q$5=32,O14,IF($Q$5=33,O14,IF($Q$5=34,O14,IF($Q$5=35,R13,IF($Q$5=36,O15,IF($Q$5=37,O15,IF($Q$5=38,O15,IF($Q$5=39,O15,IF($Q$5=40,O15,IF($Q$5=41,O15,IF($Q$5=42,O15,IF($Q$5=43,O15,IF($Q$5=44,O15,IF($Q$5=45,O15,IF($Q$5=46,O15,IF($Q$5=47,O15,IF($Q$5=48,O15,IF($Q$5=49,R14,IF($Q$5=50,O15,IF($Q$5=51,O15,IF($Q$5=52,O15,IF($Q$5=53,O15,IF($Q$5=54,O15,0)))))))))))))))))))))))))))))))))))))))))))))))</f>
        <v>A5</v>
      </c>
      <c r="V13" s="162" t="str">
        <f>IF($Q$5=8,K11,IF($Q$5=9,S11,IF($Q$5=10,K11,IF($Q$5=11,S11,IF($Q$5=12,S12,IF($Q$5=13,S14,IF($Q$5=14,S11,IF($Q$5=15,S12,IF($Q$5=16,S13,IF($Q$5=17,S14,IF($Q$5=18,S14,IF($Q$5=19,S12,IF($Q$5=20,S14,IF($Q$5=21,S14,IF($Q$5=22,S14,IF($Q$5=23,S14,IF($Q$5=24,S14,IF($Q$5=25,S14,IF($Q$5=26,S14,IF($Q$5=27,S14,IF($Q$5=28,S14,IF($Q$5=29,S16,IF($Q$5=30,S14,IF($Q$5=31,S14,IF($Q$5=32,S17,IF($Q$5=33,S17,IF($Q$5=34,S17,IF($Q$5=35,S17,IF($Q$5=36,S15,IF($Q$5=37,S15,IF($Q$5=38,S15,IF($Q$5=39,S15,IF($Q$5=40,S15,IF($Q$5=41,S15,IF($Q$5=42,S15,IF($Q$5=43,S15,IF($Q$5=44,S15,IF($Q$5=45,S15,IF($Q$5=46,S15,IF($Q$5=47,S15,IF($Q$5=48,S15,IF($Q$5=49,S15,IF($Q$5=50,S15,IF($Q$5=51,S15,IF($Q$5=52,S15,IF($Q$5=53,S15,IF($Q$5=54,S15,0)))))))))))))))))))))))))))))))))))))))))))))))</f>
        <v>B7</v>
      </c>
      <c r="W13" s="174" t="str">
        <f>IF($Q$5=12,T10,IF($Q$5=16,T13,IF($Q$5=17,T11,IF($Q$5=18,T15,IF($Q$5=20,T13,IF($Q$5=21,T11,IF($Q$5=22,T15,IF($Q$5=23,T15,IF($Q$5=24,T15,IF($Q$5=25,T14,IF($Q$5=26,T15,IF($Q$5=27,T15,IF($Q$5=28,T15,IF($Q$5=29,T15,IF($Q$5=30,T15,IF($Q$5=31,T15,IF($Q$5=32,T14,IF($Q$5=33,T14,IF($Q$5=34,T14,IF($Q$5=35,T14,IF($Q$5=36,T16,IF($Q$5=37,T16,IF($Q$5=38,T16,IF($Q$5=39,T16,IF($Q$5=40,T16,IF($Q$5=41,T16,IF($Q$5=42,T16,IF($Q$5=43,T16,IF($Q$5=44,T16,IF($Q$5=45,T16,IF($Q$5=46,T16,IF($Q$5=47,T16,IF($Q$5=48,T16,IF($Q$5=49,T16,IF($Q$5=50,T16,IF($Q$5=51,T16,IF($Q$5=52,T16,IF($Q$5=53,T16,IF($Q$5=54,T16,0)))))))))))))))))))))))))))))))))))))))</f>
        <v>C7</v>
      </c>
      <c r="X13" s="23"/>
      <c r="Y13" s="447"/>
      <c r="Z13" s="14" t="str">
        <f>+Q10</f>
        <v>C1</v>
      </c>
      <c r="AA13" s="63">
        <f>IF(ISTEXT(Z13),AA11,0)</f>
        <v>6</v>
      </c>
      <c r="AB13" s="64">
        <f>IF(ISTEXT(Z13),AB11,0)</f>
        <v>2</v>
      </c>
      <c r="AC13" s="65">
        <f>IF(ISTEXT(Z13),AC11,0)</f>
        <v>0</v>
      </c>
      <c r="AD13" s="11"/>
      <c r="AE13" s="14" t="str">
        <f>+T10</f>
        <v>C3</v>
      </c>
      <c r="AF13" s="63">
        <f>IF(ISTEXT(AE13),AF11,0)</f>
        <v>5</v>
      </c>
      <c r="AG13" s="64">
        <f>IF(ISTEXT(AE13),AG11,0)</f>
        <v>1</v>
      </c>
      <c r="AH13" s="66">
        <f>IF(ISTEXT(AE13),AH11,0)</f>
        <v>-5</v>
      </c>
      <c r="AI13" s="11"/>
      <c r="AJ13" s="14" t="str">
        <f>+W10</f>
        <v>C2</v>
      </c>
      <c r="AK13" s="67">
        <f>IF(ISTEXT(AJ13),AK11,0)</f>
        <v>4</v>
      </c>
      <c r="AL13" s="64">
        <f>IF(ISTEXT(AJ13),AL11,0)</f>
        <v>1</v>
      </c>
      <c r="AM13" s="68">
        <f>IF(ISTEXT(AJ13),AM11,0)</f>
        <v>-1</v>
      </c>
      <c r="AN13" s="23"/>
      <c r="AO13" s="54">
        <v>5</v>
      </c>
      <c r="AP13" s="321" t="str">
        <f>+Inscrits!B7</f>
        <v>A5</v>
      </c>
      <c r="AQ13" s="286">
        <f t="shared" si="3"/>
        <v>3</v>
      </c>
      <c r="AR13" s="99">
        <f t="shared" si="4"/>
        <v>2</v>
      </c>
      <c r="AS13" s="219">
        <f t="shared" si="5"/>
        <v>2</v>
      </c>
      <c r="AT13" s="289">
        <f t="shared" si="6"/>
        <v>3</v>
      </c>
      <c r="AU13" s="99">
        <f t="shared" si="7"/>
        <v>7</v>
      </c>
      <c r="AV13" s="291">
        <f t="shared" si="8"/>
        <v>12</v>
      </c>
      <c r="AW13" s="286">
        <f t="shared" si="9"/>
        <v>1</v>
      </c>
      <c r="AX13" s="99">
        <f t="shared" si="10"/>
        <v>-5</v>
      </c>
      <c r="AY13" s="291">
        <f t="shared" si="11"/>
        <v>9</v>
      </c>
      <c r="AZ13" s="286">
        <f t="shared" si="17"/>
        <v>7</v>
      </c>
      <c r="BA13" s="99">
        <f t="shared" si="12"/>
        <v>4</v>
      </c>
      <c r="BB13" s="291">
        <f t="shared" si="13"/>
        <v>23</v>
      </c>
      <c r="BC13" s="294">
        <f t="shared" si="14"/>
        <v>0</v>
      </c>
      <c r="BD13" s="7">
        <f t="shared" si="15"/>
        <v>4</v>
      </c>
      <c r="BE13" s="218">
        <f t="shared" si="16"/>
        <v>3.9577001300000001</v>
      </c>
      <c r="BF13" s="99">
        <f>IF(AP13="","",SMALL(BE$9:BE$62,ROWS(AZ$9:AZ13)))</f>
        <v>3.9278004800000001</v>
      </c>
      <c r="BG13" s="88"/>
      <c r="BH13" s="99" t="str">
        <f>IF(OR(AP13="",AZ13=""),"",INDEX($AP$9:$AP$63,MATCH(BF13,$BE$9:BE$62,0)))</f>
        <v>C4</v>
      </c>
      <c r="BI13" s="7">
        <f t="shared" si="0"/>
        <v>7</v>
      </c>
      <c r="BJ13" s="7">
        <f t="shared" si="1"/>
        <v>7</v>
      </c>
      <c r="BK13" s="7">
        <f t="shared" si="2"/>
        <v>22</v>
      </c>
      <c r="BL13" s="280">
        <f>IF(BF13="","",IF(AND(BI12=BI13,BJ12=BJ13,BK12=BK13),BL12,$BL$9+4))</f>
        <v>5</v>
      </c>
      <c r="BM13" s="29"/>
      <c r="BN13" s="40"/>
    </row>
    <row r="14" spans="1:66" ht="20.25">
      <c r="A14" s="131">
        <v>5</v>
      </c>
      <c r="B14" s="393" t="s">
        <v>70</v>
      </c>
      <c r="C14" s="272">
        <f>IF($Q$5&gt;=13,5,0)</f>
        <v>5</v>
      </c>
      <c r="D14" s="398" t="s">
        <v>88</v>
      </c>
      <c r="E14" s="272">
        <f>IF($Q$5&gt;=14,5,0)</f>
        <v>5</v>
      </c>
      <c r="F14" s="396" t="s">
        <v>106</v>
      </c>
      <c r="G14" s="272">
        <f>IF($Q$5&gt;=15,5,0)</f>
        <v>5</v>
      </c>
      <c r="H14" s="23"/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M14" s="155"/>
      <c r="N14" s="82">
        <v>3</v>
      </c>
      <c r="O14" s="138" t="str">
        <f>IF($Q$5=13,J14,IF($Q$5=14,J14,IF($Q$5=15,J14,IF($Q$5=16,J14,IF($Q$5=17,J14,IF($Q$5=18,J14,IF($Q$5=19,J14,IF($Q$5=20,J14,IF($Q$5=21,J14,IF($Q$5=22,J14,IF($Q$5=23,J14,IF($Q$5=24,J14,IF($Q$5=25,J14,IF($Q$5=26,J14,IF($Q$5=27,J14,IF($Q$5=28,J14,IF($Q$5=29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</f>
        <v>A5</v>
      </c>
      <c r="P14" s="139" t="str">
        <f>IF($Q$5=13,L12,IF($Q$5=14,L12,IF($Q$5=15,L12,IF($Q$5=16,K14,IF($Q$5=17,K14,IF($Q$5=18,K14,IF($Q$5=19,K14,IF($Q$5=20,K14,IF($Q$5=21,K14,IF($Q$5=22,K14,IF($Q$5=23,K14,IF($Q$5=24,K14,IF($Q$5=25,K14,IF($Q$5=26,K14,IF($Q$5=27,K14,IF($Q$5=28,K14,IF($Q$5=29,K14,IF($Q$5=30,K14,IF($Q$5=31,K14,IF($Q$5=32,K14,IF($Q$5=33,K14,IF($Q$5=34,K14,IF($Q$5=35,K14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</f>
        <v>B5</v>
      </c>
      <c r="Q14" s="153" t="str">
        <f>IF($Q$5=17,L14,IF($Q$5=18,L14,IF($Q$5=21,L14,IF($Q$5=22,L14,IF($Q$5=23,L14,IF($Q$5=24,L14,IF($Q$5=25,L14,IF($Q$5=26,L14,IF($Q$5=27,L14,IF($Q$5=28,L14,IF($Q$5=29,L14,IF($Q$5=30,L14,IF($Q$5=31,L14,IF($Q$5=32,L14,IF($Q$5=33,L14,IF($Q$5=34,L14,IF($Q$5=35,L14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</f>
        <v>C5</v>
      </c>
      <c r="R14" s="160" t="str">
        <f>IF($Q$5=13,J13,IF($Q$5=14,J10,IF($Q$5=15,J10,IF($Q$5=16,J15,IF($Q$5=17,J11,IF($Q$5=18,J13,IF($Q$5=19,J14,IF($Q$5=20,J14,IF($Q$5=21,J13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S14" s="163" t="str">
        <f>IF($Q$5=13,P14,IF($Q$5=14,L11,IF($Q$5=15,L10,IF($Q$5=16,K11,IF($Q$5=17,K15,IF($Q$5=18,K15,IF($Q$5=19,P10,IF($Q$5=20,K11,IF($Q$5=21,K15,IF($Q$5=22,K15,IF($Q$5=23,D17,IF($Q$5=24,K17,IF($Q$5=25,K16,IF($Q$5=26,K17,IF($Q$5=27,K15,IF($Q$5=28,K17,IF($Q$5=29,K15,IF($Q$5=30,K15,IF($Q$5=31,K17,IF($Q$5=32,K17,IF($Q$5=33,K17,IF($Q$5=34,K17,IF($Q$5=35,K17,IF($Q$5=36,K16,IF($Q$5=37,K16,IF($Q$5=38,K16,IF($Q$5=39,K16,IF($Q$5=40,K16,IF($Q$5=41,K16,IF($Q$5=42,K16,IF($Q$5=43,K16,IF($Q$5=44,K16,IF($Q$5=45,K16,IF($Q$5=46,K16,IF($Q$5=47,K16,IF($Q$5=48,K16,IF($Q$5=49,K16,IF($Q$5=50,K16,IF($Q$5=51,K16,IF($Q$5=52,K16,IF($Q$5=53,K16,IF($Q$5=54,K16,0))))))))))))))))))))))))))))))))))))))))))</f>
        <v>B8</v>
      </c>
      <c r="T14" s="182" t="str">
        <f>IF($Q$5=17,L10,IF($Q$5=18,L11,IF($Q$5=20,0,IF($Q$5=21,P16,IF($Q$5=22,P17,IF($Q$5=23,L15,IF($Q$5=24,L14,IF($Q$5=25,P17,IF($Q$5=26,L15,IF($Q$5=27,L15,IF($Q$5=28,L15,IF($Q$5=29,L15,IF($Q$5=30,L11,IF($Q$5=31,L16,IF($Q$5=32,L16,IF($Q$5=33,L16,IF($Q$5=34,L16,IF($Q$5=35,L16,IF($Q$5=36,L17,IF($Q$5=37,L17,IF($Q$5=38,L17,IF($Q$5=39,L17,IF($Q$5=40,L17,IF($Q$5=41,L17,IF($Q$5=42,L17,IF($Q$5=43,L17,IF($Q$5=44,L17,IF($Q$5=45,L17,IF($Q$5=46,L17,IF($Q$5=47,L17,IF($Q$5=48,L17,IF($Q$5=49,L17,IF($Q$5=50,L17,IF($Q$5=51,L17,IF($Q$5=52,L17,IF($Q$5=53,L17,IF($Q$5=54,L17,0)))))))))))))))))))))))))))))))))))))</f>
        <v>C7</v>
      </c>
      <c r="U14" s="160" t="str">
        <f>IF($Q$5=13,R10,IF($Q$5=14,R10,IF($Q$5=15,O11,IF($Q$5=16,O13,IF($Q$5=17,O11,IF($Q$5=18,R13,IF($Q$5=19,R10,IF($Q$5=20,R14,IF($Q$5=21,R11,IF($Q$5=22,O14,IF($Q$5=23,R17,IF($Q$5=24,R10,IF($Q$5=25,R10,IF($Q$5=26,O11,IF($Q$5=27,O11,IF($Q$5=28,R10,IF($Q$5=29,O11,IF($Q$5=30,R10,IF($Q$5=31,O15,IF($Q$5=32,O15,IF($Q$5=33,O15,IF($Q$5=34,O15,IF($Q$5=35,O15,IF($Q$5=36,O16,IF($Q$5=37,O16,IF($Q$5=38,O16,IF($Q$5=39,O16,IF($Q$5=40,O16,IF($Q$5=41,O16,IF($Q$5=42,O16,IF($Q$5=43,O16,IF($Q$5=44,O16,IF($Q$5=45,O16,IF($Q$5=46,O16,IF($Q$5=47,O16,IF($Q$5=48,O16,IF($Q$5=49,R15,IF($Q$5=50,O16,IF($Q$5=51,O16,IF($Q$5=52,O16,IF($Q$5=53,O16,IF($Q$5=54,O16,0))))))))))))))))))))))))))))))))))))))))))</f>
        <v>A6</v>
      </c>
      <c r="V14" s="157" t="str">
        <f>IF($Q$5=13,T10,IF($Q$5=14,P14,IF($Q$5=15,S13,IF($Q$5=16,S12,IF($Q$5=17,S15,IF($Q$5=18,S15,IF($Q$5=19,S13,IF($Q$5=20,S15,IF($Q$5=21,S10,IF($Q$5=22,S15,IF($Q$5=23,S17,IF($Q$5=24,S15,IF($Q$5=25,S15,IF($Q$5=26,S15,IF($Q$5=27,S15,IF($Q$5=28,S15,IF($Q$5=29,S15,IF($Q$5=30,S15,IF($Q$5=31,T11,IF($Q$5=32,S15,IF($Q$5=33,S15,IF($Q$5=34,S15,IF($Q$5=35,S15,IF($Q$5=36,S16,IF($Q$5=37,S16,IF($Q$5=38,S16,IF($Q$5=39,S16,IF($Q$5=40,S16,IF($Q$5=41,S16,IF($Q$5=42,S16,IF($Q$5=43,S16,IF($Q$5=44,S16,IF($Q$5=45,S16,IF($Q$5=46,S16,IF($Q$5=47,S16,IF($Q$5=48,S16,IF($Q$5=49,S16,IF($Q$5=50,S16,IF($Q$5=51,S16,IF($Q$5=52,S16,IF($Q$5=53,S16,IF($Q$5=54,S16,0))))))))))))))))))))))))))))))))))))))))))</f>
        <v>B9</v>
      </c>
      <c r="W14" s="172" t="str">
        <f>IF($Q$5=17,T10,IF($Q$5=18,T11,IF($Q$5=21,T13,IF($Q$5=22,T11,IF($Q$5=23,T11,IF($Q$5=24,T16,IF($Q$5=25,S17,IF($Q$5=26,S17,IF($Q$5=27,T16,IF($Q$5=28,T16,IF($Q$5=29,T16,IF($Q$5=30,T16,IF($Q$5=31,S19,IF($Q$5=32,T15,IF($Q$5=33,T15,IF($Q$5=34,T18,IF($Q$5=35,T20,IF($Q$5=36,T17,IF($Q$5=37,T17,IF($Q$5=38,T17,IF($Q$5=39,T17,IF($Q$5=40,T17,IF($Q$5=41,T17,IF($Q$5=42,T17,IF($Q$5=43,T17,IF($Q$5=44,T17,IF($Q$5=45,T17,IF($Q$5=46,T17,IF($Q$5=47,T17,IF($Q$5=48,T17,IF($Q$5=49,T17,IF($Q$5=50,T17,IF($Q$5=51,T17,IF($Q$5=52,T17,IF($Q$5=53,T17,IF($Q$5=54,T17,0))))))))))))))))))))))))))))))))))))</f>
        <v>C11</v>
      </c>
      <c r="X14" s="23"/>
      <c r="Y14" s="447"/>
      <c r="Z14" s="32"/>
      <c r="AA14" s="21" t="s">
        <v>5</v>
      </c>
      <c r="AB14" s="21"/>
      <c r="AC14" s="22"/>
      <c r="AD14" s="1"/>
      <c r="AE14" s="32"/>
      <c r="AF14" s="21" t="s">
        <v>5</v>
      </c>
      <c r="AG14" s="21"/>
      <c r="AH14" s="22"/>
      <c r="AI14" s="1"/>
      <c r="AJ14" s="32"/>
      <c r="AK14" s="21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>
        <f t="shared" si="3"/>
        <v>1</v>
      </c>
      <c r="AR14" s="99">
        <f t="shared" si="4"/>
        <v>-2</v>
      </c>
      <c r="AS14" s="219" t="str">
        <f t="shared" si="5"/>
        <v>0</v>
      </c>
      <c r="AT14" s="289">
        <f t="shared" si="6"/>
        <v>3</v>
      </c>
      <c r="AU14" s="99">
        <f t="shared" si="7"/>
        <v>5</v>
      </c>
      <c r="AV14" s="291">
        <f t="shared" si="8"/>
        <v>5</v>
      </c>
      <c r="AW14" s="286">
        <f t="shared" si="9"/>
        <v>3</v>
      </c>
      <c r="AX14" s="99">
        <f t="shared" si="10"/>
        <v>5</v>
      </c>
      <c r="AY14" s="291">
        <f t="shared" si="11"/>
        <v>5</v>
      </c>
      <c r="AZ14" s="286">
        <f t="shared" si="17"/>
        <v>7</v>
      </c>
      <c r="BA14" s="99">
        <f t="shared" si="12"/>
        <v>8</v>
      </c>
      <c r="BB14" s="291">
        <f t="shared" si="13"/>
        <v>10</v>
      </c>
      <c r="BC14" s="294">
        <f t="shared" si="14"/>
        <v>0</v>
      </c>
      <c r="BD14" s="7">
        <f t="shared" si="15"/>
        <v>8</v>
      </c>
      <c r="BE14" s="218">
        <f t="shared" si="16"/>
        <v>3.9190001400000001</v>
      </c>
      <c r="BF14" s="99">
        <f>IF(AP14="","",SMALL(BE$9:BE$62,ROWS(AZ$9:AZ14)))</f>
        <v>3.9471001100000005</v>
      </c>
      <c r="BG14" s="88"/>
      <c r="BH14" s="99" t="str">
        <f>IF(OR(AP14="",AZ14=""),"",INDEX($AP$9:$AP$63,MATCH(BF14,$BE$9:BE$62,0)))</f>
        <v>A3</v>
      </c>
      <c r="BI14" s="7">
        <f t="shared" si="0"/>
        <v>7</v>
      </c>
      <c r="BJ14" s="7">
        <f t="shared" si="1"/>
        <v>5</v>
      </c>
      <c r="BK14" s="7">
        <f t="shared" si="2"/>
        <v>29</v>
      </c>
      <c r="BL14" s="280">
        <f>IF(BF14="","",IF(AND(BI13=BI14,BJ13=BJ14,BK13=BK14),BL13,$BL$9+5))</f>
        <v>6</v>
      </c>
      <c r="BM14" s="29"/>
      <c r="BN14" s="40"/>
    </row>
    <row r="15" spans="1:66" ht="21" thickBot="1">
      <c r="A15" s="131">
        <v>6</v>
      </c>
      <c r="B15" s="393" t="s">
        <v>71</v>
      </c>
      <c r="C15" s="272">
        <f>IF($Q$5&gt;=16,6,0)</f>
        <v>6</v>
      </c>
      <c r="D15" s="398" t="s">
        <v>89</v>
      </c>
      <c r="E15" s="272">
        <f>IF($Q$5&gt;=17,6,0)</f>
        <v>6</v>
      </c>
      <c r="F15" s="396" t="s">
        <v>107</v>
      </c>
      <c r="G15" s="272">
        <f>IF($Q$5&gt;=18,6,0)</f>
        <v>6</v>
      </c>
      <c r="H15" s="23"/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M15" s="155"/>
      <c r="N15" s="52" t="s">
        <v>5</v>
      </c>
      <c r="O15" s="141" t="str">
        <f>IF($Q$5=13,K13,IF($Q$5=14,K14,IF($Q$5=15,K14,IF($Q$5=16,J15,IF($Q$5=17,J15,IF($Q5=18,J15,IF($Q$5=19,J15,IF($Q$5=20,J15,IF($Q$5=21,J15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P15" s="142" t="str">
        <f>IF($Q$5=13,L13,IF($Q$5=14,L13,IF($Q$5=15,L13,IF($Q$5=16,L14,IF($Q$5=17,K15,IF($Q$5=18,K15,IF($Q$5=19,L13,IF($Q$5=20,K15,IF($Q$5=21,K15,IF($Q$5=22,K15,IF($Q$5=23,K15,IF($Q$5=24,K15,IF($Q$5=25,K15,IF($Q$5=26,K15,IF($Q$5=27,K15,IF($Q$5=28,K15,IF($Q$5=29,K15,IF($Q$5=30,K15,IF($Q$5=31,K15,IF($Q$5=32,K15,IF($Q$5=33,K15,IF($Q$5=34,K15,IF($Q$5=35,K15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</f>
        <v>B6</v>
      </c>
      <c r="Q15" s="152" t="str">
        <f>IF($Q$5=18,L15,IF($Q$5=22,L15,IF($Q$5=23,L15,IF(Q$5=24,L15,IF($Q$5=26,L15,IF($Q$5=27,L15,IF($Q$5=28,L15,IF($Q$5=29,L15,IF($Q$5=30,L15,IF($Q$5=31,L15,IF($Q$5=32,L15,IF($Q$5=33,L15,IF($Q$5=34,L15,IF($Q$5=35,L15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</f>
        <v>C6</v>
      </c>
      <c r="R15" s="164" t="str">
        <f>IF($Q$5=13,K10,IF($Q$5=14,O15,IF($Q$5=15,O15,IF($Q$5=16,J10,IF($Q$5=17,J15,IF($Q$5=18,J15,IF($Q$5=19,J15,IF($Q$5=20,J15,IF($Q$5=21,J15,IF($Q$5=22,J16,IF($Q$5=23,J16,IF($Q$5=24,J16,IF($Q$5=25,J16,IF($Q$5=26,J16,IF($Q$5=27,J16,IF($Q$5=28,J16,IF($Q$5=29,O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))))))</f>
        <v>A7</v>
      </c>
      <c r="S15" s="159" t="str">
        <f>IF($Q$5=13,O15,IF($Q$5=14,P14,IF($Q$5=15,L11,IF($Q$5=16,L12,IF(Q$5=17,P10,IF($Q$5=18,K10,IF($Q$5=19,L11,IF($Q$5=20,K13,IF($Q$5=21,L10,IF($Q$5=22,K16,IF($Q$5=23,D10,IF($Q$5=24,K13,IF($Q$5=25,K15,IF($Q$5=26,K13,IF($Q$5=27,K16,IF($Q$5=28,K16,IF($Q$5=29,K16,IF($Q$5=30,K16,IF($Q$5=31,K15,IF($Q$5=32,K18,IF($Q$5=33,K18,IF($Q$5=34,K18,IF($Q$5=35,K18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))))))</f>
        <v>B9</v>
      </c>
      <c r="T15" s="183" t="str">
        <f>IF($Q$5=17,0,IF($Q$5=18,L10,IF($Q$5=21,0,IF($Q$5=22,L10,IF($Q$5=23,L14,IF($Q$5=24,L16,IF($Q$5=25,0,IF($Q$5=26,P18,IF($Q$5=27,L16,IF($Q$5=28,L16,IF($Q$5=29,L16,IF($Q$5=30,L16,IF($Q$5=31,L10,IF($Q$5=32,L15,IF($Q$5=33,L15,IF($Q$5=34,L15,IF($Q$5=35,L15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))))))))))))</f>
        <v>C6</v>
      </c>
      <c r="U15" s="185" t="str">
        <f>IF($Q$5=13,O15,IF($Q$5=14,R15,IF($Q$5=15,R15,IF($Q$5=16,R10,IF($Q$5=17,R15,IF($Q$5=18,R15,IF($Q$5=19,R15,IF($Q$5=20,R15,IF($Q$5=21,R15,IF($Q$5=22,R15,IF($Q$5=23,R15,IF($Q$5=24,O16,IF($Q$5=25,R15,IF($Q$5=26,R15,IF($Q$5=27,O16,IF($Q$5=28,O16,IF($Q$5=29,O16,IF($Q$5=30,O16,IF($Q$5=31,R15,IF($Q$5=32,O17,IF($Q$5=33,O17,IF($Q$5=34,R16,IF($Q$5=35,R16,IF($Q$5=36,O17,IF($Q$5=37,O17,IF($Q$5=38,O17,IF($Q$5=39,O17,IF($Q$5=40,O17,IF($Q$5=41,O17,IF($Q$5=42,O17,IF($Q$5=43,O17,IF($Q$5=44,O17,IF($Q$5=45,O17,IF($Q$5=46,O17,IF($Q$5=47,O17,IF($Q$5=48,O17,IF($Q$5=49,R16,IF($Q$5=50,O17,IF($Q$5=51,O17,IF($Q$5=52,O17,IF($Q$5=53,O17,IF($Q$5=54,O17,0))))))))))))))))))))))))))))))))))))))))))</f>
        <v>A8</v>
      </c>
      <c r="V15" s="162" t="str">
        <f>IF($Q$5=13,S12,IF($Q$5=14,L13,IF($Q$5=15,T10,IF($Q$5=16,T12,IF($Q$5=17,S12,IF($Q$5=18,S10,IF($Q$5=19,T11,IF($Q$5=20,S12,IF($Q$5=21,S12,IF($Q$5=22,S16,IF($Q$5=23,S16,IF($Q$5=24,S16,IF($Q$5=25,S18,IF($Q$5=26,S16,IF($Q$5=27,S16,IF($Q$5=28,S16,IF($Q$5=29,S14,IF($Q$5=30,S16,IF($Q$5=31,S16,IF($Q$5=32,S21,IF($Q$5=33,S19,IF($Q$5=34,S19,IF($Q$5=35,S19,IF($Q$5=36,S17,IF($Q$5=37,S17,IF($Q$5=38,S17,IF($Q$5=39,S17,IF($Q$5=40,S17,IF($Q$5=41,S17,IF($Q$5=42,S17,IF($Q$5=43,S17,IF($Q$5=44,S17,IF($Q$5=45,S17,IF($Q$5=46,S17,IF($Q$5=47,S17,IF($Q$5=48,S17,IF($Q$5=49,S17,IF($Q$5=50,S17,IF($Q$5=51,S17,IF($Q$5=52,S17,IF($Q$5=53,S17,IF($Q$5=54,S17,0))))))))))))))))))))))))))))))))))))))))))</f>
        <v>B10</v>
      </c>
      <c r="W15" s="174" t="str">
        <f>IF($Q$5=18,T10,IF($Q$5=22,S17,IF($Q$5=23,T16,IF($Q$5=24,T17,IF($Q$5=25,0,IF($Q$5=26,T11,IF($Q$5=27,S17,IF($Q$5=28,T17,IF($Q$5=29,T17,IF($Q$5=30,T17,IF($Q$5=31,S20,IF($Q$5=32,T13,IF($Q$5=33,T13,IF($Q$5=34,T13,IF($Q$5=35,T13,IF($Q$5=36,T18,IF($Q$5=37,T18,IF($Q$5=38,T18,IF($Q$5=39,S23,IF($Q$5=40,T18,IF($Q$5=41,T18,IF($Q$5=42,T18,IF($Q$5=43,T18,IF($Q$5=44,T18,IF($Q$5=45,T18,IF($Q$5=46,T18,IF($Q$5=47,T18,IF($Q$5=48,T18,IF($Q$5=49,T18,IF($Q$5=50,T18,IF($Q$5=51,T18,IF($Q$5=52,T18,IF($Q$5=53,T18,IF($Q$5=54,T18,0))))))))))))))))))))))))))))))))))</f>
        <v>C4</v>
      </c>
      <c r="X15" s="23"/>
      <c r="Y15" s="447"/>
      <c r="Z15" s="14" t="str">
        <f>+O11</f>
        <v>A2</v>
      </c>
      <c r="AA15" s="34">
        <v>6</v>
      </c>
      <c r="AB15" s="30">
        <f>IF(AA11+AA15=0,0,IF(AA11=AA15,2,IF(AA11&lt;AA15,3,1)))</f>
        <v>2</v>
      </c>
      <c r="AC15" s="15">
        <f>AA15-AA11</f>
        <v>0</v>
      </c>
      <c r="AD15" s="9"/>
      <c r="AE15" s="14" t="str">
        <f>+R11</f>
        <v>A3</v>
      </c>
      <c r="AF15" s="127">
        <v>10</v>
      </c>
      <c r="AG15" s="30">
        <f>IF(AF11+AF15=0,0,IF(AF11=AF15,2,IF(AF11&lt;AF15,3,1)))</f>
        <v>3</v>
      </c>
      <c r="AH15" s="15">
        <f>AF15-AF11</f>
        <v>5</v>
      </c>
      <c r="AI15" s="9"/>
      <c r="AJ15" s="14" t="str">
        <f>+U11</f>
        <v>A4</v>
      </c>
      <c r="AK15" s="37">
        <v>5</v>
      </c>
      <c r="AL15" s="30">
        <f>IF(AK11+AK15=0,0,IF(AK11=AK15,2,IF(AK11&lt;AK15,3,1)))</f>
        <v>3</v>
      </c>
      <c r="AM15" s="15">
        <f>AK15-AK11</f>
        <v>1</v>
      </c>
      <c r="AN15" s="23"/>
      <c r="AO15" s="54">
        <v>7</v>
      </c>
      <c r="AP15" s="321" t="str">
        <f>+Inscrits!B9</f>
        <v>A7</v>
      </c>
      <c r="AQ15" s="286">
        <f t="shared" si="3"/>
        <v>3</v>
      </c>
      <c r="AR15" s="99">
        <f t="shared" si="4"/>
        <v>1</v>
      </c>
      <c r="AS15" s="219">
        <f t="shared" si="5"/>
        <v>1</v>
      </c>
      <c r="AT15" s="289">
        <f t="shared" si="6"/>
        <v>1</v>
      </c>
      <c r="AU15" s="99">
        <f t="shared" si="7"/>
        <v>-5</v>
      </c>
      <c r="AV15" s="291" t="str">
        <f t="shared" si="8"/>
        <v>0</v>
      </c>
      <c r="AW15" s="286">
        <f t="shared" si="9"/>
        <v>3</v>
      </c>
      <c r="AX15" s="99">
        <f t="shared" si="10"/>
        <v>1</v>
      </c>
      <c r="AY15" s="291">
        <f t="shared" si="11"/>
        <v>1</v>
      </c>
      <c r="AZ15" s="286">
        <f t="shared" si="17"/>
        <v>7</v>
      </c>
      <c r="BA15" s="99">
        <f t="shared" si="12"/>
        <v>-3</v>
      </c>
      <c r="BB15" s="291">
        <f t="shared" si="13"/>
        <v>2</v>
      </c>
      <c r="BC15" s="294">
        <f t="shared" si="14"/>
        <v>-3</v>
      </c>
      <c r="BD15" s="7">
        <f t="shared" si="15"/>
        <v>0</v>
      </c>
      <c r="BE15" s="218">
        <f t="shared" si="16"/>
        <v>4.0298001499999998</v>
      </c>
      <c r="BF15" s="99">
        <f>IF(AP15="","",SMALL(BE$9:BE$62,ROWS(AZ$9:AZ15)))</f>
        <v>3.9494003400000004</v>
      </c>
      <c r="BG15" s="88"/>
      <c r="BH15" s="99" t="str">
        <f>IF(OR(AP15="",AZ15=""),"",INDEX($AP$9:$AP$63,MATCH(BF15,$BE$9:BE$62,0)))</f>
        <v>B8</v>
      </c>
      <c r="BI15" s="7">
        <f t="shared" si="0"/>
        <v>7</v>
      </c>
      <c r="BJ15" s="7">
        <f t="shared" si="1"/>
        <v>5</v>
      </c>
      <c r="BK15" s="7">
        <f t="shared" si="2"/>
        <v>6</v>
      </c>
      <c r="BL15" s="280">
        <f>IF(BF15="","",IF(AND(BI14=BI15,BJ14=BJ15,BK14=BK15),BL14,$BL$9+6))</f>
        <v>7</v>
      </c>
      <c r="BM15" s="29"/>
      <c r="BN15" s="40"/>
    </row>
    <row r="16" spans="1:66" ht="21" thickBot="1">
      <c r="A16" s="131">
        <v>7</v>
      </c>
      <c r="B16" s="393" t="s">
        <v>72</v>
      </c>
      <c r="C16" s="272">
        <f>IF($Q$5&gt;=19,7,0)</f>
        <v>7</v>
      </c>
      <c r="D16" s="398" t="s">
        <v>90</v>
      </c>
      <c r="E16" s="272">
        <f>IF($Q$5&gt;=20,7,0)</f>
        <v>7</v>
      </c>
      <c r="F16" s="396" t="s">
        <v>108</v>
      </c>
      <c r="G16" s="272">
        <f>IF($Q$5&gt;=21,7,0)</f>
        <v>7</v>
      </c>
      <c r="H16" s="23"/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M16" s="155"/>
      <c r="N16" s="82">
        <v>4</v>
      </c>
      <c r="O16" s="138" t="str">
        <f>IF($Q$5=19,J16,IF($Q$5=20,J16,IF($Q$5=21,J16,IF($Q$5=22,J16,IF($Q$5=23,J16,IF(Q$5=24,J16,IF($Q$5=25,J16,IF($Q$5=26,J16,IF(Q$5=27,J16,IF($Q$5=28,J16,IF($Q$5=29,J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</f>
        <v>A7</v>
      </c>
      <c r="P16" s="139" t="str">
        <f>IF($Q$5=19,L15,IF($Q$5=20,L14,IF($Q$5=21,L15,IF($Q$5=22,K16,IF($Q$5=23,K16,IF($Q$5=24,K16,IF($Q$5=25,K16,IF($Q$5=26,K16,IF($Q$5=27,K16,IF($Q$5=28,K16,IF($Q$5=29,K16,IF($Q$5=30,K16,IF($Q$5=31,K16,IF($Q$5=32,K16,IF($Q$5=33,K16,IF($Q$5=34,K16,IF($Q$5=35,K16,IF($Q$5=36,K16,IF($Q$5=37,K16,IF($Q$5=38,K16,IF($Q$5=39,K16,IF($Q$5=40,K16,IF($Q$5=41,K16,IF($Q$5=42,K16,IF($Q$5=43,K16,IF($Q$5=44,K16,IF($Q$5=45,K16,IF($Q$5=46,K16,IF($Q$5=47,K16,IF($Q$5=48,K16,IF($Q$5=49,K16,IF($Q$5=50,K16,IF($Q$5=51,K16,IF($Q$5=52,I16,IF($Q$5=53,K16,IF($Q$5=54,K16,0))))))))))))))))))))))))))))))))))))</f>
        <v>B7</v>
      </c>
      <c r="Q16" s="153" t="str">
        <f>IF($Q$5=23,L16,IF($Q$5=24,L16,IF($Q$5=27,L16,IF($Q$5=28,L16,IF($Q$5=29,L16,IF($Q$5=30,L16,IF($Q$5=31,L16,IF($Q$5=32,L16,IF($Q$5=33,L16,IF($Q$5=34,L16,IF($Q$5=35,L16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</f>
        <v>C7</v>
      </c>
      <c r="R16" s="165" t="str">
        <f>IF($Q$5=19,J16,IF($Q$5=20,J16,IF($Q$5=21,J16,IF($Q$5=22,J17,IF($Q$5=23,J17,IF($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S16" s="157" t="str">
        <f>IF($Q$5=19,P16,IF($Q$5=20,L10,IF($Q$5=21,L11,IF($Q$5=22,K10,IF($Q$5=23,D11,IF($Q$5=24,K15,IF($Q$5=25,K10,IF($Q$5=26,K15,IF($Q$5=27,K17,IF(Q$5=28,K15,IF($Q$5=29,K17,IF($Q$5=30,K17,IF($Q$5=31,P18,IF($Q$5=32,K15,IF($Q$5=33,K15,IF($Q$5=34,K15,IF($Q$5=35,K15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))))))</f>
        <v>B6</v>
      </c>
      <c r="T16" s="179" t="str">
        <f>IF($Q$5=22,0,IF($Q$5=23,L10,IF($Q$5=24,L10,IF($Q$5=26,0,IF($Q$5=27,P18,IF($Q$5=28,L17,IF($Q$5=29,L17,IF($Q$5=30,L17,IF($Q$5=31,L15,IF($Q$5=32,L10,IF($Q$5=33,L10,IF($Q$5=34,L10,IF($Q$5=35,L10,IF($Q$5=36,L19,IF($Q$5=37,P23,IF($Q$5=38,L19,IF($Q$5=39,L19,IF($Q$5=40,L19,IF($Q$5=41,L19,IF($Q$5=42,L19,IF($Q$5=43,L19,IF($Q$5=44,L19,IF($Q$5=45,L19,IF($Q$5=46,L19,IF($Q$5=47,L19,IF($Q$5=48,L19,IF($Q$5=49,L19,IF($Q$5=50,L19,IF($Q$5=51,L19,IF($Q$5=52,L19,IF($Q$5=53,L19,IF($Q$5=54,L19,0))))))))))))))))))))))))))))))))</f>
        <v>C1</v>
      </c>
      <c r="U16" s="165" t="str">
        <f>IF($Q$5=19,R16,IF($Q$5=20,R16,IF($Q$5=21,R16,IF($Q$5=22,R14,IF($Q$5=23,R16,IF($Q$5=24,R14,IF($Q$5=25,R14,IF($Q$5=26,R14,IF($Q$5=27,R14,IF($Q$5=28,R14,IF($Q$5=29,O15,IF($Q$5=30,O15,IF($Q$5=31,R16,IF($Q$5=32,R15,IF($Q$5=33,O16,IF($Q$5=34,O16,IF($Q$5=35,R15,IF($Q$5=36,O18,IF($Q$5=37,O18,IF($Q$5=38,O18,IF($Q$5=39,R17,IF($Q$5=40,O18,IF($Q$5=41,O18,IF($Q$5=42,O18,IF($Q$5=43,O18,IF($Q$5=44,O18,IF($Q$5=45,O18,IF($Q$5=46,O18,IF($Q$5=47,O18,IF($Q$5=48,O18,IF($Q$5=49,R17,IF($Q$5=50,O18,IF($Q$5=51,O18,IF($Q$5=52,O18,IF($Q$5=53,O18,IF($Q$5=54,O18,0))))))))))))))))))))))))))))))))))))</f>
        <v>A7</v>
      </c>
      <c r="V16" s="163" t="str">
        <f>IF($Q$5=19,S15,IF($Q$5=20,S17,IF($Q$5=21,S15,IF($Q$5=22,S12,IF($Q$5=23,S15,IF($Q$5=24,S12,IF($Q$5=25,S16,IF($Q$5=26,S19,IF($Q$5=27,T11,IF($Q$5=28,S19,IF($Q$5=29,S19,IF($Q$5=30,S19,IF($Q$5=31,R21,IF($Q$5=32,S20,IF($Q$5=33,S18,IF($Q$5=34,S18,IF($Q$5=35,S18,IF($Q$5=36,S18,IF($Q$5=37,S18,IF($Q$5=38,S18,IF($Q$5=39,S18,IF($Q$5=40,S18,IF($Q$5=41,S18,IF($Q$5=42,S18,IF($Q$5=43,S18,IF($Q$5=44,S18,IF($Q$5=45,S18,IF($Q$5=46,S18,IF($Q$5=47,S18,IF($Q$5=48,S18,IF($Q$5=49,S18,IF($Q$5=50,S18,IF($Q$5=51,S18,IF($Q$5=52,S18,IF($Q$5=53,S18,IF($Q$5=54,S18,0))))))))))))))))))))))))))))))))))))</f>
        <v>B1</v>
      </c>
      <c r="W16" s="173" t="str">
        <f>IF($Q$5=23,T10,IF($Q$5=24,T11,IF($Q$5=27,S18,IF($Q$5=28,T11,IF($Q$5=29,T12,IF($Q$5=30,T11,IF($Q$5=31,S18,IF($Q$5=32,T16,IF($Q$5=33,T16,IF($Q$5=34,T16,IF($Q$5=35,T19,IF($Q$5=36,T19,IF($Q$5=37,S21,IF($Q$5=38,T19,IF($Q$5=39,S22,IF($Q$5=40,T19,IF($Q$5=41,T19,IF($Q$5=42,T19,IF($Q$5=43,T19,IF($Q$5=44,T19,IF($Q$5=45,T19,IF($Q$5=46,T19,IF($Q$5=47,T19,IF($Q$5=48,T19,IF($Q$5=49,T19,IF($Q$5=50,T19,IF($Q$5=51,T19,IF($Q$5=52,T19,IF($Q$5=53,T19,IF($Q$5=54,T19,0))))))))))))))))))))))))))))))</f>
        <v>C1</v>
      </c>
      <c r="X16" s="23"/>
      <c r="Y16" s="447"/>
      <c r="Z16" s="14" t="str">
        <f>+P11</f>
        <v>B2</v>
      </c>
      <c r="AA16" s="69">
        <f>IF(ISTEXT(Z16),AA15,0)</f>
        <v>6</v>
      </c>
      <c r="AB16" s="18">
        <f>IF(ISTEXT(Z16),AB15,0)</f>
        <v>2</v>
      </c>
      <c r="AC16" s="62">
        <f>IF(ISTEXT(Z16),AC15,0)</f>
        <v>0</v>
      </c>
      <c r="AD16" s="11"/>
      <c r="AE16" s="14" t="str">
        <f>+S11</f>
        <v>B5</v>
      </c>
      <c r="AF16" s="18">
        <f>IF(ISTEXT(AE16),AF15,0)</f>
        <v>10</v>
      </c>
      <c r="AG16" s="18">
        <f>IF(ISTEXT(AE16),AG15,0)</f>
        <v>3</v>
      </c>
      <c r="AH16" s="62">
        <f>IF(ISTEXT(AE16),AH15,0)</f>
        <v>5</v>
      </c>
      <c r="AI16" s="11"/>
      <c r="AJ16" s="14" t="str">
        <f>+V11</f>
        <v>B5</v>
      </c>
      <c r="AK16" s="18">
        <f>IF(ISTEXT(AJ16),AK15,0)</f>
        <v>5</v>
      </c>
      <c r="AL16" s="18">
        <f>IF(ISTEXT(AJ16),AL15,0)</f>
        <v>3</v>
      </c>
      <c r="AM16" s="62">
        <f>IF(ISTEXT(AJ16),AM15,0)</f>
        <v>1</v>
      </c>
      <c r="AN16" s="23"/>
      <c r="AO16" s="54">
        <v>8</v>
      </c>
      <c r="AP16" s="321" t="str">
        <f>+Inscrits!B10</f>
        <v>A8</v>
      </c>
      <c r="AQ16" s="286">
        <f t="shared" si="3"/>
        <v>1</v>
      </c>
      <c r="AR16" s="99">
        <f t="shared" si="4"/>
        <v>-1</v>
      </c>
      <c r="AS16" s="219" t="str">
        <f t="shared" si="5"/>
        <v>0</v>
      </c>
      <c r="AT16" s="289">
        <f t="shared" si="6"/>
        <v>3</v>
      </c>
      <c r="AU16" s="99">
        <f t="shared" si="7"/>
        <v>1</v>
      </c>
      <c r="AV16" s="291">
        <f t="shared" si="8"/>
        <v>1</v>
      </c>
      <c r="AW16" s="286">
        <f t="shared" si="9"/>
        <v>1</v>
      </c>
      <c r="AX16" s="99">
        <f t="shared" si="10"/>
        <v>-5</v>
      </c>
      <c r="AY16" s="291" t="str">
        <f t="shared" si="11"/>
        <v>0</v>
      </c>
      <c r="AZ16" s="286">
        <f t="shared" si="17"/>
        <v>5</v>
      </c>
      <c r="BA16" s="99">
        <f t="shared" si="12"/>
        <v>-5</v>
      </c>
      <c r="BB16" s="291">
        <f t="shared" si="13"/>
        <v>1</v>
      </c>
      <c r="BC16" s="294">
        <f t="shared" si="14"/>
        <v>-5</v>
      </c>
      <c r="BD16" s="7">
        <f t="shared" si="15"/>
        <v>0</v>
      </c>
      <c r="BE16" s="218">
        <f t="shared" si="16"/>
        <v>21.04990016</v>
      </c>
      <c r="BF16" s="99">
        <f>IF(AP16="","",SMALL(BE$9:BE$62,ROWS(AZ$9:AZ16)))</f>
        <v>3.9494005500000005</v>
      </c>
      <c r="BG16" s="88"/>
      <c r="BH16" s="99" t="str">
        <f>IF(OR(AP16="",AZ16=""),"",INDEX($AP$9:$AP$63,MATCH(BF16,$BE$9:BE$62,0)))</f>
        <v>C11</v>
      </c>
      <c r="BI16" s="7">
        <f t="shared" si="0"/>
        <v>7</v>
      </c>
      <c r="BJ16" s="7">
        <f t="shared" si="1"/>
        <v>5</v>
      </c>
      <c r="BK16" s="7">
        <f t="shared" si="2"/>
        <v>6</v>
      </c>
      <c r="BL16" s="280">
        <f>IF(BF16="","",IF(AND(BI15=BI16,BJ15=BJ16,BK15=BK16),BL15,$BL$9+7))</f>
        <v>7</v>
      </c>
      <c r="BM16" s="29"/>
      <c r="BN16" s="40"/>
    </row>
    <row r="17" spans="1:66" ht="21" thickBot="1">
      <c r="A17" s="131">
        <v>8</v>
      </c>
      <c r="B17" s="393" t="s">
        <v>73</v>
      </c>
      <c r="C17" s="272">
        <f>IF($Q$5&gt;=22,8,0)</f>
        <v>8</v>
      </c>
      <c r="D17" s="398" t="s">
        <v>91</v>
      </c>
      <c r="E17" s="272">
        <f>IF($Q$5&gt;=23,8,0)</f>
        <v>8</v>
      </c>
      <c r="F17" s="396" t="s">
        <v>109</v>
      </c>
      <c r="G17" s="272">
        <f>IF($Q$5&gt;=24,8,0)</f>
        <v>8</v>
      </c>
      <c r="H17" s="23"/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M17" s="155"/>
      <c r="N17" s="52" t="s">
        <v>5</v>
      </c>
      <c r="O17" s="145" t="str">
        <f>IF($Q$5=19,K15,IF($Q$5=20,K16,IF($Q$5=21,K16,IF($Q$5=22,J17,IF($Q$5=23,J17,IF(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P17" s="149" t="str">
        <f>IF($Q$5=19,L14,IF($Q$5=20,L15,IF($Q$5=21,L16,IF(Q$5=22,L16,IF($Q$5=23,K17,IF($Q$5=24,K17,IF($Q$5=25,L15,IF($Q$5=26,K17,IF($Q$5=27,K17,IF($Q$5=28,K17,IF($Q$5=29,K17,IF($Q$5=30,K17,IF($Q$5=31,K17,IF($Q$5=32,K17,IF($Q$5=33,K17,IF($Q$5=34,K17,IF($Q$5=35,K17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</f>
        <v>B8</v>
      </c>
      <c r="Q17" s="152" t="str">
        <f>IF($Q$5=24,L17,IF($Q$5=28,L17,IF($Q$5=29,L17,IF($Q$5=30,L17,IF($Q$5=31,0,IF($Q$5=32,L17,IF($Q$5=33,L17,IF($Q$5=34,L17,IF($Q$5=35,L17,IF($Q$5=36,L17,IF($Q$5=37,L17,IF($Q$5=38,L17,IF($Q$5=39,L17,IF(Q$5=40,L17,IF($Q$5=41,L17,IF($Q$5=42,L17,IF($Q$5=43,L17,IF($Q$5=44,L17,IF($Q$5=45,L17,IF($Q$5=46,L17,IF($Q$5=47,L17,IF($Q$5=48,L17,IF($Q$5=49,L17,IF($Q$5=50,L17,IF($Q$5=51,L17,IF($Q$5=52,L17,IF($Q$5=53,L17,IF($Q$5=54,L17,0))))))))))))))))))))))))))))</f>
        <v>C8</v>
      </c>
      <c r="R17" s="166" t="str">
        <f>IF($Q$5=19,K15,IF($Q$5=20,O17,IF($Q$5=21,O17,IF($Q$5=22,J10,IF($Q$5=23,J10,IF($Q$5=24,J10,IF($Q$5=25,J18,IF($Q$5=26,J18,IF($Q$5=27,J18,IF($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))))))</f>
        <v>A9</v>
      </c>
      <c r="S17" s="162" t="str">
        <f>IF($Q$5=19,L12,IF($Q$5=20,K15,IF($Q$5=21,L12,IF($Q$5=22,L11,IF($Q$5=23,K12,IF($Q$5=24,K11,IF($Q$5=25,L10,IF($Q$5=26,L10,IF($Q$5=27,L10,IF($Q$5=28,K10,IF($Q$5=29,K19,IF($Q$5=30,K19,IF(Q$5=31,P16,IF($Q$5=32,K16,IF($Q$5=33,K16,IF($Q$5=34,K16,IF($Q$5=35,K16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))))))</f>
        <v>B7</v>
      </c>
      <c r="T17" s="181" t="str">
        <f>IF($Q$5=24,L17,IF($Q$5=27,0,IF($Q$5=28,P19,IF($Q$6=29,L18,IF($Q$5=29,L18,IF($Q$5=30,L18,IF($Q$5=32,L17,IF($Q$5=33,L17,IF($Q$5=34,L17,IF($Q$5=35,L17,IF($Q$5=36,L20,IF($Q$5=37,P22,IF($Q$5=38,P22,IF($Q$5=39,L20,IF($Q$5=40,L20,IF($Q$5=41,L20,IF($Q$5=42,L20,IF($Q$5=43,L20,IF($Q$5=44,L20,IF($Q$5=45,L20,IF($Q$5=46,L20,IF($Q$5=47,L20,IF($Q$5=48,L20,IF($Q$5=49,L20,IF($Q$5=50,L20,IF($Q$5=51,L20,IF($Q$5=52,L20,IF($Q$5=53,L20,IF($Q$5=54,L20,0)))))))))))))))))))))))))))))</f>
        <v>C8</v>
      </c>
      <c r="U17" s="209" t="str">
        <f>IF($Q$5=19,R17,IF($Q$5=20,R17,IF($Q$5=21,K16,IF($Q$5=22,R16,IF($Q$5=23,R10,IF($Q$5=24,R16,IF($Q$5=25,R16,IF($Q$5=26,R16,IF($Q$5=27,R16,IF($Q$5=28,R17,IF($Q$5=29,O18,IF($Q$5=30,O18,IF($Q$5=31,R17,IF($Q$5=32,O18,IF($Q$5=33,R17,IF($Q$5=34,O18,IF($Q$5=35,R17,IF($Q$5=36,R18,IF($Q$5=37,O19,IF($Q$5=38,O19,IF($Q$5=39,O19,IF($Q$5=40,R18,IF($Q$5=41,O19,IF($Q$5=42,R18,IF($Q$5=43,R18,IF($Q$5=44,O19,IF($Q$5=45,R18,IF($Q$5=46,R18,IF($Q$5=47,R18,IF($Q$5=48,R18,IF($Q$5=49,R18,IF($Q$5=50,R18,IF($Q$5=51,R18:R18,IF($Q$5=52,R18,IF($Q$5=53,R18,IF($Q$5=54,O19,0))))))))))))))))))))))))))))))))))))</f>
        <v>A9</v>
      </c>
      <c r="V17" s="159" t="str">
        <f>IF($Q$5=19,T10,IF($Q$5=20,T10,IF($Q$5=21,S16,IF($Q$5=22,T10,IF($Q$5=23,S12,IF($Q$5=24,S17,IF($Q$5=25,T10,IF($Q$5=26,S12,IF($Q$5=27,S12,IF($Q$5=28,S17,IF($Q$5=29,S18,IF($Q$5=30,S17,IF($Q$5=31,S17,IF($Q$5=32,S12,IF($Q$5=33,S12,IF($Q$5=34,S12,IF($Q$5=35,S12,IF($Q$5=36,S19,IF($Q$5=37,S19,IF($Q$5=38,S19,IF($Q$5=39,S19,IF($Q$5=40,S19,IF($Q$5=41,S19,IF($Q$5=42,S19,IF($Q$5=43,S19,IF($Q$5=44,S19,IF($Q$5=45,S19,IF($Q$5=46,S19,IF($Q$5=47,S19,IF($Q$5=48,S19,IF($Q$5=49,S19,IF($Q$5=50,S19,IF($Q$5=51,S19,IF($Q$5=52,S19,IF($Q$5=53,S19,IF($Q$5=54,S19,0))))))))))))))))))))))))))))))))))))</f>
        <v>B2</v>
      </c>
      <c r="W17" s="175" t="str">
        <f>IF($Q$5=24,T10,IF($Q$5=27,0,IF($Q$5=28,S18,IF($Q$5=29,T18,IF($Q$5=30,T18,IF($Q$5=32,T17,IF($Q$5=33,T17,IF($Q$5=34,T17,IF($Q$5=35,T17,IF($Q$5=36,T20,IF($Q$5=37,S22,IF($Q$5=38,S22,IF($Q$5=39,T18,IF($Q$5=40,T20,IF($Q$5=41,T20,IF($Q$5=42,T20,IF($Q$5=43,T20,IF($Q$5=44,T20,IF($Q$5=45,T20,IF($Q$5=46,T20,IF($Q$5=47,T20,IF($Q$5=48,T20,IF($Q$5=49,T20,IF($Q$5=50,T20,IF($Q$5=51,T20,IF($Q$5=52,T20,IF($Q$5=53,T20,IF($Q$5=54,T20,0))))))))))))))))))))))))))))</f>
        <v>C8</v>
      </c>
      <c r="X17" s="23"/>
      <c r="Y17" s="448"/>
      <c r="Z17" s="16" t="str">
        <f>+Q11</f>
        <v>C2</v>
      </c>
      <c r="AA17" s="69">
        <f>IF(ISTEXT(Z17),AA15,0)</f>
        <v>6</v>
      </c>
      <c r="AB17" s="18">
        <f>IF(ISTEXT(Z17),AB15,0)</f>
        <v>2</v>
      </c>
      <c r="AC17" s="62">
        <f>IF(ISTEXT(Z17),AC15,0)</f>
        <v>0</v>
      </c>
      <c r="AD17" s="11"/>
      <c r="AE17" s="16" t="str">
        <f>+T11</f>
        <v>C2</v>
      </c>
      <c r="AF17" s="18">
        <f>IF(ISTEXT(AE17),AF15,0)</f>
        <v>10</v>
      </c>
      <c r="AG17" s="18">
        <f>IF(ISTEXT(AE17),AG15,0)</f>
        <v>3</v>
      </c>
      <c r="AH17" s="62">
        <f>IF(ISTEXT(AE17),AH15,0)</f>
        <v>5</v>
      </c>
      <c r="AI17" s="11"/>
      <c r="AJ17" s="16" t="str">
        <f>+W11</f>
        <v>C3</v>
      </c>
      <c r="AK17" s="18">
        <f>IF(ISTEXT(AJ17),AK15,0)</f>
        <v>5</v>
      </c>
      <c r="AL17" s="18">
        <f>IF(ISTEXT(AJ17),AL15,0)</f>
        <v>3</v>
      </c>
      <c r="AM17" s="62">
        <f>IF(ISTEXT(AJ17),AM15,0)</f>
        <v>1</v>
      </c>
      <c r="AN17" s="23"/>
      <c r="AO17" s="54">
        <v>9</v>
      </c>
      <c r="AP17" s="321" t="str">
        <f>+Inscrits!B11</f>
        <v>A9</v>
      </c>
      <c r="AQ17" s="286">
        <f t="shared" si="3"/>
        <v>3</v>
      </c>
      <c r="AR17" s="99">
        <f t="shared" si="4"/>
        <v>1</v>
      </c>
      <c r="AS17" s="219">
        <f t="shared" si="5"/>
        <v>1</v>
      </c>
      <c r="AT17" s="289">
        <f t="shared" si="6"/>
        <v>1</v>
      </c>
      <c r="AU17" s="99">
        <f t="shared" si="7"/>
        <v>-1</v>
      </c>
      <c r="AV17" s="291" t="str">
        <f t="shared" si="8"/>
        <v>0</v>
      </c>
      <c r="AW17" s="286">
        <f t="shared" si="9"/>
        <v>1</v>
      </c>
      <c r="AX17" s="99">
        <f t="shared" si="10"/>
        <v>-1</v>
      </c>
      <c r="AY17" s="291" t="str">
        <f t="shared" si="11"/>
        <v>0</v>
      </c>
      <c r="AZ17" s="286">
        <f t="shared" si="17"/>
        <v>5</v>
      </c>
      <c r="BA17" s="99">
        <f t="shared" si="12"/>
        <v>-1</v>
      </c>
      <c r="BB17" s="291">
        <f t="shared" si="13"/>
        <v>1</v>
      </c>
      <c r="BC17" s="294">
        <f t="shared" si="14"/>
        <v>-1</v>
      </c>
      <c r="BD17" s="7">
        <f t="shared" si="15"/>
        <v>0</v>
      </c>
      <c r="BE17" s="218">
        <f t="shared" si="16"/>
        <v>21.009900170000002</v>
      </c>
      <c r="BF17" s="99">
        <f>IF(AP17="","",SMALL(BE$9:BE$62,ROWS(AZ$9:AZ17)))</f>
        <v>3.9577001300000001</v>
      </c>
      <c r="BG17" s="88"/>
      <c r="BH17" s="99" t="str">
        <f>IF(OR(AP17="",AZ17=""),"",INDEX($AP$9:$AP$63,MATCH(BF17,$BE$9:BE$62,0)))</f>
        <v>A5</v>
      </c>
      <c r="BI17" s="7">
        <f t="shared" si="0"/>
        <v>7</v>
      </c>
      <c r="BJ17" s="7">
        <f t="shared" si="1"/>
        <v>4</v>
      </c>
      <c r="BK17" s="7">
        <f t="shared" si="2"/>
        <v>23</v>
      </c>
      <c r="BL17" s="280">
        <f>IF(BF17="","",IF(AND(BI16=BI17,BJ16=BJ17,BK16=BK17),BL16,$BL$9+8))</f>
        <v>9</v>
      </c>
      <c r="BM17" s="29"/>
      <c r="BN17" s="264"/>
    </row>
    <row r="18" spans="1:66" ht="21" thickBot="1">
      <c r="A18" s="131">
        <v>9</v>
      </c>
      <c r="B18" s="393" t="s">
        <v>74</v>
      </c>
      <c r="C18" s="272">
        <f>IF($Q$5&gt;=25,9,0)</f>
        <v>9</v>
      </c>
      <c r="D18" s="398" t="s">
        <v>92</v>
      </c>
      <c r="E18" s="272">
        <f>IF($Q$5&gt;=26,9,0)</f>
        <v>9</v>
      </c>
      <c r="F18" s="396" t="s">
        <v>110</v>
      </c>
      <c r="G18" s="272">
        <f>IF($Q$5&gt;=27,9,0)</f>
        <v>9</v>
      </c>
      <c r="H18" s="23"/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M18" s="155"/>
      <c r="N18" s="82">
        <v>5</v>
      </c>
      <c r="O18" s="138" t="str">
        <f>IF($Q$5=25,J18,IF($Q$5=26,J18,IF($Q$5=27,J18,IF(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</f>
        <v>A9</v>
      </c>
      <c r="P18" s="150" t="str">
        <f>IF($Q$5=25,L16,IF($Q$5=26,L16,IF($Q$5=27,L17,IF($Q$5=28,K18,IF($Q$5=29,K18,IF($Q$5=30,K18,IF($Q$5=31,K18,IF($Q$5=32,K19,IF($Q$5=33,K18,IF($Q$5=34,K18,IF($Q$5=35,K18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</f>
        <v>B9</v>
      </c>
      <c r="Q18" s="153" t="str">
        <f>IF($Q$5=29,L18,IF($Q$5=30,L18,IF($Q$5=33,L18,IF($Q$5=34,L18,IF($Q$5=35,L18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</f>
        <v>C9</v>
      </c>
      <c r="R18" s="167" t="str">
        <f>IF($Q$5=25,O19,IF($Q$5=26,O19,IF($Q$5=27,J10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S18" s="163" t="str">
        <f>IF($Q$5=25,L11,IF($Q$5=26,L11,IF(Q$5=27,Q11,IF($Q$5=28,L11,IF($Q$5=29,K10,IF($Q$5=30,K10,IF($Q$5=31,P21,IF($Q$5=32,P20,IF($Q$5=33,K10,IF($Q$5=34,K10,IF($Q$5=35,K10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))))))</f>
        <v>B1</v>
      </c>
      <c r="T18" s="182" t="str">
        <f>IF($Q$5=27,0,IF($Q$5=29,L11,IF($Q$5=30,L13,IF(J$5=32,0,IF($Q$5=33,L18,IF($Q$5=34,P21,IF($Q$5=35,L20,IF($Q$5=36,L21,IF($Q$5=37,P21,IF($Q$5=38,P23,IF($Q$5=39,L10,IF($Q$5=40,L21,IF($Q$5=41,L21,IF($Q$5=42,L21,IF($Q$5=43,P25,IF($Q$5=44,L21,IF($Q$5=45,L21,IF($Q$5=46,L21,IF($Q$5=47,L21,IF($Q$5=48,L21,IF($Q$5=49,L21,IF($Q$5=50,L21,IF($Q$5=51,L21,IF($Q$5=52,L21,IF($Q$5=53,L21,IF($Q$5=54,L21,0))))))))))))))))))))))))))</f>
        <v>C11</v>
      </c>
      <c r="U18" s="160" t="str">
        <f>IF($Q$5=25,R17,IF($Q$5=26,R17,IF($Q$5=27,R17,IF($Q$5=28,O17,IF($Q$5=29,O17,IF($Q$5=30,O17,IF($Q$5=31,R10,IF($Q$5=32,O19,IF($Q$5=33,O19,IF($Q$5=34,O20,IF($Q$5=35,R19,IF($Q$5=36,O20,IF($Q$5=37,R19,IF($Q$5=38,R19,IF($Q$5=39,O20,IF($Q$5=40,O20,IF($Q$5=41,O20,IF($Q$5=42,O20,IF($Q$5=43,O20,IF($Q$5=44,O20,IF($Q$5=45,O20,IF($Q$5=46,O20,IF($Q$5=47,O20,IF($Q$5=48,O20,IF($Q$5=49,O20,IF($Q$5=50,O20,IF($Q$5=51,O20,IF($Q$5=52,O20,IF($Q$5=53,O20,IF($Q$5=54,O20,0))))))))))))))))))))))))))))))</f>
        <v>A11</v>
      </c>
      <c r="V18" s="157" t="str">
        <f>IF($Q$5=25,T11,IF($Q$5=26,S18,IF($Q$5=27,R19,IF($Q$5=28,S12,IF($Q$5=29,S17,IF($Q$5=30,S18,IF($Q$5=31,S12,IF($Q$5=32,S13,IF($Q$5=33,S13,IF($Q$5=34,S13,IF($Q$5=35,S13,IF($Q$5=36,S20,IF($Q$5=37,S20,IF($Q$5=38,S20,IF($Q$5=39,S11,IF($Q$5=40,S20,IF($Q$5=41,S20,IF($Q$5=42,S20,IF($Q$5=43,S20,IF($Q$5=44,S20,IF($Q$5=45,S20,IF($Q$5=46,S20,IF($Q$5=47,S20,IF($Q$5=48,S20,IF($Q$5=49,S20,IF($Q$5=50,S20,IF($Q$5=51,S20,IF($Q$5=52,S20,IF($Q$5=53,S20,IF($Q$5=54,S20,0))))))))))))))))))))))))))))))</f>
        <v>B3</v>
      </c>
      <c r="W18" s="172" t="str">
        <f>IF($Q$5=29,T10,IF($Q$5=30,Q19,IF($Q$5=32,0,IF($Q$5=33,S20,IF($Q$5=34,T15,IF($Q$5=35,T15,IF($Q$5=36,T21,IF($Q$5=37,S23,IF($Q$5=38,S23,IF($Q$5=39,T19,IF($Q$5=40,T21,IF($Q$5=41,T21,IF($Q$5=42,T21,IF($Q$5=43,S25,IF($Q$5=44,T21,IF($Q$5=45,T21,IF($Q$5=46,T21,IF($Q$5=47,T21,IF($Q$5=48,T21,IF($Q$5=49,T21,IF($Q$5=50,T21,IF($Q$5=51,T21,IF($Q$5=52,T21,IF($Q$5=53,T21,IF($Q$5=54,T21,0)))))))))))))))))))))))))</f>
        <v>C6</v>
      </c>
      <c r="X18" s="23"/>
      <c r="Y18" s="128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23"/>
      <c r="AO18" s="54">
        <v>10</v>
      </c>
      <c r="AP18" s="321" t="str">
        <f>+Inscrits!B12</f>
        <v>A10</v>
      </c>
      <c r="AQ18" s="286">
        <f t="shared" si="3"/>
        <v>1</v>
      </c>
      <c r="AR18" s="99">
        <f t="shared" si="4"/>
        <v>-1</v>
      </c>
      <c r="AS18" s="219" t="str">
        <f t="shared" si="5"/>
        <v>0</v>
      </c>
      <c r="AT18" s="289">
        <f t="shared" si="6"/>
        <v>3</v>
      </c>
      <c r="AU18" s="99">
        <f t="shared" si="7"/>
        <v>1</v>
      </c>
      <c r="AV18" s="291">
        <f t="shared" si="8"/>
        <v>1</v>
      </c>
      <c r="AW18" s="286">
        <f t="shared" si="9"/>
        <v>3</v>
      </c>
      <c r="AX18" s="99">
        <f t="shared" si="10"/>
        <v>1</v>
      </c>
      <c r="AY18" s="291">
        <f t="shared" si="11"/>
        <v>1</v>
      </c>
      <c r="AZ18" s="286">
        <f t="shared" si="17"/>
        <v>7</v>
      </c>
      <c r="BA18" s="99">
        <f t="shared" si="12"/>
        <v>1</v>
      </c>
      <c r="BB18" s="291">
        <f t="shared" si="13"/>
        <v>2</v>
      </c>
      <c r="BC18" s="294">
        <f t="shared" si="14"/>
        <v>0</v>
      </c>
      <c r="BD18" s="7">
        <f t="shared" si="15"/>
        <v>1</v>
      </c>
      <c r="BE18" s="218">
        <f t="shared" si="16"/>
        <v>3.98980018</v>
      </c>
      <c r="BF18" s="99">
        <f>IF(AP18="","",SMALL(BE$9:BE$62,ROWS(AZ$9:AZ18)))</f>
        <v>3.9585003199999997</v>
      </c>
      <c r="BG18" s="88"/>
      <c r="BH18" s="99" t="str">
        <f>IF(OR(AP18="",AZ18=""),"",INDEX($AP$9:$AP$63,MATCH(BF18,$BE$9:BE$62,0)))</f>
        <v>B6</v>
      </c>
      <c r="BI18" s="7">
        <f t="shared" si="0"/>
        <v>7</v>
      </c>
      <c r="BJ18" s="7">
        <f t="shared" si="1"/>
        <v>4</v>
      </c>
      <c r="BK18" s="7">
        <f t="shared" si="2"/>
        <v>15</v>
      </c>
      <c r="BL18" s="280">
        <f>IF(BF18="","",IF(AND(BI17=BI18,BJ17=BJ18,BK17=BK18),BL17,$BL$9+9))</f>
        <v>10</v>
      </c>
      <c r="BM18" s="29"/>
      <c r="BN18" s="264"/>
    </row>
    <row r="19" spans="1:66" ht="21" thickBot="1">
      <c r="A19" s="131">
        <v>10</v>
      </c>
      <c r="B19" s="393" t="s">
        <v>75</v>
      </c>
      <c r="C19" s="272">
        <f>IF($Q$5&gt;=28,10,0)</f>
        <v>10</v>
      </c>
      <c r="D19" s="398" t="s">
        <v>93</v>
      </c>
      <c r="E19" s="272">
        <f>IF($Q$5&gt;=29,10,0)</f>
        <v>10</v>
      </c>
      <c r="F19" s="396" t="s">
        <v>111</v>
      </c>
      <c r="G19" s="272">
        <f>IF($Q$5&gt;=30,10,0)</f>
        <v>10</v>
      </c>
      <c r="H19" s="23"/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M19" s="155"/>
      <c r="N19" s="3" t="s">
        <v>5</v>
      </c>
      <c r="O19" s="141" t="str">
        <f>IF($Q$5=25,K17,IF($Q$5=26,K18,IF($Q$5=27,K18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P19" s="149" t="str">
        <f>IF($Q$5=25,L17,IF($Q$5=26,L17,IF($Q$5=27,L18,IF($Q$5=28,L18,IF($Q$5=29,K19,IF($Q$5=30,K19,IF($Q$5=31,L17,IF($Q$5=32,K18,IF($Q$5=33,K19,IF($Q$5=34,K19,IF($Q$5=35,K19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</f>
        <v>B10</v>
      </c>
      <c r="Q19" s="152" t="str">
        <f>IF($Q$5=30,L19,IF($Q$5=34,L19,IF($Q$5=35,L19,IF($Q$5=36,L19,IF($Q$5=38,L19,IF($Q$5=39,L19,IF($Q$5=40,L19,IF($Q$5=41,L19,IF($Q$5=42,L19,IF($Q$5=43,L19,IF($Q$5=44,L19,IF($Q$5=45,L19,IF($Q$5=46,L19,IF($Q$5=47,L19,IF($Q$5=48,L19,IF($Q$5=49,L19,IF($Q$5=50,L19,IF($Q$5=51,L19,IF($Q$5=52,L19,IF($Q$5=53,L19,IF($Q$5=54,L19,0)))))))))))))))))))))</f>
        <v>C10</v>
      </c>
      <c r="R19" s="168" t="str">
        <f>IF($Q$5=25,J10,IF($Q$5=26,J10,IF($Q$5=27,K10,IF($Q$5=28,J10,IF($Q$5=29,J10,IF($Q$5=30,J10,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))))))</f>
        <v>A11</v>
      </c>
      <c r="S19" s="159" t="str">
        <f>IF($Q$5=25,P18,IF($Q$5=26,K10,IF($Q$5=27,O19,IF($Q$5=28,K18,IF($Q$5=29,K18,IF($Q$5=30,K18,IF($Q$5=31,P19,IF($Q$5=32,P21,IF($Q$5=33,K19,IF($Q$5=34,K19,IF($Q$5=35,K19,IF($Q$5=36,K21,IF($Q$5=37,P11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))))))</f>
        <v>B10</v>
      </c>
      <c r="T19" s="183" t="str">
        <f>IF($Q$5=30,L19,IF($Q$5=34,L18,IF($Q$5=35,L18,IF($Q$5=36,L10,IF($Q$5=38,L10,IF($Q$5=39,L11,IF($Q$5=40,P23,IF($Q$5=41,L22,IF($Q$5=42,L22,IF($Q$5=43,P23,IF($Q$5=44,P24,IF($Q$5=45,L22,IF($Q$5=46,L22,IF($Q$5=47,L22,IF($Q$5=48,L22,IF($Q$5=49,L22,IF($Q$5=50,L22,IF($Q$5=51,L22,IF($Q$5=52,L22,IF($Q$5=53,L22,IF($Q$5=54,L22,0)))))))))))))))))))))</f>
        <v>C9</v>
      </c>
      <c r="U19" s="185" t="str">
        <f>IF($Q$5=25,O19,IF($Q$5=26,R18,IF($Q$5=27,S19,IF($Q$5=28,R18,IF($Q$5=29,O19,IF($Q$5=30,O19,IF($Q$5=31,R18,IF($Q$5=32,R10,IF($Q$5=33,O11,IF($Q$5=34,R10,IF($Q$5=35,R10,IF($Q$5=36,O21,IF($Q$5=37,R20,IF($Q$5=38,R20,IF($Q$5=39,O21,IF($Q$5=40,O21,IF($Q$5=41,O21,IF($Q$5=42,O21,IF($Q$5=43,R20,IF($Q$5=44,O21,IF($Q$5=45,R20,IF($Q$5=46,O21,IF($Q$5=47,O21,IF($Q$5=48,O21,IF($Q$5=49,O21,IF($Q$5=50,O21,IF($Q$5=51,O21,IF($Q$5=52,O21,IF($Q$5=53,O21,IF($Q$5=54,O21,0))))))))))))))))))))))))))))))</f>
        <v>A2</v>
      </c>
      <c r="V19" s="162" t="str">
        <f>IF($Q$5=25,S12,IF($Q$5=26,T10,IF($Q$5=27,T10,IF($Q$5=28,T10,IF($Q$5=29,S12,IF($Q$5=30,S12,IF($Q$5=31,T16,IF($Q$5=32,S14,IF($Q$5=33,S14,IF($Q$5=34,S20,IF($Q$5=35,S20,IF($Q$5=36,S21,IF($Q$5=37,S11,IF($Q$5=38,S21,IF($Q$5=39,S20,IF($Q$5=40,S21,IF($Q$5=41,S21,IF($Q$5=42,S21,IF($Q$5=43,S11,IF($Q$5=44,S21,IF($Q$5=45,S21,IF($Q$5=46,S21,IF($Q$5=47,S21,IF($Q$5=48,S21,IF($Q$5=49,S21,IF($Q$5=50,S21,IF($Q$5=51,S21,IF($Q$5=52,S21,IF($Q$5=53,S21,IF($Q$5=54,S21,0))))))))))))))))))))))))))))))</f>
        <v>B11</v>
      </c>
      <c r="W19" s="174" t="str">
        <f>IF($Q$5=30,T10,IF($Q$5=35,T16,IF($Q$5=36,T10,IF($Q$5=38,T10,IF($Q$5=39,T20,IF($Q$5=34,S21,IF($Q$5=40,S23,IF($Q$5=41,T22,IF($Q$5=42,T22,IF($Q$5=43,S23,IF($Q$5=44,S23,IF($Q$5=45,T22,IF($Q$5=46,T22,IF($Q$5=47,T22,IF($Q$5=48,T22,IF($Q$5=49,T22,IF($Q$5=50,T22,IF($Q$5=51,S27,IF($Q$5=52,T22,IF($Q$5=53,T22,IF($Q$5=54,T22,0)))))))))))))))))))))</f>
        <v>C10</v>
      </c>
      <c r="X19" s="23"/>
      <c r="Y19" s="446">
        <v>2</v>
      </c>
      <c r="Z19" s="12" t="str">
        <f>+O12</f>
        <v>A3</v>
      </c>
      <c r="AA19" s="33">
        <v>5</v>
      </c>
      <c r="AB19" s="48">
        <f>IF(AA19+AA23=0,0,IF(AA19=AA23,2,IF(AA19&gt;AA23,3,1)))</f>
        <v>1</v>
      </c>
      <c r="AC19" s="13">
        <f>AA19-AA23</f>
        <v>-5</v>
      </c>
      <c r="AD19" s="9"/>
      <c r="AE19" s="12" t="str">
        <f>+R12</f>
        <v>A4</v>
      </c>
      <c r="AF19" s="126">
        <v>5</v>
      </c>
      <c r="AG19" s="48">
        <f>IF(AF19+AF23=0,0,IF(AF19=AF23,2,IF(AF19&gt;AF23,3,1)))</f>
        <v>1</v>
      </c>
      <c r="AH19" s="13">
        <f>AF19-AF23</f>
        <v>-7</v>
      </c>
      <c r="AI19" s="9"/>
      <c r="AJ19" s="12" t="str">
        <f>+U12</f>
        <v>A3</v>
      </c>
      <c r="AK19" s="36">
        <v>14</v>
      </c>
      <c r="AL19" s="48">
        <f>IF(AK19+AK23=0,0,IF(AK19=AK23,2,IF(AK19&gt;AK23,3,1)))</f>
        <v>3</v>
      </c>
      <c r="AM19" s="13">
        <f>AK19-AK23</f>
        <v>5</v>
      </c>
      <c r="AN19" s="23"/>
      <c r="AO19" s="54">
        <v>11</v>
      </c>
      <c r="AP19" s="321" t="str">
        <f>+Inscrits!B13</f>
        <v>A11</v>
      </c>
      <c r="AQ19" s="286">
        <f t="shared" si="3"/>
        <v>3</v>
      </c>
      <c r="AR19" s="99">
        <f t="shared" si="4"/>
        <v>1</v>
      </c>
      <c r="AS19" s="219">
        <f t="shared" si="5"/>
        <v>1</v>
      </c>
      <c r="AT19" s="289">
        <f t="shared" si="6"/>
        <v>1</v>
      </c>
      <c r="AU19" s="99">
        <f t="shared" si="7"/>
        <v>-1</v>
      </c>
      <c r="AV19" s="291" t="str">
        <f t="shared" si="8"/>
        <v>0</v>
      </c>
      <c r="AW19" s="286">
        <f t="shared" si="9"/>
        <v>3</v>
      </c>
      <c r="AX19" s="99">
        <f t="shared" si="10"/>
        <v>1</v>
      </c>
      <c r="AY19" s="291">
        <f t="shared" si="11"/>
        <v>1</v>
      </c>
      <c r="AZ19" s="286">
        <f t="shared" si="17"/>
        <v>7</v>
      </c>
      <c r="BA19" s="99">
        <f t="shared" si="12"/>
        <v>1</v>
      </c>
      <c r="BB19" s="291">
        <f t="shared" si="13"/>
        <v>2</v>
      </c>
      <c r="BC19" s="294">
        <f t="shared" si="14"/>
        <v>0</v>
      </c>
      <c r="BD19" s="7">
        <f t="shared" si="15"/>
        <v>1</v>
      </c>
      <c r="BE19" s="218">
        <f t="shared" si="16"/>
        <v>3.9898001900000004</v>
      </c>
      <c r="BF19" s="99">
        <f>IF(AP19="","",SMALL(BE$9:BE$62,ROWS(AZ$9:AZ19)))</f>
        <v>3.9682002900000004</v>
      </c>
      <c r="BG19" s="88"/>
      <c r="BH19" s="99" t="str">
        <f>IF(OR(AP19="",AZ19=""),"",INDEX($AP$9:$AP$63,MATCH(BF19,$BE$9:BE$62,0)))</f>
        <v>B3</v>
      </c>
      <c r="BI19" s="7">
        <f t="shared" si="0"/>
        <v>7</v>
      </c>
      <c r="BJ19" s="7">
        <f t="shared" si="1"/>
        <v>3</v>
      </c>
      <c r="BK19" s="7">
        <f t="shared" si="2"/>
        <v>18</v>
      </c>
      <c r="BL19" s="280">
        <f>IF(BF19="","",IF(AND(BI18=BI19,BJ18=BJ19,BK18=BK19),BL18,$BL$9+10))</f>
        <v>11</v>
      </c>
      <c r="BM19" s="29"/>
      <c r="BN19" s="262"/>
    </row>
    <row r="20" spans="1:66" ht="21" thickBot="1">
      <c r="A20" s="131">
        <v>11</v>
      </c>
      <c r="B20" s="393" t="s">
        <v>76</v>
      </c>
      <c r="C20" s="272">
        <f>IF($Q$5&gt;=31,11,0)</f>
        <v>11</v>
      </c>
      <c r="D20" s="398" t="s">
        <v>94</v>
      </c>
      <c r="E20" s="272">
        <f>IF($Q$5&gt;=32,11,0)</f>
        <v>11</v>
      </c>
      <c r="F20" s="396" t="s">
        <v>112</v>
      </c>
      <c r="G20" s="272">
        <f>IF($Q$5&gt;=33,11,0)</f>
        <v>11</v>
      </c>
      <c r="H20" s="23"/>
      <c r="I20" s="196">
        <v>11</v>
      </c>
      <c r="J20" s="204" t="str">
        <f>IF(ISNA(MATCH(I20,$C$10:$C$27,0)),"",INDEX(B$10:$B$27,MATCH(I20,$C$10:$C$27,0)))</f>
        <v>A11</v>
      </c>
      <c r="K20" s="137" t="str">
        <f>IF(ISNA(MATCH(I20,$E$10:$E$27,0)),"",INDEX($D$10:D$27,MATCH(I20,$E$10:$E$27,0)))</f>
        <v>B11</v>
      </c>
      <c r="L20" s="188" t="str">
        <f>IF(ISNA(MATCH(I20,$G$10:$G$27,0)),"",INDEX($F$10:F$27,MATCH(I20,$G$10:$G$27,0)))</f>
        <v>C11</v>
      </c>
      <c r="M20" s="155"/>
      <c r="N20" s="3">
        <v>6</v>
      </c>
      <c r="O20" s="138" t="str">
        <f>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</f>
        <v>A11</v>
      </c>
      <c r="P20" s="150" t="str">
        <f>IF($Q$5=31,L18,IF($Q$5=32,L18,IF($Q$5=33,L19,IF($Q$5=34,K20,IF($Q$5=35,K20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</f>
        <v>B11</v>
      </c>
      <c r="Q20" s="153">
        <f>IF($Q$5=35,L20,IF($Q$5=36,L20,IF($Q$5=39,L20,IF($Q$5=40,L20,IF($Q$5=41,L20,IF($Q$5=42,L20,IF($Q$5=43,L20,IF($Q$5=44,L20,IF($Q$5=45,L20,IF($Q$5=46,L20,IF($Q$5=47,L20,IF($Q$5=48,L20,IF($Q$5=49,L20,IF($Q$5=50,L20,IF($Q$5=51,L20,IF($Q$5=52,L20,IF($Q$5=53,L20,IF($Q$5=54,L20,0))))))))))))))))))</f>
        <v>0</v>
      </c>
      <c r="R20" s="165" t="str">
        <f>IF($Q$5=31,J10,IF($Q$5=32,K20,IF($Q$5=33,J10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S20" s="157" t="str">
        <f>IF($Q$5=31,P20,IF($Q$5=32,K10,IF($Q$5=33,P21,IF($Q$5=34,K20,IF($Q$5=35,K20,IF($Q$5=36,K10,IF($Q$5=37,K10,IF($Q$5=38,P11,IF($Q$5=39,K10,IF($Q$5=40,K22,IF($Q$5=41,K22,IF($Q$5=42,K22,IF($Q$5=43,K22,IF($Q$5=44,K22,IF($Q$5=45,K22,IF($Q$5=46,K22,IF($Q$5=47,K22,IF($Q$5=48,K22,IF($Q$5=49,K22,IF($Q$5=50,K22,IF($Q$5=51,K22,IF($Q$5=52,K22,IF($Q$5=53,K22,IF($Q$5=54,K22,0))))))))))))))))))))))))</f>
        <v>B11</v>
      </c>
      <c r="T20" s="179">
        <f>IF($Q$5=35,L19,IF($Q$5=36,L11,IF($Q$5=39,L12,IF($Q$5=40,L10,IF($Q$5=41,L10,IF($Q$5=42,L23,IF($Q$5=43,P24,IF($Q$5=44,P25,IF($Q$5=45,P24,IF($Q$5=46,L23,IF($Q$5=47,L23,IF($Q$5=48,L23,IF($Q$5=49,L10,IF($Q$5=50,L23,IF($Q$5=51,L23,IF($Q$5=52,L23,IF($Q$5=53,L23,IF($Q$5=54,L23,0))))))))))))))))))</f>
        <v>0</v>
      </c>
      <c r="U20" s="165" t="str">
        <f>IF($Q$5=30,0,IF($Q$5=31,R19,IF($Q$5=32,R19,IF($Q$5=33,R19,IF($Q$5=34,R18,IF($Q$5=35,R18,IF($Q$5=36,O10,IF($Q$5=37,R21,IF($Q$5=38,R21,IF($Q$5=39,O22,IF($Q$5=40,R21,IF($Q$5=41,O22,IF($Q$5=42,O22,IF($Q$5=43,R21,IF($Q$5=44,R21,IF($Q$5=45,O22,IF($Q$5=46,O22,IF($Q$5=47,O22,IF($Q$5=48,O22,IF($Q$5=49,O22,IF($Q$5=50,O22,IF($Q$5=51,R21,IF($Q$5=52,O22,IF($Q$5=53,O22,IF($Q$5=54,O22,0)))))))))))))))))))))))))</f>
        <v>A10</v>
      </c>
      <c r="V20" s="163" t="str">
        <f>IF($Q$5=31,T10,IF($Q$5=32,S18,IF($Q$5=33,T18,IF($Q$5=34,S14,IF($Q$5=35,S21,IF($Q$5=36,S10,IF($Q$5=37,S10,IF($Q$5=38,S11,IF($Q$5=39,S21,IF($Q$5=40,S22,IF($Q$5=41,S22,IF($Q$5=42,S22,IF($Q$5=43,S22,IF($Q$5=44,S22,IF($Q$5=45,S22,IF($Q$5=46,S22,IF($Q$5=47,S22,IF($Q$5=48,S22,IF($Q$5=49,S22,IF($Q$5=50,S22,IF($Q$5=51,S22,IF($Q$5=52,S22,IF($Q$5=53,S22,IF($Q$5=54,S22,0))))))))))))))))))))))))</f>
        <v>B8</v>
      </c>
      <c r="W20" s="173">
        <f>IF($Q$5=35,T18,IF($Q$5=36,T11,IF($Q$5=39,T10,IF($Q$5=40,T10,IF($Q$5=41,T10,IF($Q$5=42,T23,IF($Q$5=43,S24,IF($Q$5=44,S24,IF($Q$5=45,S24,IF($Q$5=46,T23,IF($Q$5=47,T23,IF($Q$5=48,T23,IF($Q$5=49,T10,IF($Q$5=50,T23,IF($Q$5=51,S26,IF($Q$5=52,S27,IF($Q$5=53,T23,IF($Q$5=54,T23,0))))))))))))))))))</f>
        <v>0</v>
      </c>
      <c r="X20" s="23"/>
      <c r="Y20" s="447"/>
      <c r="Z20" s="14" t="str">
        <f>+P12</f>
        <v>B3</v>
      </c>
      <c r="AA20" s="18">
        <f>IF(ISTEXT(Z20),AA19,0)</f>
        <v>5</v>
      </c>
      <c r="AB20" s="18">
        <f>IF(ISTEXT(Z20),AB19,0)</f>
        <v>1</v>
      </c>
      <c r="AC20" s="62">
        <f>IF(ISTEXT(Z20),AC19,0)</f>
        <v>-5</v>
      </c>
      <c r="AD20" s="11"/>
      <c r="AE20" s="14" t="str">
        <f>+S12</f>
        <v>B2</v>
      </c>
      <c r="AF20" s="18">
        <f>IF(ISTEXT(AE20),AF19,0)</f>
        <v>5</v>
      </c>
      <c r="AG20" s="59">
        <f>IF(ISTEXT(AE20),AG19,0)</f>
        <v>1</v>
      </c>
      <c r="AH20" s="62">
        <f>IF(ISTEXT(AE20),AH19,0)</f>
        <v>-7</v>
      </c>
      <c r="AI20" s="11"/>
      <c r="AJ20" s="14" t="str">
        <f>+V12</f>
        <v>B6</v>
      </c>
      <c r="AK20" s="18">
        <f>IF(ISTEXT(AJ20),AK19,0)</f>
        <v>14</v>
      </c>
      <c r="AL20" s="59">
        <f>IF(ISTEXT(AJ20),AL19,0)</f>
        <v>3</v>
      </c>
      <c r="AM20" s="62">
        <f>IF(ISTEXT(AJ20),AM19,0)</f>
        <v>5</v>
      </c>
      <c r="AN20" s="23"/>
      <c r="AO20" s="54">
        <v>12</v>
      </c>
      <c r="AP20" s="321" t="str">
        <f>+Inscrits!B14</f>
        <v>A12</v>
      </c>
      <c r="AQ20" s="286">
        <f t="shared" si="3"/>
        <v>1</v>
      </c>
      <c r="AR20" s="99">
        <f t="shared" si="4"/>
        <v>-1</v>
      </c>
      <c r="AS20" s="219" t="str">
        <f t="shared" si="5"/>
        <v>0</v>
      </c>
      <c r="AT20" s="289">
        <f t="shared" si="6"/>
        <v>3</v>
      </c>
      <c r="AU20" s="99">
        <f t="shared" si="7"/>
        <v>1</v>
      </c>
      <c r="AV20" s="291">
        <f t="shared" si="8"/>
        <v>1</v>
      </c>
      <c r="AW20" s="286">
        <f t="shared" si="9"/>
        <v>1</v>
      </c>
      <c r="AX20" s="99">
        <f t="shared" si="10"/>
        <v>-1</v>
      </c>
      <c r="AY20" s="291" t="str">
        <f t="shared" si="11"/>
        <v>0</v>
      </c>
      <c r="AZ20" s="286">
        <f t="shared" si="17"/>
        <v>5</v>
      </c>
      <c r="BA20" s="99">
        <f t="shared" si="12"/>
        <v>-1</v>
      </c>
      <c r="BB20" s="291">
        <f t="shared" si="13"/>
        <v>1</v>
      </c>
      <c r="BC20" s="294">
        <f t="shared" si="14"/>
        <v>-1</v>
      </c>
      <c r="BD20" s="7">
        <f t="shared" si="15"/>
        <v>0</v>
      </c>
      <c r="BE20" s="218">
        <f t="shared" si="16"/>
        <v>21.009900200000001</v>
      </c>
      <c r="BF20" s="99">
        <f>IF(AP20="","",SMALL(BE$9:BE$62,ROWS(AZ$9:AZ20)))</f>
        <v>3.9885005100000002</v>
      </c>
      <c r="BG20" s="88"/>
      <c r="BH20" s="99" t="str">
        <f>IF(OR(AP20="",AZ20=""),"",INDEX($AP$9:$AP$63,MATCH(BF20,$BE$9:BE$62,0)))</f>
        <v>C7</v>
      </c>
      <c r="BI20" s="7">
        <f t="shared" si="0"/>
        <v>7</v>
      </c>
      <c r="BJ20" s="7">
        <f t="shared" si="1"/>
        <v>1</v>
      </c>
      <c r="BK20" s="7">
        <f t="shared" si="2"/>
        <v>15</v>
      </c>
      <c r="BL20" s="280">
        <f>IF(BF20="","",IF(AND(BI19=BI20,BJ19=BJ20,BK19=BK20),BL19,$BL$9+11))</f>
        <v>12</v>
      </c>
      <c r="BM20" s="29"/>
      <c r="BN20" s="262"/>
    </row>
    <row r="21" spans="1:66" ht="21" thickBot="1">
      <c r="A21" s="131">
        <v>12</v>
      </c>
      <c r="B21" s="393" t="s">
        <v>77</v>
      </c>
      <c r="C21" s="272">
        <f>IF($Q$5&gt;=34,12,0)</f>
        <v>12</v>
      </c>
      <c r="D21" s="393"/>
      <c r="E21" s="272">
        <f>IF($Q$5&gt;=35,12,0)</f>
        <v>0</v>
      </c>
      <c r="F21" s="396"/>
      <c r="G21" s="272">
        <f>IF($Q$5&gt;=36,12,0)</f>
        <v>0</v>
      </c>
      <c r="H21" s="23"/>
      <c r="I21" s="196">
        <v>12</v>
      </c>
      <c r="J21" s="204" t="str">
        <f>IF(ISNA(MATCH(I21,$C$10:$C$27,0)),"",INDEX(B$10:$B$27,MATCH(I21,$C$10:$C$27,0)))</f>
        <v>A12</v>
      </c>
      <c r="K21" s="137" t="str">
        <f>IF(ISNA(MATCH(I21,$E$10:$E$27,0)),"",INDEX($D$10:D$27,MATCH(I21,$E$10:$E$27,0)))</f>
        <v/>
      </c>
      <c r="L21" s="188" t="str">
        <f>IF(ISNA(MATCH(I21,$G$10:$G$27,0)),"",INDEX($F$10:F$27,MATCH(I21,$G$10:$G$27,0)))</f>
        <v/>
      </c>
      <c r="M21" s="155"/>
      <c r="N21" s="52" t="s">
        <v>5</v>
      </c>
      <c r="O21" s="141" t="str">
        <f>IF($Q$5=31,K19,IF($Q$5=32,K20,IF($Q$5=33,K20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P21" s="149" t="str">
        <f>IF($Q$5=31,L19,IF($Q$5=32,L19,IF($Q$5=33,L20,IF($Q$5=34,L20,IF($Q$5=35,K21,IF($Q$5=36,K21,IF($Q$5=37,L21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</f>
        <v>C11</v>
      </c>
      <c r="Q21" s="152">
        <f>IF($Q$5=36,L21,IF($Q$5=40,L21,IF($Q$5=41,L21,IF($Q$5=42,L21,IF($Q$5=43,0,IF($Q$5=44,L21,IF($Q$5=45,L21,IF($Q$5=46,L21,IF($Q$5=47,L21,IF($Q$5=48,L21,IF($Q$5=49,L21,IF($Q$5=50,L21,IF($Q$5=51,L21,IF($Q$5=52,L21,IF($Q$5=53,L21,IF($Q$5=54,L21,0))))))))))))))))</f>
        <v>0</v>
      </c>
      <c r="R21" s="169" t="str">
        <f>IF($Q$5=31,K11,IF($Q$5=32,J10,IF($Q$5=33,O21,IF($Q$5=34,J10,IF($Q$5=35,J10,IF($Q$5=36,J10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)))))</f>
        <v>A1</v>
      </c>
      <c r="S21" s="162" t="str">
        <f>IF($Q$5=31,O21,IF($Q$5=32,P18,IF($Q$5=33,P20,IF($Q$5=34,L19,IF($Q$5=35,K21,IF($Q$5=36,K11,IF($Q$5=37,L10,IF($Q$5=38,K10,IF($Q$5=39,K11,IF($Q$5=40,K10,IF($Q$5=41,K23,IF($Q$5=42,K23,IF($Q$5=43,P11,IF($Q$5=44,K23,IF($Q$5=45,K23,IF($Q$5=46,K23,IF($Q$5=47,K23,IF($Q$5=48,K23,IF($Q$5=49,K23,IF($Q$5=50,K23,IF($Q$5=51,K23,IF($Q$5=52,K23,IF($Q$5=53,K23,IF($Q$5=54,K23,0))))))))))))))))))))))))</f>
        <v>C10</v>
      </c>
      <c r="T21" s="181">
        <f>IF($Q$5=36,L12,IF($Q$5=40,L11,IF($Q$5=41,L11,IF($Q$5=42,L10,IF($Q$5=43,0,IF($Q$5=44,L10,IF($Q$5=45,P25,IF($Q$5=46,P25,IF($Q$5=47,L24,IF($Q$5=48,L24,IF($Q$5=49,L11,IF($Q$5=50,P26,IF($Q$5=51,L24,IF($Q$5=52,L24,IF($Q$5=53,L24,IF($Q$5=54,L24,0))))))))))))))))</f>
        <v>0</v>
      </c>
      <c r="U21" s="184" t="str">
        <f>IF($Q$5=31,S21,IF($Q$5=32,R20,IF($Q$5=33,R21,IF($Q$5=34,R20,IF($Q$5=35,R20,IF($Q$5=36,O11,IF($Q$5=37,R22,IF($Q$5=38,R22,IF($Q$5=39,O10,IF($Q$5=40,R22,IF($Q$5=41,R22,IF($Q$5=42,O23,IF($Q$5=43,R22,IF($Q$5=44,O23,IF($Q$5=45,R22,IF($Q$5=46,O23,IF($Q$5=47,O23,IF($Q$5=48,R22,IF($Q$5=49,R22,IF($Q$5=50,O23,IF($Q$5=51,R22,IF($Q$5=52,R22,IF($Q$5=53,O23,IF($Q$5=54,O23,0))))))))))))))))))))))))</f>
        <v>A12</v>
      </c>
      <c r="V21" s="162" t="str">
        <f>IF($Q$5=31,S15,IF($Q$5=32,S19,IF($Q$5=33,S21,IF($Q$5=34,T19,IF($Q$5=35,S14,IF($Q$5=36,S11,IF($Q$5=37,T10,IF($Q$5=38,S10,IF($Q$5=39,S10,IF($Q$5=40,S10,IF($Q$5=41,S23,IF($Q$5=42,S23,IF($Q$5=43,S21,IF($Q$5=44,S11,IF($Q$5=45,S23,IF($Q$5=46,S23,IF($Q$5=47,S23,IF($Q$5=48,S23,IF($Q$5=49,S23,IF($Q$5=50,S23,IF($Q$5=51,S23,IF($Q$5=52,S23,IF($Q$5=53,S23,IF($Q$5=54,S23,0))))))))))))))))))))))))</f>
        <v>C9</v>
      </c>
      <c r="W21" s="174">
        <f>IF($Q$5=36,T12,IF($Q$5=39,0,IF($Q$5=40,T11,IF($Q$5=41,T11,IF($Q$5=42,T10,IF($Q$5=43,0,IF($Q$5=44,T10,IF($Q$5=45,S25,IF($Q$5=46,S25,IF($Q$5=47,T24,IF($Q$5=48,T24,IF($Q$5=49,T11,IF($Q$5=50,S26,IF($Q$5=51,T22,IF($Q$5=52,T23,IF($Q$5=53,T24,IF($Q$5=54,T24,0)))))))))))))))))</f>
        <v>0</v>
      </c>
      <c r="X21" s="23"/>
      <c r="Y21" s="447"/>
      <c r="Z21" s="14" t="str">
        <f>+Q12</f>
        <v>C3</v>
      </c>
      <c r="AA21" s="67">
        <f>IF(ISTEXT(Z21),AA19,0)</f>
        <v>5</v>
      </c>
      <c r="AB21" s="67">
        <f>IF(ISTEXT(Z21),AB19,0)</f>
        <v>1</v>
      </c>
      <c r="AC21" s="68">
        <f>IF(ISTEXT(Z21),AC19,0)</f>
        <v>-5</v>
      </c>
      <c r="AD21" s="11"/>
      <c r="AE21" s="14" t="str">
        <f>+T12</f>
        <v>C5</v>
      </c>
      <c r="AF21" s="67">
        <f>IF(ISTEXT(AE21),AF19,0)</f>
        <v>5</v>
      </c>
      <c r="AG21" s="64">
        <f>IF(ISTEXT(AE21),AG19,0)</f>
        <v>1</v>
      </c>
      <c r="AH21" s="68">
        <f>IF(ISTEXT(AE21),AH19,0)</f>
        <v>-7</v>
      </c>
      <c r="AI21" s="11"/>
      <c r="AJ21" s="14" t="str">
        <f>+W12</f>
        <v>C5</v>
      </c>
      <c r="AK21" s="67">
        <f>IF(ISTEXT(AJ21),AK19,0)</f>
        <v>14</v>
      </c>
      <c r="AL21" s="64">
        <f>IF(ISTEXT(AJ21),AL19,0)</f>
        <v>3</v>
      </c>
      <c r="AM21" s="68">
        <f>IF(ISTEXT(AJ21),AM19,0)</f>
        <v>5</v>
      </c>
      <c r="AN21" s="23"/>
      <c r="AO21" s="54">
        <v>13</v>
      </c>
      <c r="AP21" s="321" t="str">
        <f>+Inscrits!B15</f>
        <v>A13</v>
      </c>
      <c r="AQ21" s="286" t="str">
        <f t="shared" si="3"/>
        <v xml:space="preserve"> </v>
      </c>
      <c r="AR21" s="99" t="str">
        <f t="shared" si="4"/>
        <v xml:space="preserve"> </v>
      </c>
      <c r="AS21" s="219" t="str">
        <f t="shared" si="5"/>
        <v xml:space="preserve"> </v>
      </c>
      <c r="AT21" s="289" t="str">
        <f t="shared" si="6"/>
        <v xml:space="preserve"> </v>
      </c>
      <c r="AU21" s="99" t="str">
        <f t="shared" si="7"/>
        <v xml:space="preserve"> </v>
      </c>
      <c r="AV21" s="291" t="str">
        <f t="shared" si="8"/>
        <v xml:space="preserve"> </v>
      </c>
      <c r="AW21" s="286" t="str">
        <f t="shared" si="9"/>
        <v xml:space="preserve"> </v>
      </c>
      <c r="AX21" s="99" t="str">
        <f t="shared" si="10"/>
        <v xml:space="preserve"> </v>
      </c>
      <c r="AY21" s="291" t="str">
        <f t="shared" si="11"/>
        <v xml:space="preserve"> </v>
      </c>
      <c r="AZ21" s="286">
        <f t="shared" si="17"/>
        <v>0</v>
      </c>
      <c r="BA21" s="99">
        <f t="shared" si="12"/>
        <v>0</v>
      </c>
      <c r="BB21" s="291">
        <f t="shared" si="13"/>
        <v>0</v>
      </c>
      <c r="BC21" s="294">
        <f t="shared" si="14"/>
        <v>0</v>
      </c>
      <c r="BD21" s="7">
        <f t="shared" si="15"/>
        <v>0</v>
      </c>
      <c r="BE21" s="218">
        <f t="shared" si="16"/>
        <v>35.000000210000003</v>
      </c>
      <c r="BF21" s="99">
        <f>IF(AP21="","",SMALL(BE$9:BE$62,ROWS(AZ$9:AZ21)))</f>
        <v>3.9894003500000004</v>
      </c>
      <c r="BG21" s="88"/>
      <c r="BH21" s="99" t="str">
        <f>IF(OR(AP21="",AZ21=""),"",INDEX($AP$9:$AP$63,MATCH(BF21,$BE$9:BE$62,0)))</f>
        <v>B9</v>
      </c>
      <c r="BI21" s="7">
        <f t="shared" si="0"/>
        <v>7</v>
      </c>
      <c r="BJ21" s="7">
        <f t="shared" si="1"/>
        <v>1</v>
      </c>
      <c r="BK21" s="7">
        <f t="shared" si="2"/>
        <v>6</v>
      </c>
      <c r="BL21" s="280">
        <f>IF(BF21="","",IF(AND(BI20=BI21,BJ20=BJ21,BK20=BK21),BL20,$BL$9+12))</f>
        <v>13</v>
      </c>
      <c r="BM21" s="29"/>
      <c r="BN21" s="262"/>
    </row>
    <row r="22" spans="1:66" ht="20.25">
      <c r="A22" s="131">
        <v>13</v>
      </c>
      <c r="B22" s="393"/>
      <c r="C22" s="272">
        <f>IF($Q$5&gt;=37,13,0)</f>
        <v>0</v>
      </c>
      <c r="D22" s="393"/>
      <c r="E22" s="272">
        <f>IF($Q$5&gt;=38,13,0)</f>
        <v>0</v>
      </c>
      <c r="F22" s="396"/>
      <c r="G22" s="272">
        <f>IF($Q$5&gt;=39,13,0)</f>
        <v>0</v>
      </c>
      <c r="H22" s="23"/>
      <c r="I22" s="196">
        <v>13</v>
      </c>
      <c r="J22" s="204" t="str">
        <f>IF(ISNA(MATCH(I22,$C$10:$C$27,0)),"",INDEX(B$10:$B$27,MATCH(I22,$C$10:$C$27,0)))</f>
        <v/>
      </c>
      <c r="K22" s="137" t="str">
        <f>IF(ISNA(MATCH(I22,$E$10:$E$27,0)),"",INDEX($D$10:D$27,MATCH(I22,$E$10:$E$27,0)))</f>
        <v/>
      </c>
      <c r="L22" s="188" t="str">
        <f>IF(ISNA(MATCH(I22,$G$10:$G$27,0)),"",INDEX($F$10:F$27,MATCH(I22,$G$10:$G$27,0)))</f>
        <v/>
      </c>
      <c r="M22" s="155"/>
      <c r="N22" s="82">
        <v>7</v>
      </c>
      <c r="O22" s="147">
        <f>IF($Q$5=36,0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</f>
        <v>0</v>
      </c>
      <c r="P22" s="151">
        <f>IF($Q$5=36,0,IF($Q$5=37,L20,IF($Q$5=38,L20,IF($Q$5=39,L21,IF($Q$5=40,K22,IF($Q$5=41,K22,IF($Q$5=42,K22,IF($Q$5=43,K22,IF($Q$5=44,K22,IF($Q$5=45,K22,IF($Q$5=46,K22,IF($Q$5=47,K22,IF($Q$5=48,K22,IF($Q$5=49,K22,IF($Q$5=50,K22,IF($Q$5=51,K22,IF($Q$5=52,K22,IF($Q$5=53,K22,IF($Q$5=54,K22,0)))))))))))))))))))</f>
        <v>0</v>
      </c>
      <c r="Q22" s="148">
        <f>IF($Q$5=39,0,IF($Q$5=40,0,IF($Q$5=41,L22,IF($Q$5=42,L22,IF($Q$5=43,0,IF($Q$5=44,0,IF($Q$5=45,L22,IF($Q$5=46,L22,IF($Q$5=47,L22,IF($Q$5=48,L22,IF($Q$5=49,L22,IF($Q$5=50,L22,IF($Q$5=51,L22,IF($Q$5=52,L22,IF($Q$5=53,L22,IF($Q$5=54,L22,0))))))))))))))))</f>
        <v>0</v>
      </c>
      <c r="R22" s="165">
        <f>IF($Q$5=33,0,IF($Q$5=34,0,IF($Q$5=35,0,IF($Q$5=36,0,IF($Q$5=37,J10,IF($Q$5=38,J10,IF($Q$5=39,J10,IF($Q$5=40,J23,IF($Q$5=41,J23,IF($Q$5=42,J23,IF($Q$5=43,J23,IF($Q$5=44,J23,IF($Q$5=45,J23,IF($Q$5=46,J23,IF($Q$5=47,J23,IF($Q$5=48,J23,IF($Q$5=49,J23,IF($Q$5=50,J23,IF($Q$5=51,J23,IF($Q$5=52,J23,IF($Q$5=53,J23,IF($Q$5=54,J23,0))))))))))))))))))))))</f>
        <v>0</v>
      </c>
      <c r="S22" s="157">
        <f>IF($Q$5=37,L11,IF($Q$5=38,L11,IF($Q$5=39,P23,IF($Q$5=40,K11,IF($Q$5=41,K10,IF($Q$5=42,K10,IF($Q$5=43,K10,IF($Q$5=44,P10,IF($Q$5=45,P11,IF($Q$5=46,K24,IF($Q$5=47,K24,IF($Q$5=48,K24,IF($Q$5=49,K24,IF($Q$5=50,K24,IF($Q$5=51,K24,IF($Q$5=52,K24,IF($Q$5=53,K24,IF($Q$5=54,K24,0))))))))))))))))))</f>
        <v>0</v>
      </c>
      <c r="T22" s="179">
        <f>IF($Q$5=41,L12,IF($Q$5=42,L11,IF($Q$5=43,0,IF($Q$5=44,0,IF($Q$5=45,L10,IF($Q$5=46,L10,IF($Q$5=47,L10,IF($Q$5=48,L25,IF($Q$5=49,L12,IF($Q$5=50,P27,IF($Q$5=51,L10,IF($Q$5=52,L25,IF($Q$5=53,L25,IF($Q$5=54,L25,0))))))))))))))</f>
        <v>0</v>
      </c>
      <c r="U22" s="167">
        <f>IF($Q$5=37,O11,IF($Q$5=38,R10,IF($Q$5=39,R10,IF($Q$5=40,R23,IF($Q$5=41,R23,IF($Q$5=42,R23,IF($Q$5=43,R23,IF($Q$5=44,O24,IF($Q$5=45,R23,IF($Q$5=46,R23,IF($Q$5=47,R23,IF($Q$5=48,R23,IF($Q$5=49,R23,IF($Q$5=50,R23,IF($Q$5=51,R23,IF($Q$5=52,R23,IF($Q$5=53,R23,IF($Q$5=54,O24,0))))))))))))))))))</f>
        <v>0</v>
      </c>
      <c r="V22" s="163">
        <f>IF($Q$5=37,T11,IF($Q$5=38,T12,IF($Q$5=39,T11,IF($Q$5=40,S11,IF($Q$5=41,S10,IF($Q$5=42,S10,IF($Q$5=43,S10,IF($Q$5=44,S25,IF($Q$5=45,S11,IF($Q$5=46,S24,IF($Q$5=47,S24,IF($Q$5=48,S24,IF($Q$5=49,S24,IF($Q$5=50,S11,IF($Q$5=51,S11,IF($Q$5=52,S24,IF($Q$5=53,S24,IF($Q$5=54,S24,0))))))))))))))))))</f>
        <v>0</v>
      </c>
      <c r="W22" s="173">
        <f>IF($Q$5=41,T12,IF($Q$5=42,T11,IF($Q$5=43,0,IF($Q$5=44,0,IF($Q$5=45,T10,IF($Q$5=46,T10,IF($Q$5=47,T10,IF($Q$5=48,T25,IF($Q$5=49,T12,IF($Q$5=50,S27,IF($Q$5=51,T23,IF($Q$5=52,T24,IF($Q$5=53,T25,IF($Q$5=54,T25,0))))))))))))))</f>
        <v>0</v>
      </c>
      <c r="X22" s="23"/>
      <c r="Y22" s="447"/>
      <c r="Z22" s="32"/>
      <c r="AA22" s="21" t="s">
        <v>5</v>
      </c>
      <c r="AB22" s="21"/>
      <c r="AC22" s="22"/>
      <c r="AD22" s="1"/>
      <c r="AE22" s="32"/>
      <c r="AF22" s="21" t="s">
        <v>5</v>
      </c>
      <c r="AG22" s="21"/>
      <c r="AH22" s="22"/>
      <c r="AI22" s="1"/>
      <c r="AJ22" s="32"/>
      <c r="AK22" s="21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 t="str">
        <f t="shared" si="3"/>
        <v xml:space="preserve"> </v>
      </c>
      <c r="AR22" s="99" t="str">
        <f t="shared" si="4"/>
        <v xml:space="preserve"> </v>
      </c>
      <c r="AS22" s="219" t="str">
        <f t="shared" si="5"/>
        <v xml:space="preserve"> </v>
      </c>
      <c r="AT22" s="289" t="str">
        <f t="shared" si="6"/>
        <v xml:space="preserve"> </v>
      </c>
      <c r="AU22" s="99" t="str">
        <f t="shared" si="7"/>
        <v xml:space="preserve"> </v>
      </c>
      <c r="AV22" s="291" t="str">
        <f t="shared" si="8"/>
        <v xml:space="preserve"> </v>
      </c>
      <c r="AW22" s="286" t="str">
        <f t="shared" si="9"/>
        <v xml:space="preserve"> </v>
      </c>
      <c r="AX22" s="99" t="str">
        <f t="shared" si="10"/>
        <v xml:space="preserve"> </v>
      </c>
      <c r="AY22" s="291" t="str">
        <f t="shared" si="11"/>
        <v xml:space="preserve"> </v>
      </c>
      <c r="AZ22" s="286">
        <f t="shared" si="17"/>
        <v>0</v>
      </c>
      <c r="BA22" s="99">
        <f t="shared" si="12"/>
        <v>0</v>
      </c>
      <c r="BB22" s="291">
        <f t="shared" si="13"/>
        <v>0</v>
      </c>
      <c r="BC22" s="294">
        <f t="shared" si="14"/>
        <v>0</v>
      </c>
      <c r="BD22" s="7">
        <f t="shared" si="15"/>
        <v>0</v>
      </c>
      <c r="BE22" s="218">
        <f t="shared" si="16"/>
        <v>35.000000219999997</v>
      </c>
      <c r="BF22" s="99">
        <f>IF(AP22="","",SMALL(BE$9:BE$62,ROWS(AZ$9:AZ22)))</f>
        <v>3.98980018</v>
      </c>
      <c r="BG22" s="88"/>
      <c r="BH22" s="99" t="str">
        <f>IF(OR(AP22="",AZ22=""),"",INDEX($AP$9:$AP$63,MATCH(BF22,$BE$9:BE$62,0)))</f>
        <v>A10</v>
      </c>
      <c r="BI22" s="7">
        <f t="shared" si="0"/>
        <v>7</v>
      </c>
      <c r="BJ22" s="7">
        <f t="shared" si="1"/>
        <v>1</v>
      </c>
      <c r="BK22" s="7">
        <f t="shared" si="2"/>
        <v>2</v>
      </c>
      <c r="BL22" s="280">
        <f>IF(BF22="","",IF(AND(BI21=BI22,BJ21=BJ22,BK21=BK22),BL21,$BL$9+13))</f>
        <v>14</v>
      </c>
      <c r="BM22" s="29"/>
      <c r="BN22" s="262"/>
    </row>
    <row r="23" spans="1:66" ht="21" thickBot="1">
      <c r="A23" s="131">
        <v>14</v>
      </c>
      <c r="B23" s="393"/>
      <c r="C23" s="274">
        <f>IF($Q$5&gt;=40,14,0)</f>
        <v>0</v>
      </c>
      <c r="D23" s="393"/>
      <c r="E23" s="274">
        <f>IF($Q$5&gt;=41,14,0)</f>
        <v>0</v>
      </c>
      <c r="F23" s="396"/>
      <c r="G23" s="274">
        <f>IF($Q$5&gt;=42,14,0)</f>
        <v>0</v>
      </c>
      <c r="H23" s="23"/>
      <c r="I23" s="196">
        <v>14</v>
      </c>
      <c r="J23" s="204" t="str">
        <f>IF(ISNA(MATCH(I23,$C$10:$C$27,0)),"",INDEX(B$10:$B$27,MATCH(I23,$C$10:$C$27,0)))</f>
        <v/>
      </c>
      <c r="K23" s="137" t="str">
        <f>IF(ISNA(MATCH(I23,$E$10:$E$27,0)),"",INDEX($D$10:D$27,MATCH(I23,$E$10:$E$27,0)))</f>
        <v/>
      </c>
      <c r="L23" s="188" t="str">
        <f>IF(ISNA(MATCH(I23,$G$10:$G$27,0)),"",INDEX($F$10:F$27,MATCH(I23,$G$10:$G$27,0)))</f>
        <v/>
      </c>
      <c r="M23" s="155"/>
      <c r="N23" s="52" t="s">
        <v>5</v>
      </c>
      <c r="O23" s="141">
        <f>IF($Q$5=36,0,IF($Q$5=37,K21,IF($Q$5=38,K22,IF($Q$5=39,K22,IF($Q$5=40,J23,IF($Q$5=41,J23,IF($Q$5=42,J23,IF($Q$5=43,J23,IF($Q$5=44,J23,IF($Q$5=45,J23,IF($Q$5=46,J23,IF($Q$5=47,J23,IF($Q$5=48,J23,IF($Q$5=49,J23,IF($Q$5=50,J23,IF($Q$5=51,J23,IF($Q$5=52,J23,IF($Q$5=53,J23,IF($Q$5=54,J23,0)))))))))))))))))))</f>
        <v>0</v>
      </c>
      <c r="P23" s="149">
        <f>IF($Q$5=36,0,IF($Q$5=37,L19,IF($Q$5=38,L21,IF($Q$5=39,L22,IF($Q$5=40,L22,IF($Q$5=41,K23,IF($Q$5=42,K23,IF($Q$5=43,L22,IF($Q$5=44,K23,IF($Q$5=45,K23,IF($Q$5=46,K2:K23,IF($Q$5=47,K23,IF($Q$5=48,K23,IF($Q$5=49,K23,IF($Q$5=50,K23,IF($Q$5=51,K23,IF($Q$5=52,K23,IF($Q$5=53,K23,IF($Q$5=54,K23,0)))))))))))))))))))</f>
        <v>0</v>
      </c>
      <c r="Q23" s="143">
        <f>IF($Q$5=40,0,IF($Q$5=41,0,IF($Q$5=42,L23,IF($Q$5=43,0,IF($Q$5=44,0,IF($Q$5=45,0,IF($Q$5=46,L23,IF($Q$5=47,L23,IF($Q$5=48,L23,IF($Q$5=49,0,IF($Q$5=50,L23,IF($Q$5=51,L23,IF($Q$5=52,L23,IF($Q$5=53,L23,IF($Q$5=54,L23,0)))))))))))))))</f>
        <v>0</v>
      </c>
      <c r="R23" s="170">
        <f>IF($Q$5=37,O23,IF($Q$5=38,O23,IF($Q$5=39,O23,IF($Q$5=40,J10,IF($Q$5=41,J10,IF($Q$5=42,J10,IF($Q$5=43,J24,IF($Q$5=44,J24,IF($Q$5=45,J24,IF($Q$5=46,J24,IF($Q$5=47,J24,IF($Q$5=48,J24,IF($Q$5=49,J24,IF($Q$5=50,J24,IF($Q$5=51,J24,IF($Q$5=52,J24,IF($Q$5=53,J24,IF($Q$5=54,J24,0))))))))))))))))))</f>
        <v>0</v>
      </c>
      <c r="S23" s="171">
        <f>IF($Q$5=37,L12,IF($Q$5=38,L12,IF($Q$5=39,P22,IF($Q$5=40,L12,IF($Q$5=41,K11,IF($Q$5=42,K11,IF($Q$5=43,L11,IF($Q$5=44,L11,IF($Q$5=45,K10,IF($Q$5=46,K10,IF($Q$5=47,K25,IF($Q$5=48,K25,IF($Q$5=49,P11,IF($Q$5=50,K25,IF($Q$5=51,K25,IF($Q$5=52,K25,IF($Q$5=53,K25,IF($Q$5=54,K25,0))))))))))))))))))</f>
        <v>0</v>
      </c>
      <c r="T23" s="181">
        <f>IF($Q$5=42,L12,IF($Q$5=46,L11,IF($Q$5=47,L11,IF($Q$5=48,L10,IF($Q$5=49,0,IF($Q$5=50,L10,IF($Q$5=51,L11,IF($Q$5=52,L10,IF($Q$5=53,L26,IF($Q$5=54,L26,0))))))))))</f>
        <v>0</v>
      </c>
      <c r="U23" s="210">
        <f>IF($Q$5=32,0,IF($Q$5=33,0,IF($Q$5=34,0,IF($Q$5=35,0,IF($Q$5=36,0,IF($Q$5=37,R23,IF($Q$5=38,R23,IF($Q$5=39,R23,IF($Q$5=40,R10,IF($Q$5=41,R10,IF($Q$5=42,R10,IF($Q$5=43,R24,IF($Q$5=44,R24,IF($Q$5=45,R24,IF($Q$5=46,R24,IF($Q$5=47,R24,IF($Q$5=48,R24,IF($Q$5=49,R24,IF($Q$5=50,R24,IF($Q$5=51,R24,IF($Q$5=52,R24,IF($Q$5=53,R24,IF($Q$5=54,O25,0)))))))))))))))))))))))</f>
        <v>0</v>
      </c>
      <c r="V23" s="176">
        <f>IF($Q$5=37,T12,IF($Q$5=38,T11,IF($Q$5=39,T12,IF($Q$5=40,T12,IF($Q$5=41,S11,IF($Q$5=42,S11,IF($Q$5=43,T12,IF($Q$5=44,S10,IF($Q$5=45,S10,IF($Q$5=46,S10,IF($Q$5=47,S25,IF($Q$5=48,S25,IF($Q$5=49,S11,IF($Q$5=50,S24,IF($Q$5=51,S24,IF($Q$5=52,S25,IF($Q$5=53,S25,IF($Q$5=54,S25,0))))))))))))))))))</f>
        <v>0</v>
      </c>
      <c r="W23" s="177">
        <f>IF($Q$5=42,T12,IF($Q$5=43,0,IF($Q$5=44,0,IF($Q$5=45,0,IF($Q$5=46,T11,IF($Q$5=47,T11,IF($Q$5=48,T10,IF($Q$5=49,0,IF($Q$5=50,T10,IF($Q$5=51,T24,IF($Q$5=52,T25,IF($Q$5=53,T26,IF($Q$5=54,T26,0)))))))))))))</f>
        <v>0</v>
      </c>
      <c r="X23" s="23"/>
      <c r="Y23" s="447"/>
      <c r="Z23" s="14" t="str">
        <f>+O13</f>
        <v>A4</v>
      </c>
      <c r="AA23" s="35">
        <v>10</v>
      </c>
      <c r="AB23" s="30">
        <f>IF(AA19+AA23=0,0,IF(AA19=AA23,2,IF(AA19&lt;AA23,3,1)))</f>
        <v>3</v>
      </c>
      <c r="AC23" s="15">
        <f>AA23-AA19</f>
        <v>5</v>
      </c>
      <c r="AD23" s="9"/>
      <c r="AE23" s="14" t="str">
        <f>+R13</f>
        <v>A5</v>
      </c>
      <c r="AF23" s="127">
        <v>12</v>
      </c>
      <c r="AG23" s="30">
        <f>IF(AF19+AF23=0,0,IF(AF19=AF23,2,IF(AF19&lt;AF23,3,1)))</f>
        <v>3</v>
      </c>
      <c r="AH23" s="15">
        <f>AF23-AF19</f>
        <v>7</v>
      </c>
      <c r="AI23" s="9"/>
      <c r="AJ23" s="14" t="str">
        <f>+U13</f>
        <v>A5</v>
      </c>
      <c r="AK23" s="37">
        <v>9</v>
      </c>
      <c r="AL23" s="30">
        <f>IF(AK19+AK23=0,0,IF(AK19=AK23,2,IF(AK19&lt;AK23,3,1)))</f>
        <v>1</v>
      </c>
      <c r="AM23" s="15">
        <f>AK23-AK19</f>
        <v>-5</v>
      </c>
      <c r="AN23" s="23"/>
      <c r="AO23" s="54">
        <v>15</v>
      </c>
      <c r="AP23" s="321" t="str">
        <f>+Inscrits!B17</f>
        <v>A15</v>
      </c>
      <c r="AQ23" s="286" t="str">
        <f t="shared" si="3"/>
        <v xml:space="preserve"> </v>
      </c>
      <c r="AR23" s="99" t="str">
        <f t="shared" si="4"/>
        <v xml:space="preserve"> </v>
      </c>
      <c r="AS23" s="219" t="str">
        <f t="shared" si="5"/>
        <v xml:space="preserve"> </v>
      </c>
      <c r="AT23" s="289" t="str">
        <f t="shared" si="6"/>
        <v xml:space="preserve"> </v>
      </c>
      <c r="AU23" s="99" t="str">
        <f t="shared" si="7"/>
        <v xml:space="preserve"> </v>
      </c>
      <c r="AV23" s="291" t="str">
        <f t="shared" si="8"/>
        <v xml:space="preserve"> </v>
      </c>
      <c r="AW23" s="286" t="str">
        <f t="shared" si="9"/>
        <v xml:space="preserve"> </v>
      </c>
      <c r="AX23" s="99" t="str">
        <f t="shared" si="10"/>
        <v xml:space="preserve"> </v>
      </c>
      <c r="AY23" s="291" t="str">
        <f t="shared" si="11"/>
        <v xml:space="preserve"> </v>
      </c>
      <c r="AZ23" s="286">
        <f t="shared" si="17"/>
        <v>0</v>
      </c>
      <c r="BA23" s="99">
        <f t="shared" si="12"/>
        <v>0</v>
      </c>
      <c r="BB23" s="291">
        <f t="shared" si="13"/>
        <v>0</v>
      </c>
      <c r="BC23" s="294">
        <f t="shared" si="14"/>
        <v>0</v>
      </c>
      <c r="BD23" s="7">
        <f t="shared" si="15"/>
        <v>0</v>
      </c>
      <c r="BE23" s="218">
        <f t="shared" si="16"/>
        <v>35.000000229999998</v>
      </c>
      <c r="BF23" s="99">
        <f>IF(AP23="","",SMALL(BE$9:BE$62,ROWS(AZ$9:AZ23)))</f>
        <v>3.9898001900000004</v>
      </c>
      <c r="BG23" s="88"/>
      <c r="BH23" s="99" t="str">
        <f>IF(OR(AP23="",AZ23=""),"",INDEX($AP$9:$AP$63,MATCH(BF23,$BE$9:BE$62,0)))</f>
        <v>A11</v>
      </c>
      <c r="BI23" s="7">
        <f t="shared" si="0"/>
        <v>7</v>
      </c>
      <c r="BJ23" s="7">
        <f t="shared" si="1"/>
        <v>1</v>
      </c>
      <c r="BK23" s="7">
        <f t="shared" si="2"/>
        <v>2</v>
      </c>
      <c r="BL23" s="280">
        <f>IF(BF23="","",IF(AND(BI22=BI23,BJ22=BJ23,BK22=BK23),BL22,$BL$9+14))</f>
        <v>14</v>
      </c>
      <c r="BM23" s="29"/>
      <c r="BN23" s="262"/>
    </row>
    <row r="24" spans="1:66" ht="21" thickBot="1">
      <c r="A24" s="131">
        <v>15</v>
      </c>
      <c r="B24" s="393"/>
      <c r="C24" s="274">
        <f>IF($Q$5&gt;=43,15,0)</f>
        <v>0</v>
      </c>
      <c r="D24" s="393"/>
      <c r="E24" s="274">
        <f>IF($Q$5&gt;=44,15,0)</f>
        <v>0</v>
      </c>
      <c r="F24" s="396"/>
      <c r="G24" s="274">
        <f>IF($Q$5&gt;=45,15,0)</f>
        <v>0</v>
      </c>
      <c r="H24" s="23"/>
      <c r="I24" s="196">
        <v>15</v>
      </c>
      <c r="J24" s="204" t="str">
        <f>IF(ISNA(MATCH(I24,$C$10:$C$27,0)),"",INDEX(B$10:$B$27,MATCH(I24,$C$10:$C$27,0)))</f>
        <v/>
      </c>
      <c r="K24" s="137" t="str">
        <f>IF(ISNA(MATCH(I24,$E$10:$E$27,0)),"",INDEX($D$10:D$27,MATCH(I24,$E$10:$E$27,0)))</f>
        <v/>
      </c>
      <c r="L24" s="188" t="str">
        <f>IF(ISNA(MATCH(I24,$G$10:$G$27,0)),"",INDEX($F$10:F$27,MATCH(I24,$G$10:$G$27,0)))</f>
        <v/>
      </c>
      <c r="M24" s="155"/>
      <c r="N24" s="82">
        <v>8</v>
      </c>
      <c r="O24" s="147">
        <f>IF($Q$5=43,J24,IF($Q$5=44,J24,IF($Q$5=45,J24,IF($Q$5=46,J24,IF($Q$5=47,J24,IF($Q$5=48,J24,IF($Q$5=49,J24,IF($Q$5=50,J24,IF($Q$5=51,J24,IF($Q$5=52,J24,IF($Q$5=53,J24,IF($Q$5=54,J24,0))))))))))))</f>
        <v>0</v>
      </c>
      <c r="P24" s="142">
        <f>IF($Q$5=43,L23,IF($Q$5=44,L22,IF($Q$5=45,L23,IF($Q$5=46,K24,IF($Q$5=47,K24,IF($Q$5=48,K24,IF($Q$5=49,K24,IF($Q$5=50,K24,IF($Q$5=51,K24,IF($Q$5=52,K24,IF($Q$5=53,K24,IF($Q$5=54,K24,0))))))))))))</f>
        <v>0</v>
      </c>
      <c r="Q24" s="148">
        <f>IF($Q$5=43,0,IF($Q$5=44,0,IF($Q$5=45,0,IF($Q$5=46,0,IF($Q$5=47,L24,IF($Q$5=48,L24,IF($Q$5=49,0,IF($Q$5=50,0,IF($Q$5=51,L24,IF($Q$5=52,L24,IF($Q$5=53,L24,IF($Q$5=54,L24,0))))))))))))</f>
        <v>0</v>
      </c>
      <c r="R24" s="165">
        <f>IF($Q$5=43,J10,IF($Q$5=44,J10,IF($Q$5=45,J10,IF($Q$5=46,J25,IF($Q$5=47,J25,IF($Q$5=48,J25,IF($Q$5=49,J25,IF($Q$5=50,J25,IF($Q$5=51,J25,IF($Q$5=52,J25,IF($Q$5=53,J25,IF($Q$5=54,J25,0))))))))))))</f>
        <v>0</v>
      </c>
      <c r="S24" s="157">
        <f>IF($Q$5=43,L12,IF($Q$5=44,L12,IF($Q$5=45,L11,IF($Q$5=46,K11,IF($Q$5=47,K10,IF($Q$5=48,K10,IF($Q$5=49,K10,IF($Q$5=50,K10,IF($Q$5=51,K10,IF($Q$5=52,K26,IF($Q$5=53,K26,IF($Q$5=54,K26,0))))))))))))</f>
        <v>0</v>
      </c>
      <c r="T24" s="179">
        <f>IF($Q$5=47,L12,IF($Q$5=48,L11,IF($Q$5=49,0,IF($Q$5=50,0,IF($Q$5=51,L12,IF($Q$5=52,L11,IF($Q$5=53,L10,IF($Q$5=54,L27,0))))))))</f>
        <v>0</v>
      </c>
      <c r="U24" s="165">
        <f>IF($Q$5=42,0,IF($Q$5=43,R10,IF($Q$5=44,R10,IF($Q$5=45,R10,IF($Q$5=46,R25,IF($Q$5=47,R25,IF($Q$5=48,O10,IF($Q$5=49,R25,IF($Q$5=50,R25,IF($Q$5=51,R25,IF($Q$5=52,R25,IF($Q$5=53,O26,IF($Q$5=54,O26,0)))))))))))))</f>
        <v>0</v>
      </c>
      <c r="V24" s="163">
        <f>IF($Q$5=43,T10,IF($Q$5=44,T11,IF($Q$5=45,T11,IF($Q$5=46,S11,IF($Q$5=47,S10,IF($Q$5=48,S10,IF($Q$5=49,S10,IF($Q$5=50,S25,IF($Q$5=51,S25,IF($Q$5=52,S26,IF($Q$5=53,S26,IF($Q$5=54,S26,0))))))))))))</f>
        <v>0</v>
      </c>
      <c r="W24" s="173">
        <f>IF($Q$5=47,T12,IF($Q$5=48,T11,IF($Q$5=49,0,IF($Q$5=50,0,IF($Q$5=51,T10,IF($Q$5=52,T10,IF($Q$5=53,T10,IF($Q$5=54,T27,0))))))))</f>
        <v>0</v>
      </c>
      <c r="X24" s="23"/>
      <c r="Y24" s="447"/>
      <c r="Z24" s="14" t="str">
        <f>+P13</f>
        <v>B4</v>
      </c>
      <c r="AA24" s="69">
        <f>IF(ISTEXT(Z24),AA23,0)</f>
        <v>10</v>
      </c>
      <c r="AB24" s="18">
        <f>IF(ISTEXT(Z24),AB23,0)</f>
        <v>3</v>
      </c>
      <c r="AC24" s="62">
        <f>IF(ISTEXT(Z24),AC23,0)</f>
        <v>5</v>
      </c>
      <c r="AD24" s="11"/>
      <c r="AE24" s="14" t="str">
        <f>+S13</f>
        <v>B3</v>
      </c>
      <c r="AF24" s="18">
        <f>IF(ISTEXT(AE24),AF23,0)</f>
        <v>12</v>
      </c>
      <c r="AG24" s="18">
        <f>IF(ISTEXT(AE24),AG23,0)</f>
        <v>3</v>
      </c>
      <c r="AH24" s="62">
        <f>IF(ISTEXT(AE24),AH23,0)</f>
        <v>7</v>
      </c>
      <c r="AI24" s="11"/>
      <c r="AJ24" s="14" t="str">
        <f>+V13</f>
        <v>B7</v>
      </c>
      <c r="AK24" s="18">
        <f>IF(ISTEXT(AJ24),AK23,0)</f>
        <v>9</v>
      </c>
      <c r="AL24" s="18">
        <f>IF(ISTEXT(AJ24),AL23,0)</f>
        <v>1</v>
      </c>
      <c r="AM24" s="62">
        <f>IF(ISTEXT(AJ24),AM23,0)</f>
        <v>-5</v>
      </c>
      <c r="AN24" s="23"/>
      <c r="AO24" s="54">
        <v>16</v>
      </c>
      <c r="AP24" s="321" t="str">
        <f>+Inscrits!B18</f>
        <v>A16</v>
      </c>
      <c r="AQ24" s="286" t="str">
        <f t="shared" si="3"/>
        <v xml:space="preserve"> </v>
      </c>
      <c r="AR24" s="99" t="str">
        <f t="shared" si="4"/>
        <v xml:space="preserve"> </v>
      </c>
      <c r="AS24" s="219" t="str">
        <f t="shared" si="5"/>
        <v xml:space="preserve"> </v>
      </c>
      <c r="AT24" s="289" t="str">
        <f t="shared" si="6"/>
        <v xml:space="preserve"> </v>
      </c>
      <c r="AU24" s="99" t="str">
        <f t="shared" si="7"/>
        <v xml:space="preserve"> </v>
      </c>
      <c r="AV24" s="291" t="str">
        <f t="shared" si="8"/>
        <v xml:space="preserve"> </v>
      </c>
      <c r="AW24" s="286" t="str">
        <f t="shared" si="9"/>
        <v xml:space="preserve"> </v>
      </c>
      <c r="AX24" s="99" t="str">
        <f t="shared" si="10"/>
        <v xml:space="preserve"> </v>
      </c>
      <c r="AY24" s="291" t="str">
        <f t="shared" si="11"/>
        <v xml:space="preserve"> </v>
      </c>
      <c r="AZ24" s="286">
        <f t="shared" si="17"/>
        <v>0</v>
      </c>
      <c r="BA24" s="99">
        <f t="shared" si="12"/>
        <v>0</v>
      </c>
      <c r="BB24" s="291">
        <f t="shared" si="13"/>
        <v>0</v>
      </c>
      <c r="BC24" s="294">
        <f t="shared" si="14"/>
        <v>0</v>
      </c>
      <c r="BD24" s="7">
        <f t="shared" si="15"/>
        <v>0</v>
      </c>
      <c r="BE24" s="218">
        <f t="shared" si="16"/>
        <v>35.000000239999999</v>
      </c>
      <c r="BF24" s="99">
        <f>IF(AP24="","",SMALL(BE$9:BE$62,ROWS(AZ$9:AZ24)))</f>
        <v>3.9898003700000002</v>
      </c>
      <c r="BG24" s="88"/>
      <c r="BH24" s="99" t="str">
        <f>IF(OR(AP24="",AZ24=""),"",INDEX($AP$9:$AP$63,MATCH(BF24,$BE$9:BE$62,0)))</f>
        <v>B11</v>
      </c>
      <c r="BI24" s="7">
        <f t="shared" si="0"/>
        <v>7</v>
      </c>
      <c r="BJ24" s="7">
        <f t="shared" si="1"/>
        <v>1</v>
      </c>
      <c r="BK24" s="7">
        <f t="shared" si="2"/>
        <v>2</v>
      </c>
      <c r="BL24" s="280">
        <f>IF(BF24="","",IF(AND(BI23=BI24,BJ23=BJ24,BK23=BK24),BL23,$BL$9+15))</f>
        <v>14</v>
      </c>
      <c r="BM24" s="29"/>
      <c r="BN24" s="262"/>
    </row>
    <row r="25" spans="1:66" ht="21" thickBot="1">
      <c r="A25" s="131">
        <v>16</v>
      </c>
      <c r="B25" s="393"/>
      <c r="C25" s="274">
        <f>IF($Q$5&gt;=46,16,0)</f>
        <v>0</v>
      </c>
      <c r="D25" s="393"/>
      <c r="E25" s="274">
        <f>IF($Q$5&gt;=47,16,0)</f>
        <v>0</v>
      </c>
      <c r="F25" s="396"/>
      <c r="G25" s="274">
        <f>IF($Q$5&gt;=48,16,0)</f>
        <v>0</v>
      </c>
      <c r="H25" s="23"/>
      <c r="I25" s="196">
        <v>16</v>
      </c>
      <c r="J25" s="204" t="str">
        <f>IF(ISNA(MATCH(I25,$C$10:$C$27,0)),"",INDEX(B$10:$B$27,MATCH(I25,$C$10:$C$27,0)))</f>
        <v/>
      </c>
      <c r="K25" s="137" t="str">
        <f>IF(ISNA(MATCH(I25,$E$10:$E$27,0)),"",INDEX($D$10:D$27,MATCH(I25,$E$10:$E$27,0)))</f>
        <v/>
      </c>
      <c r="L25" s="188" t="str">
        <f>IF(ISNA(MATCH(I25,$G$10:$G$27,0)),"",INDEX($F$10:F$27,MATCH(I25,$G$10:$G$27,0)))</f>
        <v/>
      </c>
      <c r="M25" s="155"/>
      <c r="N25" s="52" t="s">
        <v>5</v>
      </c>
      <c r="O25" s="141">
        <f>IF($Q$5=43,K23,IF($Q$5=44,K24,IF($Q$5=45,K24,IF($Q$5=46,J25,IF($Q$5=47,J25,IF($Q$5=48,J25,IF($Q$5=49,J25,IF($Q$5=50,J25,IF($Q$5=51,J25,IF($Q$5=52,J25,IF($Q$5=53,J25,IF($Q$5=54,J25,0))))))))))))</f>
        <v>0</v>
      </c>
      <c r="P25" s="146">
        <f>IF($Q$5=43,L21,IF($Q$5=44,L23,IF($Q$5=45,L24,IF($Q$5=46,L24,IF($Q$5=47,K25,IF($Q$5=48,K25,IF($Q$5=49,L25,IF($Q$5=50,K25,IF($Q$5=51,K25,IF($Q$5=52,K25,IF($Q$5=53,K25,IF($Q$5=54,K25,0))))))))))))</f>
        <v>0</v>
      </c>
      <c r="Q25" s="143">
        <f>IF($Q$5=48,L25,IF($Q$5=49,0,IF($Q$5=50,0,IF($Q$5=51,0,IF($Q$5=52,L25,IF($Q$5=53,L25,IF($Q$5=54,L25,0)))))))</f>
        <v>0</v>
      </c>
      <c r="R25" s="170">
        <f>IF($Q$5=43,O25,IF($Q$5=44,O25,IF($Q$5=45,O25,IF($Q$5=46,J10,IF($Q$5=47,J10,IF($Q$5=48,J10,IF($Q$5=49,J26,IF($Q$5=50,J26,IF($Q$5=51,J26,IF($Q$5=52,J26,IF($Q$5=53,J26,IF($Q$5=54,J26,0))))))))))))</f>
        <v>0</v>
      </c>
      <c r="S25" s="171">
        <f>IF($Q$5=43,L10,IF($Q$5=44,K11,IF($Q$5=45,L12,IF($Q$5=46,L12,IF($Q$5=47,K11,IF($Q$5=48,K11,IF($Q$5=49,P27,IF($Q$5=50,K11,IF($Q$5=51,K11,IF($Q$5=52,K10,IF($Q$5=53,K27,IF($Q$5=54,K27,0))))))))))))</f>
        <v>0</v>
      </c>
      <c r="T25" s="181">
        <f>IF($Q$5=48,L12,IF($Q$5=49,0,IF($Q$5=50,0,IF($Q$5=51,0,IF($Q$5=52,L12,IF($Q$5=53,L11,IF($Q$5=54,L10,0)))))))</f>
        <v>0</v>
      </c>
      <c r="U25" s="184">
        <f>IF($Q$5=43,R25,IF($Q$5=44,R25,IF($Q$5=45,R25,IF($Q$5=46,R10,IF($Q$5=47,R10,IF($Q$5=48,R10,IF($Q$5=49,R26,IF($Q$5=50,R26,IF($Q$5=51,R26,IF($Q$5=52,O27,IF($Q$5=53,R26,IF($Q$5=54,O27,0))))))))))))</f>
        <v>0</v>
      </c>
      <c r="V25" s="176">
        <f>IF($Q$5=43,T11,IF($Q$5=44,T12,IF($Q$5=45,T12,IF($Q$5=46,T12,IF($Q$5=47,S11,IF($Q$5=48,S11,IF($Q$5=49,S25,IF($Q$5=50,S10,IF($Q$5=51,S10,IF($Q$5=52,S10,IF($Q$5=53,S27,IF($Q$5=54,S27,0))))))))))))</f>
        <v>0</v>
      </c>
      <c r="W25" s="177">
        <f>IF($Q$5=48,T12,IF($Q$5=49,0,IF($Q$5=50,0,IF($Q$5=51,0,IF($Q$5=52,T11,IF($Q$5=53,T11,IF($Q$5=54,T10,0)))))))</f>
        <v>0</v>
      </c>
      <c r="X25" s="23"/>
      <c r="Y25" s="448"/>
      <c r="Z25" s="16" t="str">
        <f>+Q13</f>
        <v>C4</v>
      </c>
      <c r="AA25" s="69">
        <f>IF(ISTEXT(Z25),AA23,0)</f>
        <v>10</v>
      </c>
      <c r="AB25" s="18">
        <f>IF(ISTEXT(Z25),AB23,0)</f>
        <v>3</v>
      </c>
      <c r="AC25" s="62">
        <f>IF(ISTEXT(Z25),AC23,0)</f>
        <v>5</v>
      </c>
      <c r="AD25" s="11"/>
      <c r="AE25" s="16" t="str">
        <f>+T13</f>
        <v>C4</v>
      </c>
      <c r="AF25" s="18">
        <f>IF(ISTEXT(AE25),AF23,0)</f>
        <v>12</v>
      </c>
      <c r="AG25" s="18">
        <f>IF(ISTEXT(AE25),AG23,0)</f>
        <v>3</v>
      </c>
      <c r="AH25" s="62">
        <f>IF(ISTEXT(AE25),AH23,0)</f>
        <v>7</v>
      </c>
      <c r="AI25" s="11"/>
      <c r="AJ25" s="16" t="str">
        <f>+W13</f>
        <v>C7</v>
      </c>
      <c r="AK25" s="18">
        <f>IF(ISTEXT(AJ25),AK23,0)</f>
        <v>9</v>
      </c>
      <c r="AL25" s="18">
        <f>IF(ISTEXT(AJ25),AL23,0)</f>
        <v>1</v>
      </c>
      <c r="AM25" s="62">
        <f>IF(ISTEXT(AJ25),AM23,0)</f>
        <v>-5</v>
      </c>
      <c r="AN25" s="23"/>
      <c r="AO25" s="54">
        <v>17</v>
      </c>
      <c r="AP25" s="321" t="str">
        <f>+Inscrits!B19</f>
        <v>A17</v>
      </c>
      <c r="AQ25" s="286" t="str">
        <f t="shared" si="3"/>
        <v xml:space="preserve"> </v>
      </c>
      <c r="AR25" s="99" t="str">
        <f t="shared" si="4"/>
        <v xml:space="preserve"> </v>
      </c>
      <c r="AS25" s="219" t="str">
        <f t="shared" si="5"/>
        <v xml:space="preserve"> </v>
      </c>
      <c r="AT25" s="289" t="str">
        <f t="shared" si="6"/>
        <v xml:space="preserve"> </v>
      </c>
      <c r="AU25" s="99" t="str">
        <f t="shared" si="7"/>
        <v xml:space="preserve"> </v>
      </c>
      <c r="AV25" s="291" t="str">
        <f t="shared" si="8"/>
        <v xml:space="preserve"> </v>
      </c>
      <c r="AW25" s="286" t="str">
        <f t="shared" si="9"/>
        <v xml:space="preserve"> </v>
      </c>
      <c r="AX25" s="99" t="str">
        <f t="shared" si="10"/>
        <v xml:space="preserve"> </v>
      </c>
      <c r="AY25" s="291" t="str">
        <f t="shared" si="11"/>
        <v xml:space="preserve"> </v>
      </c>
      <c r="AZ25" s="286">
        <f t="shared" si="17"/>
        <v>0</v>
      </c>
      <c r="BA25" s="99">
        <f t="shared" si="12"/>
        <v>0</v>
      </c>
      <c r="BB25" s="291">
        <f t="shared" si="13"/>
        <v>0</v>
      </c>
      <c r="BC25" s="294">
        <f t="shared" si="14"/>
        <v>0</v>
      </c>
      <c r="BD25" s="7">
        <f t="shared" si="15"/>
        <v>0</v>
      </c>
      <c r="BE25" s="218">
        <f t="shared" si="16"/>
        <v>35.000000249999999</v>
      </c>
      <c r="BF25" s="99">
        <f>IF(AP25="","",SMALL(BE$9:BE$62,ROWS(AZ$9:AZ25)))</f>
        <v>3.9979004900000001</v>
      </c>
      <c r="BG25" s="88"/>
      <c r="BH25" s="99" t="str">
        <f>IF(OR(AP25="",AZ25=""),"",INDEX($AP$9:$AP$63,MATCH(BF25,$BE$9:BE$62,0)))</f>
        <v>C5</v>
      </c>
      <c r="BI25" s="7">
        <f t="shared" si="0"/>
        <v>7</v>
      </c>
      <c r="BJ25" s="7">
        <f t="shared" si="1"/>
        <v>0</v>
      </c>
      <c r="BK25" s="7">
        <f t="shared" si="2"/>
        <v>21</v>
      </c>
      <c r="BL25" s="280">
        <f>IF(BF25="","",IF(AND(BI24=BI25,BJ24=BJ25,BK24=BK25),BL24,$BL$9+16))</f>
        <v>17</v>
      </c>
      <c r="BM25" s="29"/>
      <c r="BN25" s="262"/>
    </row>
    <row r="26" spans="1:66" ht="21" thickBot="1">
      <c r="A26" s="131">
        <v>17</v>
      </c>
      <c r="B26" s="393"/>
      <c r="C26" s="272">
        <f>IF($Q$5&gt;=49,17,0)</f>
        <v>0</v>
      </c>
      <c r="D26" s="393"/>
      <c r="E26" s="272">
        <f>IF($Q$5&gt;=50,17,0)</f>
        <v>0</v>
      </c>
      <c r="F26" s="396"/>
      <c r="G26" s="272">
        <f>IF($Q$5&gt;=51,17,0)</f>
        <v>0</v>
      </c>
      <c r="H26" s="134"/>
      <c r="I26" s="199">
        <v>17</v>
      </c>
      <c r="J26" s="205" t="str">
        <f>IF(ISNA(MATCH(I26,$C$10:$C$27,0)),"",INDEX(B$10:$B$27,MATCH(I26,$C$10:$C$27,0)))</f>
        <v/>
      </c>
      <c r="K26" s="200" t="str">
        <f>IF(ISNA(MATCH(I26,$E$10:$E$27,0)),"",INDEX($D$10:D$27,MATCH(I26,$E$10:$E$27,0)))</f>
        <v/>
      </c>
      <c r="L26" s="206" t="str">
        <f>IF(ISNA(MATCH(I26,$G$10:$G$27,0)),"",INDEX($F$10:F$27,MATCH(I26,$G$10:$G$27,0)))</f>
        <v/>
      </c>
      <c r="N26" s="82">
        <v>9</v>
      </c>
      <c r="O26" s="147">
        <f>IF($Q$5=49,J26,IF($Q$5=50,J26,IF($Q$5=51,J26,IF($Q$5=52,J26,IF($Q$5=53,J26,IF($Q$5=54,J26,0))))))</f>
        <v>0</v>
      </c>
      <c r="P26" s="142">
        <f>IF($Q$5=49,L24,IF($Q$5=50,L24,IF($Q$5=51,L25,IF($Q$5=52,K26,IF($Q$5=53,K26,IF($Q$5=54,K26,0))))))</f>
        <v>0</v>
      </c>
      <c r="Q26" s="148">
        <f>IF($Q$5=51,0,IF($Q$5=52,0,IF($Q$5=53,L26,IF($Q$5=54,L26,0))))</f>
        <v>0</v>
      </c>
      <c r="R26" s="165">
        <f>IF($Q$5=43,0,IF($Q$5=44,0,IF($Q$5=45,0,IF($Q$5=46,0,IF($Q$5=47,0,IF($Q$5=48,0,IF($Q$5=49,O10,IF($Q$5=50,O10,IF($Q$5=51,O10,IF($Q$5=52,O27,IF($Q$5=53,O27,IF($Q$5=54,O27,0))))))))))))</f>
        <v>0</v>
      </c>
      <c r="S26" s="157">
        <f>IF($Q$5=43,0,IF($Q$5=44,0,IF($Q$5=45,0,IF($Q$5=46,0,IF($Q$5=47,0,IF($Q$5=48,0,IF($Q$5=49,P26,IF($Q$5=50,Q11,IF($Q$5=51,P27,IF($Q$5=52,P11,IF($Q$5=53,P10,IF($Q$5=54,P10,0))))))))))))</f>
        <v>0</v>
      </c>
      <c r="T26" s="212">
        <f>IF($Q$5=53,Q12,IF($Q$5=54,Q11,0))</f>
        <v>0</v>
      </c>
      <c r="U26" s="215">
        <f>IF($Q$5=43,0,IF($Q$5=44,0,IF($Q$5=45,0,IF($Q$5=46,0,IF($Q$5=47,0,IF($Q$5=48,0,IF($Q$5=49,R10,IF($Q$5=50,R10,IF($Q$5=51,R10,IF($Q$5=52,R27,IF($Q$5=53,R27,IF($Q$5=54,R27,0))))))))))))</f>
        <v>0</v>
      </c>
      <c r="V26" s="163">
        <f>IF($Q$5=43,0,IF($Q$5=44,0,IF($Q$5=45,0,IF($Q$5=46,0,IF($Q$5=47,0,IF($Q$5=48,0,IF($Q$5=49,S27,IF($Q$5=50,T11,IF($Q$5=51,T11,IF($Q$5=52,S11,IF($Q$5=53,S10,IF($Q$5=54,S10,0))))))))))))</f>
        <v>0</v>
      </c>
      <c r="W26" s="173">
        <f>IF($Q$5=43,0,IF($Q$5=44,0,IF($Q$5=45,0,IF($Q$5=46,0,IF($Q$5=47,0,IF($Q$5=48,0,IF($Q$5=49,0,IF($Q$5=50,0,IF($Q$5=51,0,IF($Q$5=52,0,IF($Q$5=53,T12,IF($Q$5=54,T11,0))))))))))))</f>
        <v>0</v>
      </c>
      <c r="X26" s="23"/>
      <c r="Y26" s="128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23"/>
      <c r="AO26" s="54">
        <v>18</v>
      </c>
      <c r="AP26" s="321" t="str">
        <f>+Inscrits!B20</f>
        <v>A18</v>
      </c>
      <c r="AQ26" s="286" t="str">
        <f t="shared" si="3"/>
        <v xml:space="preserve"> </v>
      </c>
      <c r="AR26" s="99" t="str">
        <f t="shared" si="4"/>
        <v xml:space="preserve"> </v>
      </c>
      <c r="AS26" s="219" t="str">
        <f t="shared" si="5"/>
        <v xml:space="preserve"> </v>
      </c>
      <c r="AT26" s="289" t="str">
        <f t="shared" si="6"/>
        <v xml:space="preserve"> </v>
      </c>
      <c r="AU26" s="99" t="str">
        <f t="shared" si="7"/>
        <v xml:space="preserve"> </v>
      </c>
      <c r="AV26" s="291" t="str">
        <f t="shared" si="8"/>
        <v xml:space="preserve"> </v>
      </c>
      <c r="AW26" s="286" t="str">
        <f t="shared" si="9"/>
        <v xml:space="preserve"> </v>
      </c>
      <c r="AX26" s="99" t="str">
        <f t="shared" si="10"/>
        <v xml:space="preserve"> </v>
      </c>
      <c r="AY26" s="291" t="str">
        <f t="shared" si="11"/>
        <v xml:space="preserve"> </v>
      </c>
      <c r="AZ26" s="286">
        <f t="shared" si="17"/>
        <v>0</v>
      </c>
      <c r="BA26" s="99">
        <f t="shared" si="12"/>
        <v>0</v>
      </c>
      <c r="BB26" s="291">
        <f t="shared" si="13"/>
        <v>0</v>
      </c>
      <c r="BC26" s="294">
        <f t="shared" si="14"/>
        <v>0</v>
      </c>
      <c r="BD26" s="7">
        <f t="shared" si="15"/>
        <v>0</v>
      </c>
      <c r="BE26" s="218">
        <f t="shared" si="16"/>
        <v>35.00000026</v>
      </c>
      <c r="BF26" s="99">
        <f>IF(AP26="","",SMALL(BE$9:BE$62,ROWS(AZ$9:AZ26)))</f>
        <v>4.0080001200000002</v>
      </c>
      <c r="BG26" s="88"/>
      <c r="BH26" s="99" t="str">
        <f>IF(OR(AP26="",AZ26=""),"",INDEX($AP$9:$AP$63,MATCH(BF26,$BE$9:BE$62,0)))</f>
        <v>A4</v>
      </c>
      <c r="BI26" s="7">
        <f t="shared" si="0"/>
        <v>7</v>
      </c>
      <c r="BJ26" s="7">
        <f t="shared" si="1"/>
        <v>-1</v>
      </c>
      <c r="BK26" s="7">
        <f t="shared" si="2"/>
        <v>20</v>
      </c>
      <c r="BL26" s="280">
        <f>IF(BF26="","",IF(AND(BI25=BI26,BJ25=BJ26,BK25=BK26),BL25,$BL$9+17))</f>
        <v>18</v>
      </c>
      <c r="BM26" s="29"/>
      <c r="BN26" s="262"/>
    </row>
    <row r="27" spans="1:66" ht="21" thickBot="1">
      <c r="A27" s="197">
        <v>18</v>
      </c>
      <c r="B27" s="394"/>
      <c r="C27" s="275">
        <f>IF($Q$5&gt;=52,18,0)</f>
        <v>0</v>
      </c>
      <c r="D27" s="394"/>
      <c r="E27" s="275">
        <f>IF($Q$5&gt;=53,18,0)</f>
        <v>0</v>
      </c>
      <c r="F27" s="397"/>
      <c r="G27" s="275">
        <f>IF($Q$5&gt;=54,18,0)</f>
        <v>0</v>
      </c>
      <c r="H27" s="134"/>
      <c r="I27" s="198">
        <v>18</v>
      </c>
      <c r="J27" s="207" t="str">
        <f>IF(ISNA(MATCH(I27,$C$10:$C$27,0)),"",INDEX(B$10:$B$27,MATCH(I27,$C$10:$C$27,0)))</f>
        <v/>
      </c>
      <c r="K27" s="189" t="str">
        <f>IF(ISNA(MATCH(I27,$E$10:$E$27,0)),"",INDEX($D$10:D$27,MATCH(I27,$E$10:$E$27,0)))</f>
        <v/>
      </c>
      <c r="L27" s="190" t="str">
        <f>IF(ISNA(MATCH(I27,$G$10:$G$27,0)),"",INDEX($F$10:F$27,MATCH(I27,$G$10:$G$27,0)))</f>
        <v/>
      </c>
      <c r="N27" s="52" t="s">
        <v>5</v>
      </c>
      <c r="O27" s="141">
        <f>IF($Q$5=49,K25,IF($Q$5=50,K26,IF($Q$5=51,K26,IF($Q$5=52,J27,IF($Q$5=53,J27,IF($Q$5=54,J27,0))))))</f>
        <v>0</v>
      </c>
      <c r="P27" s="146">
        <f>IF($Q$5=49,L23,IF($Q$5=50,L25,IF($Q$5=51,L26,IF($Q$5=52,L26,IF($Q$5=53,K27,IF($Q$5=54,K27,0))))))</f>
        <v>0</v>
      </c>
      <c r="Q27" s="211">
        <f>IF($Q$5=54,L27,0)</f>
        <v>0</v>
      </c>
      <c r="R27" s="213">
        <f>IF($Q$5=43,0,IF($Q$5=44,0,IF($Q$5=45,0,IF($Q$5=46,0,IF($Q$5=47,0,IF($Q$5=48,0,IF($Q$5=49,O27,IF($Q$5=50,O27,IF($Q$5=51,O27,IF($Q$5=52,O10,IF($Q$5=53,O10,IF($Q$5=54,O10,0))))))))))))</f>
        <v>0</v>
      </c>
      <c r="S27" s="146">
        <f>IF($Q$5=43,0,IF($Q$5=44,0,IF($Q$5=45,0,IF($Q$5=46,0,IF($Q$5=47,0,IF($Q$5=48,0,IF($Q$5=49,P25,IF($Q$5=50,Q12,IF($Q$5=51,P26,IF($Q$5=52,P27,IF($Q$5=53,P11,IF($Q$5=54,P11,0))))))))))))</f>
        <v>0</v>
      </c>
      <c r="T27" s="214">
        <f>IF($Q$5=54,Q12,0)</f>
        <v>0</v>
      </c>
      <c r="U27" s="216">
        <f>IF($Q$5=43,0,IF($Q$5=44,0,IF($Q$5=45,0,IF($Q$5=46,0,IF($Q$5=47,0,IF($Q$5=48,0,IF($Q$5=49,R27,IF($Q$5=50,R27,IF($Q$5=51,R27,IF($Q$5=52,R10,IF($Q$5=53,R10,IF($Q$5=54,R10,0))))))))))))</f>
        <v>0</v>
      </c>
      <c r="V27" s="176">
        <f>IF($Q$5=43,0,IF($Q$5=44,0,IF($Q$5=45,0,IF($Q$5=46,0,IF($Q$5=47,0,IF($Q$5=48,0,IF($Q$5=49,S26,IF($Q$5=50,T12,IF($Q$5=51,T12,IF($Q$5=52,T12,IF($Q$5=53,S11,IF($Q$5=54,S11,0))))))))))))</f>
        <v>0</v>
      </c>
      <c r="W27" s="177">
        <f>IF($Q$5=43,0,IF($Q$5=44,0,IF($Q$5=45,0,IF($Q$5=46,0,IF($Q$5=47,0,IF($Q$5=48,0,IF($Q$5=49,0,IF($Q$5=50,0,IF($Q$5=51,0,IF($Q$5=52,0,IF($Q$5=53,0,IF($Q$5=54,T12,0))))))))))))</f>
        <v>0</v>
      </c>
      <c r="X27" s="23"/>
      <c r="Y27" s="446">
        <v>3</v>
      </c>
      <c r="Z27" s="12" t="str">
        <f>+O14</f>
        <v>A5</v>
      </c>
      <c r="AA27" s="33">
        <v>2</v>
      </c>
      <c r="AB27" s="48">
        <f>IF(AA27+AA31=0,0,IF(AA27=AA31,2,IF(AA27&gt;AA31,3,1)))</f>
        <v>3</v>
      </c>
      <c r="AC27" s="13">
        <f>AA27-AA31</f>
        <v>2</v>
      </c>
      <c r="AD27" s="9"/>
      <c r="AE27" s="12" t="str">
        <f>+R14</f>
        <v>A6</v>
      </c>
      <c r="AF27" s="126">
        <v>5</v>
      </c>
      <c r="AG27" s="48">
        <f>IF(AF27+AF31=0,0,IF(AF27=AF31,2,IF(AF27&gt;AF31,3,1)))</f>
        <v>3</v>
      </c>
      <c r="AH27" s="13">
        <f>AF27-AF31</f>
        <v>5</v>
      </c>
      <c r="AI27" s="9"/>
      <c r="AJ27" s="12" t="str">
        <f>+U14</f>
        <v>A6</v>
      </c>
      <c r="AK27" s="36">
        <v>5</v>
      </c>
      <c r="AL27" s="48">
        <f>IF(AK27+AK31=0,0,IF(AK27=AK31,2,IF(AK27&gt;AK31,3,1)))</f>
        <v>3</v>
      </c>
      <c r="AM27" s="13">
        <f>AK27-AK31</f>
        <v>5</v>
      </c>
      <c r="AN27" s="23"/>
      <c r="AO27" s="54">
        <v>19</v>
      </c>
      <c r="AP27" s="322" t="str">
        <f>+Inscrits!D3</f>
        <v>B1</v>
      </c>
      <c r="AQ27" s="286">
        <f t="shared" si="3"/>
        <v>2</v>
      </c>
      <c r="AR27" s="99" t="str">
        <f t="shared" si="4"/>
        <v>0</v>
      </c>
      <c r="AS27" s="219">
        <f t="shared" si="5"/>
        <v>6</v>
      </c>
      <c r="AT27" s="289">
        <f t="shared" si="6"/>
        <v>3</v>
      </c>
      <c r="AU27" s="99">
        <f t="shared" si="7"/>
        <v>1</v>
      </c>
      <c r="AV27" s="291">
        <f t="shared" si="8"/>
        <v>1</v>
      </c>
      <c r="AW27" s="286">
        <f t="shared" si="9"/>
        <v>3</v>
      </c>
      <c r="AX27" s="99">
        <f t="shared" si="10"/>
        <v>1</v>
      </c>
      <c r="AY27" s="291">
        <f t="shared" si="11"/>
        <v>1</v>
      </c>
      <c r="AZ27" s="286">
        <f t="shared" si="17"/>
        <v>8</v>
      </c>
      <c r="BA27" s="99">
        <f t="shared" si="12"/>
        <v>2</v>
      </c>
      <c r="BB27" s="291">
        <f t="shared" si="13"/>
        <v>8</v>
      </c>
      <c r="BC27" s="294">
        <f t="shared" si="14"/>
        <v>0</v>
      </c>
      <c r="BD27" s="7">
        <f t="shared" si="15"/>
        <v>2</v>
      </c>
      <c r="BE27" s="218">
        <f t="shared" si="16"/>
        <v>1.97920027</v>
      </c>
      <c r="BF27" s="99">
        <f>IF(AP27="","",SMALL(BE$9:BE$62,ROWS(AZ$9:AZ27)))</f>
        <v>4.0298001499999998</v>
      </c>
      <c r="BG27" s="88"/>
      <c r="BH27" s="99" t="str">
        <f>IF(OR(AP27="",AZ27=""),"",INDEX($AP$9:$AP$63,MATCH(BF27,$BE$9:BE$62,0)))</f>
        <v>A7</v>
      </c>
      <c r="BI27" s="7">
        <f t="shared" si="0"/>
        <v>7</v>
      </c>
      <c r="BJ27" s="7">
        <f t="shared" si="1"/>
        <v>-3</v>
      </c>
      <c r="BK27" s="7">
        <f t="shared" si="2"/>
        <v>2</v>
      </c>
      <c r="BL27" s="280">
        <f>IF(BF27="","",IF(AND(BI26=BI27,BJ26=BJ27,BK26=BK27),BL26,$BL$9+18))</f>
        <v>19</v>
      </c>
      <c r="BM27" s="29"/>
      <c r="BN27" s="262"/>
    </row>
    <row r="28" spans="1:66" ht="16.5" thickBo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128"/>
      <c r="P28" s="23"/>
      <c r="Q28" s="23"/>
      <c r="R28" s="23"/>
      <c r="S28" s="23"/>
      <c r="T28" s="23"/>
      <c r="U28" s="29"/>
      <c r="V28" s="23"/>
      <c r="W28" s="23"/>
      <c r="X28" s="23"/>
      <c r="Y28" s="447"/>
      <c r="Z28" s="14" t="str">
        <f>+P14</f>
        <v>B5</v>
      </c>
      <c r="AA28" s="17">
        <f>IF(ISTEXT(Z28),AA27,0)</f>
        <v>2</v>
      </c>
      <c r="AB28" s="18">
        <f>IF(ISTEXT(Z28),AB27,0)</f>
        <v>3</v>
      </c>
      <c r="AC28" s="19">
        <f>IF(ISTEXT(Z28),AC27,0)</f>
        <v>2</v>
      </c>
      <c r="AD28" s="9"/>
      <c r="AE28" s="14" t="str">
        <f>+S14</f>
        <v>B8</v>
      </c>
      <c r="AF28" s="17">
        <f>IF(ISTEXT(AE28),AF27,0)</f>
        <v>5</v>
      </c>
      <c r="AG28" s="59">
        <f>IF(ISTEXT(AE28),AG27,0)</f>
        <v>3</v>
      </c>
      <c r="AH28" s="19">
        <f>IF(ISTEXT(AE28),AH27,0)</f>
        <v>5</v>
      </c>
      <c r="AI28" s="9"/>
      <c r="AJ28" s="14" t="str">
        <f>+V14</f>
        <v>B9</v>
      </c>
      <c r="AK28" s="17">
        <f>IF(ISTEXT(AJ28),AK27,0)</f>
        <v>5</v>
      </c>
      <c r="AL28" s="59">
        <f>IF(ISTEXT(AJ28),AL27,0)</f>
        <v>3</v>
      </c>
      <c r="AM28" s="19">
        <f>IF(ISTEXT(AJ28),AM27,0)</f>
        <v>5</v>
      </c>
      <c r="AN28" s="23"/>
      <c r="AO28" s="54">
        <v>20</v>
      </c>
      <c r="AP28" s="322" t="str">
        <f>+Inscrits!D4</f>
        <v>B2</v>
      </c>
      <c r="AQ28" s="286">
        <f t="shared" si="3"/>
        <v>2</v>
      </c>
      <c r="AR28" s="99" t="str">
        <f t="shared" si="4"/>
        <v>0</v>
      </c>
      <c r="AS28" s="219">
        <f t="shared" si="5"/>
        <v>6</v>
      </c>
      <c r="AT28" s="289">
        <f t="shared" si="6"/>
        <v>1</v>
      </c>
      <c r="AU28" s="99">
        <f t="shared" si="7"/>
        <v>-7</v>
      </c>
      <c r="AV28" s="291">
        <f t="shared" si="8"/>
        <v>5</v>
      </c>
      <c r="AW28" s="286">
        <f t="shared" si="9"/>
        <v>1</v>
      </c>
      <c r="AX28" s="99">
        <f t="shared" si="10"/>
        <v>-1</v>
      </c>
      <c r="AY28" s="291" t="str">
        <f t="shared" si="11"/>
        <v>0</v>
      </c>
      <c r="AZ28" s="286">
        <f t="shared" si="17"/>
        <v>4</v>
      </c>
      <c r="BA28" s="99">
        <f t="shared" si="12"/>
        <v>-8</v>
      </c>
      <c r="BB28" s="291">
        <f t="shared" si="13"/>
        <v>11</v>
      </c>
      <c r="BC28" s="294">
        <f t="shared" si="14"/>
        <v>-8</v>
      </c>
      <c r="BD28" s="7">
        <f t="shared" si="15"/>
        <v>0</v>
      </c>
      <c r="BE28" s="218">
        <f t="shared" si="16"/>
        <v>29.078900279999996</v>
      </c>
      <c r="BF28" s="99">
        <f>IF(AP28="","",SMALL(BE$9:BE$62,ROWS(AZ$9:AZ28)))</f>
        <v>19.958000460000001</v>
      </c>
      <c r="BG28" s="88"/>
      <c r="BH28" s="99" t="str">
        <f>IF(OR(AP28="",AZ28=""),"",INDEX($AP$9:$AP$63,MATCH(BF28,$BE$9:BE$62,0)))</f>
        <v>C2</v>
      </c>
      <c r="BI28" s="7">
        <f t="shared" si="0"/>
        <v>6</v>
      </c>
      <c r="BJ28" s="7">
        <f t="shared" si="1"/>
        <v>4</v>
      </c>
      <c r="BK28" s="7">
        <f t="shared" si="2"/>
        <v>20</v>
      </c>
      <c r="BL28" s="280">
        <f>IF(BF28="","",IF(AND(BI27=BI28,BJ27=BJ28,BK27=BK28),BL27,$BL$9+19))</f>
        <v>20</v>
      </c>
      <c r="BM28" s="29"/>
      <c r="BN28" s="262"/>
    </row>
    <row r="29" spans="1:66" ht="15.7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P29" s="23"/>
      <c r="Q29" s="23"/>
      <c r="R29" s="23"/>
      <c r="S29" s="23"/>
      <c r="T29" s="23"/>
      <c r="U29" s="29"/>
      <c r="V29" s="23"/>
      <c r="W29" s="23"/>
      <c r="X29" s="23"/>
      <c r="Y29" s="447"/>
      <c r="Z29" s="14" t="str">
        <f>+Q14</f>
        <v>C5</v>
      </c>
      <c r="AA29" s="71">
        <f>IF(ISTEXT(Z29),AA27,0)</f>
        <v>2</v>
      </c>
      <c r="AB29" s="67">
        <f>IF(ISTEXT(Z29),AB27,0)</f>
        <v>3</v>
      </c>
      <c r="AC29" s="72">
        <f>IF(ISTEXT(Z29),AC27,0)</f>
        <v>2</v>
      </c>
      <c r="AD29" s="9"/>
      <c r="AE29" s="14" t="str">
        <f>+T14</f>
        <v>C7</v>
      </c>
      <c r="AF29" s="71">
        <f>IF(ISTEXT(AE29),AF27,0)</f>
        <v>5</v>
      </c>
      <c r="AG29" s="64">
        <f>IF(ISTEXT(AE29),AG27,0)</f>
        <v>3</v>
      </c>
      <c r="AH29" s="72">
        <f>IF(ISTEXT(AE29),AH27,0)</f>
        <v>5</v>
      </c>
      <c r="AI29" s="9"/>
      <c r="AJ29" s="14" t="str">
        <f>+W14</f>
        <v>C11</v>
      </c>
      <c r="AK29" s="71">
        <f>IF(ISTEXT(AJ29),AK27,0)</f>
        <v>5</v>
      </c>
      <c r="AL29" s="64">
        <f>IF(ISTEXT(AJ29),AL27,0)</f>
        <v>3</v>
      </c>
      <c r="AM29" s="72">
        <f>IF(ISTEXT(AJ29),AM27,0)</f>
        <v>5</v>
      </c>
      <c r="AN29" s="23"/>
      <c r="AO29" s="54">
        <v>21</v>
      </c>
      <c r="AP29" s="322" t="str">
        <f>+Inscrits!D5</f>
        <v>B3</v>
      </c>
      <c r="AQ29" s="286">
        <f t="shared" si="3"/>
        <v>1</v>
      </c>
      <c r="AR29" s="99">
        <f t="shared" si="4"/>
        <v>-5</v>
      </c>
      <c r="AS29" s="219">
        <f t="shared" si="5"/>
        <v>5</v>
      </c>
      <c r="AT29" s="289">
        <f t="shared" si="6"/>
        <v>3</v>
      </c>
      <c r="AU29" s="99">
        <f t="shared" si="7"/>
        <v>7</v>
      </c>
      <c r="AV29" s="291">
        <f t="shared" si="8"/>
        <v>12</v>
      </c>
      <c r="AW29" s="286">
        <f t="shared" si="9"/>
        <v>3</v>
      </c>
      <c r="AX29" s="99">
        <f t="shared" si="10"/>
        <v>1</v>
      </c>
      <c r="AY29" s="291">
        <f t="shared" si="11"/>
        <v>1</v>
      </c>
      <c r="AZ29" s="286">
        <f t="shared" si="17"/>
        <v>7</v>
      </c>
      <c r="BA29" s="99">
        <f t="shared" si="12"/>
        <v>3</v>
      </c>
      <c r="BB29" s="291">
        <f t="shared" si="13"/>
        <v>18</v>
      </c>
      <c r="BC29" s="294">
        <f t="shared" si="14"/>
        <v>0</v>
      </c>
      <c r="BD29" s="7">
        <f t="shared" si="15"/>
        <v>3</v>
      </c>
      <c r="BE29" s="218">
        <f t="shared" si="16"/>
        <v>3.9682002900000004</v>
      </c>
      <c r="BF29" s="99">
        <f>IF(AP29="","",SMALL(BE$9:BE$62,ROWS(AZ$9:AZ29)))</f>
        <v>21.008100300000002</v>
      </c>
      <c r="BG29" s="88"/>
      <c r="BH29" s="99" t="str">
        <f>IF(OR(AP29="",AZ29=""),"",INDEX($AP$9:$AP$63,MATCH(BF29,$BE$9:BE$62,0)))</f>
        <v>B4</v>
      </c>
      <c r="BI29" s="7">
        <f t="shared" si="0"/>
        <v>5</v>
      </c>
      <c r="BJ29" s="7">
        <f t="shared" si="1"/>
        <v>-1</v>
      </c>
      <c r="BK29" s="7">
        <f t="shared" si="2"/>
        <v>19</v>
      </c>
      <c r="BL29" s="280">
        <f>IF(BF29="","",IF(AND(BI28=BI29,BJ28=BJ29,BK28=BK29),BL28,$BL$9+20))</f>
        <v>21</v>
      </c>
      <c r="BM29" s="29"/>
      <c r="BN29" s="262"/>
    </row>
    <row r="30" spans="1:66" ht="15.7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P30" s="23"/>
      <c r="Q30" s="23"/>
      <c r="R30" s="23"/>
      <c r="S30" s="23"/>
      <c r="T30" s="23"/>
      <c r="U30" s="29"/>
      <c r="V30" s="23"/>
      <c r="W30" s="23"/>
      <c r="X30" s="23"/>
      <c r="Y30" s="447"/>
      <c r="Z30" s="32"/>
      <c r="AA30" s="21" t="s">
        <v>5</v>
      </c>
      <c r="AB30" s="21"/>
      <c r="AC30" s="22"/>
      <c r="AD30" s="1"/>
      <c r="AE30" s="32"/>
      <c r="AF30" s="21" t="s">
        <v>5</v>
      </c>
      <c r="AG30" s="21"/>
      <c r="AH30" s="22"/>
      <c r="AI30" s="1"/>
      <c r="AJ30" s="32"/>
      <c r="AK30" s="21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3</v>
      </c>
      <c r="AR30" s="99">
        <f t="shared" si="4"/>
        <v>5</v>
      </c>
      <c r="AS30" s="219">
        <f t="shared" si="5"/>
        <v>10</v>
      </c>
      <c r="AT30" s="289">
        <f t="shared" si="6"/>
        <v>1</v>
      </c>
      <c r="AU30" s="99">
        <f t="shared" si="7"/>
        <v>-5</v>
      </c>
      <c r="AV30" s="291">
        <f t="shared" si="8"/>
        <v>5</v>
      </c>
      <c r="AW30" s="286">
        <f t="shared" si="9"/>
        <v>1</v>
      </c>
      <c r="AX30" s="99">
        <f t="shared" si="10"/>
        <v>-1</v>
      </c>
      <c r="AY30" s="291">
        <f t="shared" si="11"/>
        <v>4</v>
      </c>
      <c r="AZ30" s="286">
        <f t="shared" si="17"/>
        <v>5</v>
      </c>
      <c r="BA30" s="99">
        <f t="shared" si="12"/>
        <v>-1</v>
      </c>
      <c r="BB30" s="291">
        <f t="shared" si="13"/>
        <v>19</v>
      </c>
      <c r="BC30" s="294">
        <f t="shared" si="14"/>
        <v>-1</v>
      </c>
      <c r="BD30" s="7">
        <f t="shared" si="15"/>
        <v>0</v>
      </c>
      <c r="BE30" s="218">
        <f t="shared" si="16"/>
        <v>21.008100300000002</v>
      </c>
      <c r="BF30" s="99">
        <f>IF(AP30="","",SMALL(BE$9:BE$62,ROWS(AZ$9:AZ30)))</f>
        <v>21.009900170000002</v>
      </c>
      <c r="BG30" s="88"/>
      <c r="BH30" s="99" t="str">
        <f>IF(OR(AP30="",AZ30=""),"",INDEX($AP$9:$AP$63,MATCH(BF30,$BE$9:BE$62,0)))</f>
        <v>A9</v>
      </c>
      <c r="BI30" s="7">
        <f t="shared" si="0"/>
        <v>5</v>
      </c>
      <c r="BJ30" s="7">
        <f t="shared" si="1"/>
        <v>-1</v>
      </c>
      <c r="BK30" s="7">
        <f t="shared" si="2"/>
        <v>1</v>
      </c>
      <c r="BL30" s="280">
        <f>IF(BF30="","",IF(AND(BI29=BI30,BJ29=BJ30,BK29=BK30),BL29,$BL$9+21))</f>
        <v>22</v>
      </c>
      <c r="BM30" s="29"/>
      <c r="BN30" s="262"/>
    </row>
    <row r="31" spans="1:66" ht="15.7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P31" s="23"/>
      <c r="Q31" s="23"/>
      <c r="R31" s="23"/>
      <c r="S31" s="23"/>
      <c r="T31" s="23"/>
      <c r="U31" s="23"/>
      <c r="V31" s="23"/>
      <c r="W31" s="23"/>
      <c r="X31" s="23"/>
      <c r="Y31" s="447"/>
      <c r="Z31" s="14" t="str">
        <f>+O15</f>
        <v>A6</v>
      </c>
      <c r="AA31" s="35">
        <v>0</v>
      </c>
      <c r="AB31" s="30">
        <f>IF(AA27+AA31=0,0,IF(AA27=AA31,2,IF(AA27&lt;AA31,3,1)))</f>
        <v>1</v>
      </c>
      <c r="AC31" s="15">
        <f>AA31-AA27</f>
        <v>-2</v>
      </c>
      <c r="AD31" s="9"/>
      <c r="AE31" s="14" t="str">
        <f>+R15</f>
        <v>A7</v>
      </c>
      <c r="AF31" s="127">
        <v>0</v>
      </c>
      <c r="AG31" s="30">
        <f>IF(AF27+AF31=0,0,IF(AF27=AF31,2,IF(AF27&lt;AF31,3,1)))</f>
        <v>1</v>
      </c>
      <c r="AH31" s="15">
        <f>AF31-AF27</f>
        <v>-5</v>
      </c>
      <c r="AI31" s="9"/>
      <c r="AJ31" s="14" t="str">
        <f>+U15</f>
        <v>A8</v>
      </c>
      <c r="AK31" s="37">
        <v>0</v>
      </c>
      <c r="AL31" s="30">
        <f>IF(AK27+AK31=0,0,IF(AK27=AK31,2,IF(AK27&lt;AK31,3,1)))</f>
        <v>1</v>
      </c>
      <c r="AM31" s="15">
        <f>AK31-AK27</f>
        <v>-5</v>
      </c>
      <c r="AN31" s="23"/>
      <c r="AO31" s="54">
        <v>23</v>
      </c>
      <c r="AP31" s="322" t="str">
        <f>+Inscrits!D7</f>
        <v>B5</v>
      </c>
      <c r="AQ31" s="286">
        <f t="shared" si="3"/>
        <v>3</v>
      </c>
      <c r="AR31" s="99">
        <f t="shared" si="4"/>
        <v>2</v>
      </c>
      <c r="AS31" s="219">
        <f t="shared" si="5"/>
        <v>2</v>
      </c>
      <c r="AT31" s="289">
        <f t="shared" si="6"/>
        <v>3</v>
      </c>
      <c r="AU31" s="99">
        <f t="shared" si="7"/>
        <v>5</v>
      </c>
      <c r="AV31" s="291">
        <f t="shared" si="8"/>
        <v>10</v>
      </c>
      <c r="AW31" s="286">
        <f t="shared" si="9"/>
        <v>3</v>
      </c>
      <c r="AX31" s="99">
        <f t="shared" si="10"/>
        <v>1</v>
      </c>
      <c r="AY31" s="291">
        <f t="shared" si="11"/>
        <v>5</v>
      </c>
      <c r="AZ31" s="286">
        <f t="shared" si="17"/>
        <v>9</v>
      </c>
      <c r="BA31" s="99">
        <f t="shared" si="12"/>
        <v>8</v>
      </c>
      <c r="BB31" s="291">
        <f t="shared" si="13"/>
        <v>17</v>
      </c>
      <c r="BC31" s="294">
        <f t="shared" si="14"/>
        <v>0</v>
      </c>
      <c r="BD31" s="7">
        <f t="shared" si="15"/>
        <v>8</v>
      </c>
      <c r="BE31" s="218">
        <f t="shared" si="16"/>
        <v>0.91830031000000001</v>
      </c>
      <c r="BF31" s="99">
        <f>IF(AP31="","",SMALL(BE$9:BE$62,ROWS(AZ$9:AZ31)))</f>
        <v>21.009900200000001</v>
      </c>
      <c r="BG31" s="88"/>
      <c r="BH31" s="99" t="str">
        <f>IF(OR(AP31="",AZ31=""),"",INDEX($AP$9:$AP$63,MATCH(BF31,$BE$9:BE$62,0)))</f>
        <v>A12</v>
      </c>
      <c r="BI31" s="7">
        <f t="shared" si="0"/>
        <v>5</v>
      </c>
      <c r="BJ31" s="7">
        <f t="shared" si="1"/>
        <v>-1</v>
      </c>
      <c r="BK31" s="7">
        <f t="shared" si="2"/>
        <v>1</v>
      </c>
      <c r="BL31" s="280">
        <f>IF(BF31="","",IF(AND(BI30=BI31,BJ30=BJ31,BK30=BK31),BL30,$BL$9+22))</f>
        <v>22</v>
      </c>
      <c r="BM31" s="29"/>
      <c r="BN31" s="262"/>
    </row>
    <row r="32" spans="1:66" ht="16.5" thickBo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P32" s="23"/>
      <c r="Q32" s="23"/>
      <c r="R32" s="23"/>
      <c r="S32" s="23"/>
      <c r="T32" s="23"/>
      <c r="U32" s="23"/>
      <c r="V32" s="23"/>
      <c r="W32" s="23"/>
      <c r="X32" s="23"/>
      <c r="Y32" s="447"/>
      <c r="Z32" s="14" t="str">
        <f>+P15</f>
        <v>B6</v>
      </c>
      <c r="AA32" s="17">
        <f>IF(ISTEXT(Z32),AA31,0)</f>
        <v>0</v>
      </c>
      <c r="AB32" s="18">
        <f>IF(ISTEXT(Z32),AB31,0)</f>
        <v>1</v>
      </c>
      <c r="AC32" s="19">
        <f>IF(ISTEXT(Z32),AC31,0)</f>
        <v>-2</v>
      </c>
      <c r="AD32" s="9"/>
      <c r="AE32" s="14" t="str">
        <f>+S15</f>
        <v>B9</v>
      </c>
      <c r="AF32" s="17">
        <f>IF(ISTEXT(AE32),AF31,0)</f>
        <v>0</v>
      </c>
      <c r="AG32" s="18">
        <f>IF(ISTEXT(AE32),AG31,0)</f>
        <v>1</v>
      </c>
      <c r="AH32" s="19">
        <f>IF(ISTEXT(AE32),AH31,0)</f>
        <v>-5</v>
      </c>
      <c r="AI32" s="9"/>
      <c r="AJ32" s="14" t="str">
        <f>+V15</f>
        <v>B10</v>
      </c>
      <c r="AK32" s="17">
        <f>IF(ISTEXT(AJ32),AK31,0)</f>
        <v>0</v>
      </c>
      <c r="AL32" s="18">
        <f>IF(ISTEXT(AJ32),AL31,0)</f>
        <v>1</v>
      </c>
      <c r="AM32" s="19">
        <f>IF(ISTEXT(AJ32),AM31,0)</f>
        <v>-5</v>
      </c>
      <c r="AN32" s="23"/>
      <c r="AO32" s="54">
        <v>24</v>
      </c>
      <c r="AP32" s="322" t="str">
        <f>+Inscrits!D8</f>
        <v>B6</v>
      </c>
      <c r="AQ32" s="286">
        <f t="shared" si="3"/>
        <v>1</v>
      </c>
      <c r="AR32" s="99">
        <f t="shared" si="4"/>
        <v>-2</v>
      </c>
      <c r="AS32" s="219" t="str">
        <f t="shared" si="5"/>
        <v>0</v>
      </c>
      <c r="AT32" s="289">
        <f t="shared" si="6"/>
        <v>3</v>
      </c>
      <c r="AU32" s="99">
        <f t="shared" si="7"/>
        <v>1</v>
      </c>
      <c r="AV32" s="291">
        <f t="shared" si="8"/>
        <v>1</v>
      </c>
      <c r="AW32" s="286">
        <f t="shared" si="9"/>
        <v>3</v>
      </c>
      <c r="AX32" s="99">
        <f t="shared" si="10"/>
        <v>5</v>
      </c>
      <c r="AY32" s="291">
        <f t="shared" si="11"/>
        <v>14</v>
      </c>
      <c r="AZ32" s="286">
        <f t="shared" si="17"/>
        <v>7</v>
      </c>
      <c r="BA32" s="99">
        <f t="shared" si="12"/>
        <v>4</v>
      </c>
      <c r="BB32" s="291">
        <f t="shared" si="13"/>
        <v>15</v>
      </c>
      <c r="BC32" s="294">
        <f t="shared" si="14"/>
        <v>0</v>
      </c>
      <c r="BD32" s="7">
        <f t="shared" si="15"/>
        <v>4</v>
      </c>
      <c r="BE32" s="218">
        <f t="shared" si="16"/>
        <v>3.9585003199999997</v>
      </c>
      <c r="BF32" s="99">
        <f>IF(AP32="","",SMALL(BE$9:BE$62,ROWS(AZ$9:AZ32)))</f>
        <v>21.009900530000003</v>
      </c>
      <c r="BG32" s="88"/>
      <c r="BH32" s="99" t="str">
        <f>IF(OR(AP32="",AZ32=""),"",INDEX($AP$9:$AP$63,MATCH(BF32,$BE$9:BE$62,0)))</f>
        <v>C9</v>
      </c>
      <c r="BI32" s="7">
        <f t="shared" si="0"/>
        <v>5</v>
      </c>
      <c r="BJ32" s="7">
        <f t="shared" si="1"/>
        <v>-1</v>
      </c>
      <c r="BK32" s="7">
        <f t="shared" si="2"/>
        <v>1</v>
      </c>
      <c r="BL32" s="280">
        <f>IF(BF32="","",IF(AND(BI31=BI32,BJ31=BJ32,BK31=BK32),BL31,$BL$9+23))</f>
        <v>22</v>
      </c>
      <c r="BM32" s="29"/>
      <c r="BN32" s="262"/>
    </row>
    <row r="33" spans="1:66" ht="16.5" thickBo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P33" s="23"/>
      <c r="Q33" s="23"/>
      <c r="R33" s="23"/>
      <c r="S33" s="23"/>
      <c r="T33" s="23"/>
      <c r="U33" s="23"/>
      <c r="V33" s="23"/>
      <c r="W33" s="23"/>
      <c r="X33" s="23"/>
      <c r="Y33" s="448"/>
      <c r="Z33" s="16" t="str">
        <f>+Q15</f>
        <v>C6</v>
      </c>
      <c r="AA33" s="17">
        <f>IF(ISTEXT(Z33),AA31,0)</f>
        <v>0</v>
      </c>
      <c r="AB33" s="18">
        <f>IF(ISTEXT(Z33),AB31,0)</f>
        <v>1</v>
      </c>
      <c r="AC33" s="19">
        <f>IF(ISTEXT(Z33),AC31,0)</f>
        <v>-2</v>
      </c>
      <c r="AD33" s="9"/>
      <c r="AE33" s="16" t="str">
        <f>+T15</f>
        <v>C6</v>
      </c>
      <c r="AF33" s="17">
        <f>IF(ISTEXT(AE33),AF31,0)</f>
        <v>0</v>
      </c>
      <c r="AG33" s="18">
        <f>IF(ISTEXT(AE33),AG31,0)</f>
        <v>1</v>
      </c>
      <c r="AH33" s="19">
        <f>IF(ISTEXT(AE33),AH31,0)</f>
        <v>-5</v>
      </c>
      <c r="AI33" s="9"/>
      <c r="AJ33" s="16" t="str">
        <f>+W15</f>
        <v>C4</v>
      </c>
      <c r="AK33" s="17">
        <f>IF(ISTEXT(AJ33),AK31,0)</f>
        <v>0</v>
      </c>
      <c r="AL33" s="18">
        <f>IF(ISTEXT(AJ33),AL31,0)</f>
        <v>1</v>
      </c>
      <c r="AM33" s="19">
        <f>IF(ISTEXT(AJ33),AM31,0)</f>
        <v>-5</v>
      </c>
      <c r="AN33" s="23"/>
      <c r="AO33" s="54">
        <v>25</v>
      </c>
      <c r="AP33" s="322" t="str">
        <f>+Inscrits!D9</f>
        <v>B7</v>
      </c>
      <c r="AQ33" s="286">
        <f t="shared" si="3"/>
        <v>3</v>
      </c>
      <c r="AR33" s="99">
        <f t="shared" si="4"/>
        <v>1</v>
      </c>
      <c r="AS33" s="219">
        <f t="shared" si="5"/>
        <v>1</v>
      </c>
      <c r="AT33" s="289">
        <f t="shared" si="6"/>
        <v>1</v>
      </c>
      <c r="AU33" s="99">
        <f t="shared" si="7"/>
        <v>-1</v>
      </c>
      <c r="AV33" s="291" t="str">
        <f t="shared" si="8"/>
        <v>0</v>
      </c>
      <c r="AW33" s="286">
        <f t="shared" si="9"/>
        <v>1</v>
      </c>
      <c r="AX33" s="99">
        <f t="shared" si="10"/>
        <v>-5</v>
      </c>
      <c r="AY33" s="291">
        <f t="shared" si="11"/>
        <v>9</v>
      </c>
      <c r="AZ33" s="286">
        <f t="shared" si="17"/>
        <v>5</v>
      </c>
      <c r="BA33" s="99">
        <f t="shared" si="12"/>
        <v>-5</v>
      </c>
      <c r="BB33" s="291">
        <f t="shared" si="13"/>
        <v>10</v>
      </c>
      <c r="BC33" s="294">
        <f t="shared" si="14"/>
        <v>-5</v>
      </c>
      <c r="BD33" s="7">
        <f t="shared" si="15"/>
        <v>0</v>
      </c>
      <c r="BE33" s="218">
        <f t="shared" si="16"/>
        <v>21.049000329999998</v>
      </c>
      <c r="BF33" s="99">
        <f>IF(AP33="","",SMALL(BE$9:BE$62,ROWS(AZ$9:AZ33)))</f>
        <v>21.049000329999998</v>
      </c>
      <c r="BG33" s="88"/>
      <c r="BH33" s="99" t="str">
        <f>IF(OR(AP33="",AZ33=""),"",INDEX($AP$9:$AP$63,MATCH(BF33,$BE$9:BE$62,0)))</f>
        <v>B7</v>
      </c>
      <c r="BI33" s="7">
        <f t="shared" si="0"/>
        <v>5</v>
      </c>
      <c r="BJ33" s="7">
        <f t="shared" si="1"/>
        <v>-5</v>
      </c>
      <c r="BK33" s="7">
        <f t="shared" si="2"/>
        <v>10</v>
      </c>
      <c r="BL33" s="280">
        <f>IF(BF33="","",IF(AND(BI32=BI33,BJ32=BJ33,BK32=BK33),BL32,$BL$9+24))</f>
        <v>25</v>
      </c>
      <c r="BM33" s="29"/>
      <c r="BN33" s="262"/>
    </row>
    <row r="34" spans="1:66" ht="16.5" thickBo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P34" s="23"/>
      <c r="Q34" s="23"/>
      <c r="R34" s="23"/>
      <c r="S34" s="23"/>
      <c r="T34" s="23"/>
      <c r="U34" s="192"/>
      <c r="V34" s="23"/>
      <c r="W34" s="23"/>
      <c r="X34" s="23"/>
      <c r="Y34" s="128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23"/>
      <c r="AO34" s="54">
        <v>26</v>
      </c>
      <c r="AP34" s="322" t="str">
        <f>+Inscrits!D10</f>
        <v>B8</v>
      </c>
      <c r="AQ34" s="286">
        <f t="shared" si="3"/>
        <v>1</v>
      </c>
      <c r="AR34" s="99">
        <f t="shared" si="4"/>
        <v>-1</v>
      </c>
      <c r="AS34" s="219" t="str">
        <f t="shared" si="5"/>
        <v>0</v>
      </c>
      <c r="AT34" s="289">
        <f t="shared" si="6"/>
        <v>3</v>
      </c>
      <c r="AU34" s="99">
        <f t="shared" si="7"/>
        <v>5</v>
      </c>
      <c r="AV34" s="291">
        <f t="shared" si="8"/>
        <v>5</v>
      </c>
      <c r="AW34" s="286">
        <f t="shared" si="9"/>
        <v>3</v>
      </c>
      <c r="AX34" s="99">
        <f t="shared" si="10"/>
        <v>1</v>
      </c>
      <c r="AY34" s="291">
        <f t="shared" si="11"/>
        <v>1</v>
      </c>
      <c r="AZ34" s="286">
        <f t="shared" si="17"/>
        <v>7</v>
      </c>
      <c r="BA34" s="99">
        <f t="shared" si="12"/>
        <v>5</v>
      </c>
      <c r="BB34" s="291">
        <f t="shared" si="13"/>
        <v>6</v>
      </c>
      <c r="BC34" s="294">
        <f t="shared" si="14"/>
        <v>0</v>
      </c>
      <c r="BD34" s="7">
        <f t="shared" si="15"/>
        <v>5</v>
      </c>
      <c r="BE34" s="218">
        <f t="shared" si="16"/>
        <v>3.9494003400000004</v>
      </c>
      <c r="BF34" s="99">
        <f>IF(AP34="","",SMALL(BE$9:BE$62,ROWS(AZ$9:AZ34)))</f>
        <v>21.04990016</v>
      </c>
      <c r="BG34" s="88"/>
      <c r="BH34" s="99" t="str">
        <f>IF(OR(AP34="",AZ34=""),"",INDEX($AP$9:$AP$63,MATCH(BF34,$BE$9:BE$62,0)))</f>
        <v>A8</v>
      </c>
      <c r="BI34" s="7">
        <f t="shared" si="0"/>
        <v>5</v>
      </c>
      <c r="BJ34" s="7">
        <f t="shared" si="1"/>
        <v>-5</v>
      </c>
      <c r="BK34" s="7">
        <f t="shared" si="2"/>
        <v>1</v>
      </c>
      <c r="BL34" s="280">
        <f>IF(BF34="","",IF(AND(BI33=BI34,BJ33=BJ34,BK33=BK34),BL33,$BL$9+25))</f>
        <v>26</v>
      </c>
      <c r="BM34" s="29"/>
      <c r="BN34" s="262"/>
    </row>
    <row r="35" spans="1:66" ht="15.7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P35" s="23"/>
      <c r="Q35" s="23"/>
      <c r="R35" s="23"/>
      <c r="S35" s="23"/>
      <c r="T35" s="23"/>
      <c r="U35" s="23"/>
      <c r="V35" s="23"/>
      <c r="W35" s="23"/>
      <c r="X35" s="23"/>
      <c r="Y35" s="446">
        <v>4</v>
      </c>
      <c r="Z35" s="12" t="str">
        <f>+O16</f>
        <v>A7</v>
      </c>
      <c r="AA35" s="33">
        <v>1</v>
      </c>
      <c r="AB35" s="48">
        <f>IF(AA35+AA39=0,0,IF(AA35=AA39,2,IF(AA35&gt;AA39,3,1)))</f>
        <v>3</v>
      </c>
      <c r="AC35" s="13">
        <f>AA35-AA39</f>
        <v>1</v>
      </c>
      <c r="AD35" s="9"/>
      <c r="AE35" s="12" t="str">
        <f>+R16</f>
        <v>A8</v>
      </c>
      <c r="AF35" s="126">
        <v>1</v>
      </c>
      <c r="AG35" s="48">
        <f>IF(AF35+AF39=0,0,IF(AF35=AF39,2,IF(AF35&gt;AF39,3,1)))</f>
        <v>3</v>
      </c>
      <c r="AH35" s="13">
        <f>AF35-AF39</f>
        <v>1</v>
      </c>
      <c r="AI35" s="9"/>
      <c r="AJ35" s="12" t="str">
        <f>+U16</f>
        <v>A7</v>
      </c>
      <c r="AK35" s="36">
        <v>1</v>
      </c>
      <c r="AL35" s="48">
        <f>IF(AK35+AK39=0,0,IF(AK35=AK39,2,IF(AK35&gt;AK39,3,1)))</f>
        <v>3</v>
      </c>
      <c r="AM35" s="13">
        <f>AK35-AK39</f>
        <v>1</v>
      </c>
      <c r="AN35" s="23"/>
      <c r="AO35" s="54">
        <v>27</v>
      </c>
      <c r="AP35" s="322" t="str">
        <f>+Inscrits!D11</f>
        <v>B9</v>
      </c>
      <c r="AQ35" s="286">
        <f t="shared" si="3"/>
        <v>3</v>
      </c>
      <c r="AR35" s="99">
        <f t="shared" si="4"/>
        <v>1</v>
      </c>
      <c r="AS35" s="219">
        <f t="shared" si="5"/>
        <v>1</v>
      </c>
      <c r="AT35" s="289">
        <f t="shared" si="6"/>
        <v>1</v>
      </c>
      <c r="AU35" s="99">
        <f t="shared" si="7"/>
        <v>-5</v>
      </c>
      <c r="AV35" s="291" t="str">
        <f t="shared" si="8"/>
        <v>0</v>
      </c>
      <c r="AW35" s="286">
        <f t="shared" si="9"/>
        <v>3</v>
      </c>
      <c r="AX35" s="99">
        <f t="shared" si="10"/>
        <v>5</v>
      </c>
      <c r="AY35" s="291">
        <f t="shared" si="11"/>
        <v>5</v>
      </c>
      <c r="AZ35" s="286">
        <f t="shared" si="17"/>
        <v>7</v>
      </c>
      <c r="BA35" s="99">
        <f t="shared" si="12"/>
        <v>1</v>
      </c>
      <c r="BB35" s="291">
        <f t="shared" si="13"/>
        <v>6</v>
      </c>
      <c r="BC35" s="294">
        <f t="shared" si="14"/>
        <v>0</v>
      </c>
      <c r="BD35" s="7">
        <f t="shared" si="15"/>
        <v>1</v>
      </c>
      <c r="BE35" s="218">
        <f t="shared" si="16"/>
        <v>3.9894003500000004</v>
      </c>
      <c r="BF35" s="99">
        <f>IF(AP35="","",SMALL(BE$9:BE$62,ROWS(AZ$9:AZ35)))</f>
        <v>21.059900499999998</v>
      </c>
      <c r="BG35" s="88"/>
      <c r="BH35" s="99" t="str">
        <f>IF(OR(AP35="",AZ35=""),"",INDEX($AP$9:$AP$63,MATCH(BF35,$BE$9:BE$62,0)))</f>
        <v>C6</v>
      </c>
      <c r="BI35" s="7">
        <f t="shared" si="0"/>
        <v>5</v>
      </c>
      <c r="BJ35" s="7">
        <f t="shared" si="1"/>
        <v>-6</v>
      </c>
      <c r="BK35" s="7">
        <f t="shared" si="2"/>
        <v>1</v>
      </c>
      <c r="BL35" s="280">
        <f>IF(BF35="","",IF(AND(BI34=BI35,BJ34=BJ35,BK34=BK35),BL34,$BL$9+26))</f>
        <v>27</v>
      </c>
      <c r="BM35" s="29"/>
      <c r="BN35" s="262"/>
    </row>
    <row r="36" spans="1:66" ht="16.5" thickBo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P36" s="23"/>
      <c r="Q36" s="23"/>
      <c r="R36" s="23"/>
      <c r="S36" s="23"/>
      <c r="T36" s="23"/>
      <c r="U36" s="23"/>
      <c r="V36" s="23"/>
      <c r="W36" s="23"/>
      <c r="X36" s="23"/>
      <c r="Y36" s="447"/>
      <c r="Z36" s="14" t="str">
        <f>+P16</f>
        <v>B7</v>
      </c>
      <c r="AA36" s="17">
        <f>IF(ISTEXT(Z36),AA35,0)</f>
        <v>1</v>
      </c>
      <c r="AB36" s="18">
        <f>IF(ISTEXT(Z36),AB35,0)</f>
        <v>3</v>
      </c>
      <c r="AC36" s="19">
        <f>IF(ISTEXT(Z36),AC35,0)</f>
        <v>1</v>
      </c>
      <c r="AD36" s="9"/>
      <c r="AE36" s="14" t="str">
        <f>+S16</f>
        <v>B6</v>
      </c>
      <c r="AF36" s="17">
        <f>IF(ISTEXT(AE36),AF35,0)</f>
        <v>1</v>
      </c>
      <c r="AG36" s="59">
        <f>IF(ISTEXT(AE36),AG35,0)</f>
        <v>3</v>
      </c>
      <c r="AH36" s="19">
        <f>IF(ISTEXT(AE36),AH35,0)</f>
        <v>1</v>
      </c>
      <c r="AI36" s="9"/>
      <c r="AJ36" s="14" t="str">
        <f>+V16</f>
        <v>B1</v>
      </c>
      <c r="AK36" s="17">
        <f>IF(ISTEXT(AJ36),AK35,0)</f>
        <v>1</v>
      </c>
      <c r="AL36" s="59">
        <f>IF(ISTEXT(AJ36),AL35,0)</f>
        <v>3</v>
      </c>
      <c r="AM36" s="19">
        <f>IF(ISTEXT(AJ36),AM35,0)</f>
        <v>1</v>
      </c>
      <c r="AN36" s="23"/>
      <c r="AO36" s="54">
        <v>28</v>
      </c>
      <c r="AP36" s="322" t="str">
        <f>+Inscrits!D12</f>
        <v>B10</v>
      </c>
      <c r="AQ36" s="286">
        <f t="shared" si="3"/>
        <v>1</v>
      </c>
      <c r="AR36" s="99">
        <f t="shared" si="4"/>
        <v>-1</v>
      </c>
      <c r="AS36" s="219" t="str">
        <f t="shared" si="5"/>
        <v>0</v>
      </c>
      <c r="AT36" s="289">
        <f t="shared" si="6"/>
        <v>1</v>
      </c>
      <c r="AU36" s="99">
        <f t="shared" si="7"/>
        <v>-1</v>
      </c>
      <c r="AV36" s="291" t="str">
        <f t="shared" si="8"/>
        <v>0</v>
      </c>
      <c r="AW36" s="286">
        <f t="shared" si="9"/>
        <v>1</v>
      </c>
      <c r="AX36" s="99">
        <f t="shared" si="10"/>
        <v>-5</v>
      </c>
      <c r="AY36" s="291" t="str">
        <f t="shared" si="11"/>
        <v>0</v>
      </c>
      <c r="AZ36" s="286">
        <f t="shared" si="17"/>
        <v>3</v>
      </c>
      <c r="BA36" s="99">
        <f t="shared" si="12"/>
        <v>-7</v>
      </c>
      <c r="BB36" s="291">
        <f t="shared" si="13"/>
        <v>0</v>
      </c>
      <c r="BC36" s="294">
        <f t="shared" si="14"/>
        <v>-7</v>
      </c>
      <c r="BD36" s="7">
        <f t="shared" si="15"/>
        <v>0</v>
      </c>
      <c r="BE36" s="218">
        <f t="shared" si="16"/>
        <v>32.070000360000002</v>
      </c>
      <c r="BF36" s="99">
        <f>IF(AP36="","",SMALL(BE$9:BE$62,ROWS(AZ$9:AZ36)))</f>
        <v>21.08850047</v>
      </c>
      <c r="BG36" s="88"/>
      <c r="BH36" s="99" t="str">
        <f>IF(OR(AP36="",AZ36=""),"",INDEX($AP$9:$AP$63,MATCH(BF36,$BE$9:BE$62,0)))</f>
        <v>C3</v>
      </c>
      <c r="BI36" s="7">
        <f t="shared" si="0"/>
        <v>5</v>
      </c>
      <c r="BJ36" s="7">
        <f t="shared" si="1"/>
        <v>-9</v>
      </c>
      <c r="BK36" s="7">
        <f t="shared" si="2"/>
        <v>15</v>
      </c>
      <c r="BL36" s="280">
        <f>IF(BF36="","",IF(AND(BI35=BI36,BJ35=BJ36,BK35=BK36),BL35,$BL$9+27))</f>
        <v>28</v>
      </c>
      <c r="BM36" s="29"/>
      <c r="BN36" s="262"/>
    </row>
    <row r="37" spans="1:66" ht="15.7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P37" s="23"/>
      <c r="Q37" s="23"/>
      <c r="R37" s="23"/>
      <c r="S37" s="23"/>
      <c r="T37" s="23"/>
      <c r="U37" s="23"/>
      <c r="V37" s="23"/>
      <c r="W37" s="23"/>
      <c r="X37" s="23"/>
      <c r="Y37" s="447"/>
      <c r="Z37" s="14" t="str">
        <f>+Q16</f>
        <v>C7</v>
      </c>
      <c r="AA37" s="71">
        <f>IF(ISTEXT(Z37),AA35,0)</f>
        <v>1</v>
      </c>
      <c r="AB37" s="67">
        <f>IF(ISTEXT(Z37),AB35,0)</f>
        <v>3</v>
      </c>
      <c r="AC37" s="72">
        <f>IF(ISTEXT(Z37),AC35,0)</f>
        <v>1</v>
      </c>
      <c r="AD37" s="9"/>
      <c r="AE37" s="14" t="str">
        <f>+T16</f>
        <v>C1</v>
      </c>
      <c r="AF37" s="71">
        <f>IF(ISTEXT(AE37),AF35,0)</f>
        <v>1</v>
      </c>
      <c r="AG37" s="64">
        <f>IF(ISTEXT(AE37),AG35,0)</f>
        <v>3</v>
      </c>
      <c r="AH37" s="72">
        <f>IF(ISTEXT(AE37),AH35,0)</f>
        <v>1</v>
      </c>
      <c r="AI37" s="9"/>
      <c r="AJ37" s="14" t="str">
        <f>+W16</f>
        <v>C1</v>
      </c>
      <c r="AK37" s="71">
        <f>IF(ISTEXT(AJ37),AK35,0)</f>
        <v>1</v>
      </c>
      <c r="AL37" s="64">
        <f>IF(ISTEXT(AJ37),AL35,0)</f>
        <v>3</v>
      </c>
      <c r="AM37" s="72">
        <f>IF(ISTEXT(AJ37),AM35,0)</f>
        <v>1</v>
      </c>
      <c r="AN37" s="23"/>
      <c r="AO37" s="54">
        <v>29</v>
      </c>
      <c r="AP37" s="322" t="str">
        <f>+Inscrits!D13</f>
        <v>B11</v>
      </c>
      <c r="AQ37" s="286">
        <f t="shared" si="3"/>
        <v>3</v>
      </c>
      <c r="AR37" s="99">
        <f t="shared" si="4"/>
        <v>1</v>
      </c>
      <c r="AS37" s="219">
        <f t="shared" si="5"/>
        <v>1</v>
      </c>
      <c r="AT37" s="289">
        <f t="shared" si="6"/>
        <v>3</v>
      </c>
      <c r="AU37" s="99">
        <f t="shared" si="7"/>
        <v>1</v>
      </c>
      <c r="AV37" s="291">
        <f t="shared" si="8"/>
        <v>1</v>
      </c>
      <c r="AW37" s="286">
        <f t="shared" si="9"/>
        <v>1</v>
      </c>
      <c r="AX37" s="99">
        <f t="shared" si="10"/>
        <v>-1</v>
      </c>
      <c r="AY37" s="291" t="str">
        <f t="shared" si="11"/>
        <v>0</v>
      </c>
      <c r="AZ37" s="286">
        <f t="shared" si="17"/>
        <v>7</v>
      </c>
      <c r="BA37" s="99">
        <f t="shared" si="12"/>
        <v>1</v>
      </c>
      <c r="BB37" s="291">
        <f t="shared" si="13"/>
        <v>2</v>
      </c>
      <c r="BC37" s="294">
        <f t="shared" si="14"/>
        <v>0</v>
      </c>
      <c r="BD37" s="7">
        <f t="shared" si="15"/>
        <v>1</v>
      </c>
      <c r="BE37" s="218">
        <f t="shared" si="16"/>
        <v>3.9898003700000002</v>
      </c>
      <c r="BF37" s="99">
        <f>IF(AP37="","",SMALL(BE$9:BE$62,ROWS(AZ$9:AZ37)))</f>
        <v>29.019000089999999</v>
      </c>
      <c r="BG37" s="88"/>
      <c r="BH37" s="99" t="str">
        <f>IF(OR(AP37="",AZ37=""),"",INDEX($AP$9:$AP$63,MATCH(BF37,$BE$9:BE$62,0)))</f>
        <v>A1</v>
      </c>
      <c r="BI37" s="7">
        <f t="shared" si="0"/>
        <v>4</v>
      </c>
      <c r="BJ37" s="7">
        <f t="shared" si="1"/>
        <v>-2</v>
      </c>
      <c r="BK37" s="7">
        <f t="shared" si="2"/>
        <v>10</v>
      </c>
      <c r="BL37" s="280">
        <f>IF(BF37="","",IF(AND(BI36=BI37,BJ36=BJ37,BK36=BK37),BL36,$BL$9+28))</f>
        <v>29</v>
      </c>
      <c r="BM37" s="29"/>
      <c r="BN37" s="262"/>
    </row>
    <row r="38" spans="1:66" ht="15.7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P38" s="23"/>
      <c r="Q38" s="23"/>
      <c r="R38" s="23"/>
      <c r="S38" s="23"/>
      <c r="T38" s="23"/>
      <c r="U38" s="23"/>
      <c r="V38" s="23"/>
      <c r="W38" s="23"/>
      <c r="X38" s="23"/>
      <c r="Y38" s="447"/>
      <c r="Z38" s="32"/>
      <c r="AA38" s="21" t="s">
        <v>5</v>
      </c>
      <c r="AB38" s="21"/>
      <c r="AC38" s="22"/>
      <c r="AD38" s="1"/>
      <c r="AE38" s="32"/>
      <c r="AF38" s="21" t="s">
        <v>5</v>
      </c>
      <c r="AG38" s="21"/>
      <c r="AH38" s="22"/>
      <c r="AI38" s="1"/>
      <c r="AJ38" s="32"/>
      <c r="AK38" s="21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 t="str">
        <f t="shared" si="3"/>
        <v xml:space="preserve"> </v>
      </c>
      <c r="AR38" s="99" t="str">
        <f t="shared" si="4"/>
        <v xml:space="preserve"> </v>
      </c>
      <c r="AS38" s="219" t="str">
        <f t="shared" si="5"/>
        <v xml:space="preserve"> </v>
      </c>
      <c r="AT38" s="289" t="str">
        <f t="shared" si="6"/>
        <v xml:space="preserve"> </v>
      </c>
      <c r="AU38" s="99" t="str">
        <f t="shared" si="7"/>
        <v xml:space="preserve"> </v>
      </c>
      <c r="AV38" s="291" t="str">
        <f t="shared" si="8"/>
        <v xml:space="preserve"> </v>
      </c>
      <c r="AW38" s="286" t="str">
        <f t="shared" si="9"/>
        <v xml:space="preserve"> </v>
      </c>
      <c r="AX38" s="99" t="str">
        <f t="shared" si="10"/>
        <v xml:space="preserve"> </v>
      </c>
      <c r="AY38" s="291" t="str">
        <f t="shared" si="11"/>
        <v xml:space="preserve"> </v>
      </c>
      <c r="AZ38" s="286">
        <f t="shared" si="17"/>
        <v>0</v>
      </c>
      <c r="BA38" s="99">
        <f t="shared" si="12"/>
        <v>0</v>
      </c>
      <c r="BB38" s="291">
        <f t="shared" si="13"/>
        <v>0</v>
      </c>
      <c r="BC38" s="294">
        <f t="shared" si="14"/>
        <v>0</v>
      </c>
      <c r="BD38" s="7">
        <f t="shared" si="15"/>
        <v>0</v>
      </c>
      <c r="BE38" s="218">
        <f t="shared" si="16"/>
        <v>35.000000380000003</v>
      </c>
      <c r="BF38" s="99">
        <f>IF(AP38="","",SMALL(BE$9:BE$62,ROWS(AZ$9:AZ38)))</f>
        <v>29.058900099999999</v>
      </c>
      <c r="BG38" s="88"/>
      <c r="BH38" s="99" t="str">
        <f>IF(OR(AP38="",AZ38=""),"",INDEX($AP$9:$AP$63,MATCH(BF38,$BE$9:BE$62,0)))</f>
        <v>A2</v>
      </c>
      <c r="BI38" s="7">
        <f t="shared" si="0"/>
        <v>4</v>
      </c>
      <c r="BJ38" s="7">
        <f t="shared" si="1"/>
        <v>-6</v>
      </c>
      <c r="BK38" s="7">
        <f t="shared" si="2"/>
        <v>11</v>
      </c>
      <c r="BL38" s="280">
        <f>IF(BF38="","",IF(AND(BI37=BI38,BJ37=BJ38,BK37=BK38),BL37,$BL$9+29))</f>
        <v>30</v>
      </c>
      <c r="BM38" s="29"/>
      <c r="BN38" s="262"/>
    </row>
    <row r="39" spans="1:66" ht="15.7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P39" s="23"/>
      <c r="Q39" s="23"/>
      <c r="R39" s="23"/>
      <c r="S39" s="23"/>
      <c r="T39" s="23"/>
      <c r="U39" s="23"/>
      <c r="V39" s="23"/>
      <c r="W39" s="23"/>
      <c r="X39" s="23"/>
      <c r="Y39" s="447"/>
      <c r="Z39" s="14" t="str">
        <f>+O17</f>
        <v>A8</v>
      </c>
      <c r="AA39" s="35">
        <v>0</v>
      </c>
      <c r="AB39" s="30">
        <f>IF(AA35+AA39=0,0,IF(AA35=AA39,2,IF(AA35&lt;AA39,3,1)))</f>
        <v>1</v>
      </c>
      <c r="AC39" s="15">
        <f>AA39-AA35</f>
        <v>-1</v>
      </c>
      <c r="AD39" s="9"/>
      <c r="AE39" s="14" t="str">
        <f>+R17</f>
        <v>A9</v>
      </c>
      <c r="AF39" s="127">
        <v>0</v>
      </c>
      <c r="AG39" s="30">
        <f>IF(AF35+AF39=0,0,IF(AF35=AF39,2,IF(AF35&lt;AF39,3,1)))</f>
        <v>1</v>
      </c>
      <c r="AH39" s="15">
        <f>AF39-AF35</f>
        <v>-1</v>
      </c>
      <c r="AI39" s="9"/>
      <c r="AJ39" s="14" t="str">
        <f>+U17</f>
        <v>A9</v>
      </c>
      <c r="AK39" s="37">
        <v>0</v>
      </c>
      <c r="AL39" s="30">
        <f>IF(AK35+AK39=0,0,IF(AK35=AK39,2,IF(AK35&lt;AK39,3,1)))</f>
        <v>1</v>
      </c>
      <c r="AM39" s="15">
        <f>AK39-AK35</f>
        <v>-1</v>
      </c>
      <c r="AN39" s="23"/>
      <c r="AO39" s="54">
        <v>31</v>
      </c>
      <c r="AP39" s="322" t="str">
        <f>+Inscrits!D15</f>
        <v>B13</v>
      </c>
      <c r="AQ39" s="286" t="str">
        <f t="shared" si="3"/>
        <v xml:space="preserve"> </v>
      </c>
      <c r="AR39" s="99" t="str">
        <f t="shared" si="4"/>
        <v xml:space="preserve"> </v>
      </c>
      <c r="AS39" s="219" t="str">
        <f t="shared" si="5"/>
        <v xml:space="preserve"> </v>
      </c>
      <c r="AT39" s="289" t="str">
        <f t="shared" si="6"/>
        <v xml:space="preserve"> </v>
      </c>
      <c r="AU39" s="99" t="str">
        <f t="shared" si="7"/>
        <v xml:space="preserve"> </v>
      </c>
      <c r="AV39" s="291" t="str">
        <f t="shared" si="8"/>
        <v xml:space="preserve"> </v>
      </c>
      <c r="AW39" s="286" t="str">
        <f t="shared" si="9"/>
        <v xml:space="preserve"> </v>
      </c>
      <c r="AX39" s="99" t="str">
        <f t="shared" si="10"/>
        <v xml:space="preserve"> </v>
      </c>
      <c r="AY39" s="291" t="str">
        <f t="shared" si="11"/>
        <v xml:space="preserve"> </v>
      </c>
      <c r="AZ39" s="286">
        <f t="shared" si="17"/>
        <v>0</v>
      </c>
      <c r="BA39" s="99">
        <f t="shared" si="12"/>
        <v>0</v>
      </c>
      <c r="BB39" s="291">
        <f t="shared" si="13"/>
        <v>0</v>
      </c>
      <c r="BC39" s="294">
        <f t="shared" si="14"/>
        <v>0</v>
      </c>
      <c r="BD39" s="7">
        <f t="shared" si="15"/>
        <v>0</v>
      </c>
      <c r="BE39" s="218">
        <f t="shared" si="16"/>
        <v>35.000000389999997</v>
      </c>
      <c r="BF39" s="99">
        <f>IF(AP39="","",SMALL(BE$9:BE$62,ROWS(AZ$9:AZ39)))</f>
        <v>29.078900279999996</v>
      </c>
      <c r="BG39" s="88"/>
      <c r="BH39" s="99" t="str">
        <f>IF(OR(AP39="",AZ39=""),"",INDEX($AP$9:$AP$63,MATCH(BF39,$BE$9:BE$62,0)))</f>
        <v>B2</v>
      </c>
      <c r="BI39" s="7">
        <f t="shared" si="0"/>
        <v>4</v>
      </c>
      <c r="BJ39" s="7">
        <f t="shared" si="1"/>
        <v>-8</v>
      </c>
      <c r="BK39" s="7">
        <f t="shared" si="2"/>
        <v>11</v>
      </c>
      <c r="BL39" s="280">
        <f>IF(BF39="","",IF(AND(BI38=BI39,BJ38=BJ39,BK38=BK39),BL38,$BL$9+30))</f>
        <v>31</v>
      </c>
      <c r="BM39" s="29"/>
      <c r="BN39" s="262"/>
    </row>
    <row r="40" spans="1:66" ht="16.5" thickBo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P40" s="23"/>
      <c r="Q40" s="23"/>
      <c r="R40" s="23"/>
      <c r="S40" s="23"/>
      <c r="T40" s="23"/>
      <c r="U40" s="23"/>
      <c r="V40" s="23"/>
      <c r="W40" s="23"/>
      <c r="X40" s="23"/>
      <c r="Y40" s="447"/>
      <c r="Z40" s="14" t="str">
        <f>+P17</f>
        <v>B8</v>
      </c>
      <c r="AA40" s="17">
        <f>IF(ISTEXT(Z40),AA39,0)</f>
        <v>0</v>
      </c>
      <c r="AB40" s="18">
        <f>IF(ISTEXT(Z40),AB39,0)</f>
        <v>1</v>
      </c>
      <c r="AC40" s="19">
        <f>IF(ISTEXT(Z40),AC39,0)</f>
        <v>-1</v>
      </c>
      <c r="AD40" s="9"/>
      <c r="AE40" s="14" t="str">
        <f>+S17</f>
        <v>B7</v>
      </c>
      <c r="AF40" s="17">
        <f>IF(ISTEXT(AE40),AF39,0)</f>
        <v>0</v>
      </c>
      <c r="AG40" s="18">
        <f>IF(ISTEXT(AE40),AG39,0)</f>
        <v>1</v>
      </c>
      <c r="AH40" s="19">
        <f>IF(ISTEXT(AE40),AH39,0)</f>
        <v>-1</v>
      </c>
      <c r="AI40" s="9"/>
      <c r="AJ40" s="14" t="str">
        <f>+V17</f>
        <v>B2</v>
      </c>
      <c r="AK40" s="17">
        <f>IF(ISTEXT(AJ40),AK39,0)</f>
        <v>0</v>
      </c>
      <c r="AL40" s="18">
        <f>IF(ISTEXT(AJ40),AL39,0)</f>
        <v>1</v>
      </c>
      <c r="AM40" s="19">
        <f>IF(ISTEXT(AJ40),AM39,0)</f>
        <v>-1</v>
      </c>
      <c r="AN40" s="23"/>
      <c r="AO40" s="54">
        <v>32</v>
      </c>
      <c r="AP40" s="322" t="str">
        <f>+Inscrits!D16</f>
        <v>B14</v>
      </c>
      <c r="AQ40" s="286" t="str">
        <f t="shared" si="3"/>
        <v xml:space="preserve"> </v>
      </c>
      <c r="AR40" s="99" t="str">
        <f t="shared" si="4"/>
        <v xml:space="preserve"> </v>
      </c>
      <c r="AS40" s="219" t="str">
        <f t="shared" si="5"/>
        <v xml:space="preserve"> </v>
      </c>
      <c r="AT40" s="289" t="str">
        <f t="shared" si="6"/>
        <v xml:space="preserve"> </v>
      </c>
      <c r="AU40" s="99" t="str">
        <f t="shared" si="7"/>
        <v xml:space="preserve"> </v>
      </c>
      <c r="AV40" s="291" t="str">
        <f t="shared" si="8"/>
        <v xml:space="preserve"> </v>
      </c>
      <c r="AW40" s="286" t="str">
        <f t="shared" si="9"/>
        <v xml:space="preserve"> </v>
      </c>
      <c r="AX40" s="99" t="str">
        <f t="shared" si="10"/>
        <v xml:space="preserve"> </v>
      </c>
      <c r="AY40" s="291" t="str">
        <f t="shared" si="11"/>
        <v xml:space="preserve"> </v>
      </c>
      <c r="AZ40" s="286">
        <f t="shared" si="17"/>
        <v>0</v>
      </c>
      <c r="BA40" s="99">
        <f t="shared" si="12"/>
        <v>0</v>
      </c>
      <c r="BB40" s="291">
        <f t="shared" si="13"/>
        <v>0</v>
      </c>
      <c r="BC40" s="294">
        <f t="shared" si="14"/>
        <v>0</v>
      </c>
      <c r="BD40" s="7">
        <f t="shared" si="15"/>
        <v>0</v>
      </c>
      <c r="BE40" s="218">
        <f t="shared" si="16"/>
        <v>35.000000399999998</v>
      </c>
      <c r="BF40" s="99">
        <f>IF(AP40="","",SMALL(BE$9:BE$62,ROWS(AZ$9:AZ40)))</f>
        <v>32.030000520000002</v>
      </c>
      <c r="BG40" s="88"/>
      <c r="BH40" s="99" t="str">
        <f>IF(OR(AP40="",AZ40=""),"",INDEX($AP$9:$AP$63,MATCH(BF40,$BE$9:BE$62,0)))</f>
        <v>C8</v>
      </c>
      <c r="BI40" s="7">
        <f t="shared" si="0"/>
        <v>3</v>
      </c>
      <c r="BJ40" s="7">
        <f t="shared" si="1"/>
        <v>-3</v>
      </c>
      <c r="BK40" s="7">
        <f t="shared" si="2"/>
        <v>0</v>
      </c>
      <c r="BL40" s="280">
        <f>IF(BF40="","",IF(AND(BI39=BI40,BJ39=BJ40,BK39=BK40),BL39,$BL$9+31))</f>
        <v>32</v>
      </c>
      <c r="BM40" s="29"/>
      <c r="BN40" s="262"/>
    </row>
    <row r="41" spans="1:66" ht="16.5" thickBo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P41" s="23"/>
      <c r="Q41" s="23"/>
      <c r="R41" s="23"/>
      <c r="S41" s="23"/>
      <c r="T41" s="23"/>
      <c r="U41" s="23"/>
      <c r="V41" s="23"/>
      <c r="W41" s="23"/>
      <c r="X41" s="23"/>
      <c r="Y41" s="448"/>
      <c r="Z41" s="16" t="str">
        <f>+Q17</f>
        <v>C8</v>
      </c>
      <c r="AA41" s="17">
        <f>IF(ISTEXT(Z41),AA39,0)</f>
        <v>0</v>
      </c>
      <c r="AB41" s="18">
        <f>IF(ISTEXT(Z41),AB39,0)</f>
        <v>1</v>
      </c>
      <c r="AC41" s="19">
        <f>IF(ISTEXT(Z41),AC39,0)</f>
        <v>-1</v>
      </c>
      <c r="AD41" s="9"/>
      <c r="AE41" s="16" t="str">
        <f>+T17</f>
        <v>C8</v>
      </c>
      <c r="AF41" s="17">
        <f>IF(ISTEXT(AE41),AF39,0)</f>
        <v>0</v>
      </c>
      <c r="AG41" s="18">
        <f>IF(ISTEXT(AE41),AG39,0)</f>
        <v>1</v>
      </c>
      <c r="AH41" s="19">
        <f>IF(ISTEXT(AE41),AH39,0)</f>
        <v>-1</v>
      </c>
      <c r="AI41" s="9"/>
      <c r="AJ41" s="16" t="str">
        <f>+W17</f>
        <v>C8</v>
      </c>
      <c r="AK41" s="17">
        <f>IF(ISTEXT(AJ41),AK39,0)</f>
        <v>0</v>
      </c>
      <c r="AL41" s="18">
        <f>IF(ISTEXT(AJ41),AL39,0)</f>
        <v>1</v>
      </c>
      <c r="AM41" s="19">
        <f>IF(ISTEXT(AJ41),AM39,0)</f>
        <v>-1</v>
      </c>
      <c r="AN41" s="23"/>
      <c r="AO41" s="54">
        <v>33</v>
      </c>
      <c r="AP41" s="322" t="str">
        <f>+Inscrits!D17</f>
        <v>B15</v>
      </c>
      <c r="AQ41" s="286" t="str">
        <f t="shared" si="3"/>
        <v xml:space="preserve"> </v>
      </c>
      <c r="AR41" s="99" t="str">
        <f t="shared" si="4"/>
        <v xml:space="preserve"> </v>
      </c>
      <c r="AS41" s="219" t="str">
        <f t="shared" si="5"/>
        <v xml:space="preserve"> </v>
      </c>
      <c r="AT41" s="289" t="str">
        <f t="shared" si="6"/>
        <v xml:space="preserve"> </v>
      </c>
      <c r="AU41" s="99" t="str">
        <f t="shared" si="7"/>
        <v xml:space="preserve"> </v>
      </c>
      <c r="AV41" s="291" t="str">
        <f t="shared" si="8"/>
        <v xml:space="preserve"> </v>
      </c>
      <c r="AW41" s="286" t="str">
        <f t="shared" si="9"/>
        <v xml:space="preserve"> </v>
      </c>
      <c r="AX41" s="99" t="str">
        <f t="shared" si="10"/>
        <v xml:space="preserve"> </v>
      </c>
      <c r="AY41" s="291" t="str">
        <f t="shared" si="11"/>
        <v xml:space="preserve"> </v>
      </c>
      <c r="AZ41" s="286">
        <f t="shared" si="17"/>
        <v>0</v>
      </c>
      <c r="BA41" s="99">
        <f t="shared" si="12"/>
        <v>0</v>
      </c>
      <c r="BB41" s="291">
        <f t="shared" si="13"/>
        <v>0</v>
      </c>
      <c r="BC41" s="294">
        <f t="shared" si="14"/>
        <v>0</v>
      </c>
      <c r="BD41" s="7">
        <f t="shared" si="15"/>
        <v>0</v>
      </c>
      <c r="BE41" s="218">
        <f t="shared" si="16"/>
        <v>35.000000409999998</v>
      </c>
      <c r="BF41" s="99">
        <f>IF(AP41="","",SMALL(BE$9:BE$62,ROWS(AZ$9:AZ41)))</f>
        <v>32.030000540000003</v>
      </c>
      <c r="BG41" s="88"/>
      <c r="BH41" s="99" t="str">
        <f>IF(OR(AP41="",AZ41=""),"",INDEX($AP$9:$AP$63,MATCH(BF41,$BE$9:BE$62,0)))</f>
        <v>C10</v>
      </c>
      <c r="BI41" s="7">
        <f t="shared" ref="BI41:BI62" si="18">IF(AP41="","",INDEX($AZ$9:$AZ$63,MATCH(BF41,$BE$9:$BE$62,0)))</f>
        <v>3</v>
      </c>
      <c r="BJ41" s="7">
        <f t="shared" ref="BJ41:BJ62" si="19">IF(AP41="","",INDEX($BA$9:$BA$63,MATCH(BF41,$BE$9:$BE$62,0)))</f>
        <v>-3</v>
      </c>
      <c r="BK41" s="7">
        <f t="shared" ref="BK41:BK62" si="20">IF(AP41="","",INDEX($BB$9:$BB$63,MATCH(BF41,$BE$9:$BE$62,0)))</f>
        <v>0</v>
      </c>
      <c r="BL41" s="280">
        <f>IF(BF41="","",IF(AND(BI40=BI41,BJ40=BJ41,BK40=BK41),BL40,$BL$9+32))</f>
        <v>32</v>
      </c>
      <c r="BM41" s="29"/>
      <c r="BN41" s="262"/>
    </row>
    <row r="42" spans="1:66" ht="16.5" thickBo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P42" s="23"/>
      <c r="Q42" s="23"/>
      <c r="R42" s="23"/>
      <c r="S42" s="23"/>
      <c r="T42" s="23"/>
      <c r="U42" s="23"/>
      <c r="V42" s="23"/>
      <c r="W42" s="23"/>
      <c r="X42" s="23"/>
      <c r="Y42" s="128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23"/>
      <c r="AO42" s="54">
        <v>34</v>
      </c>
      <c r="AP42" s="322" t="str">
        <f>+Inscrits!D18</f>
        <v>B16</v>
      </c>
      <c r="AQ42" s="286" t="str">
        <f t="shared" si="3"/>
        <v xml:space="preserve"> </v>
      </c>
      <c r="AR42" s="99" t="str">
        <f t="shared" si="4"/>
        <v xml:space="preserve"> </v>
      </c>
      <c r="AS42" s="219" t="str">
        <f t="shared" si="5"/>
        <v xml:space="preserve"> </v>
      </c>
      <c r="AT42" s="289" t="str">
        <f t="shared" si="6"/>
        <v xml:space="preserve"> </v>
      </c>
      <c r="AU42" s="99" t="str">
        <f t="shared" si="7"/>
        <v xml:space="preserve"> </v>
      </c>
      <c r="AV42" s="291" t="str">
        <f t="shared" si="8"/>
        <v xml:space="preserve"> </v>
      </c>
      <c r="AW42" s="286" t="str">
        <f t="shared" si="9"/>
        <v xml:space="preserve"> </v>
      </c>
      <c r="AX42" s="99" t="str">
        <f t="shared" si="10"/>
        <v xml:space="preserve"> </v>
      </c>
      <c r="AY42" s="291" t="str">
        <f t="shared" si="11"/>
        <v xml:space="preserve"> </v>
      </c>
      <c r="AZ42" s="286">
        <f t="shared" si="17"/>
        <v>0</v>
      </c>
      <c r="BA42" s="99">
        <f t="shared" si="12"/>
        <v>0</v>
      </c>
      <c r="BB42" s="291">
        <f t="shared" si="13"/>
        <v>0</v>
      </c>
      <c r="BC42" s="294">
        <f t="shared" si="14"/>
        <v>0</v>
      </c>
      <c r="BD42" s="7">
        <f t="shared" si="15"/>
        <v>0</v>
      </c>
      <c r="BE42" s="218">
        <f t="shared" si="16"/>
        <v>35.000000419999999</v>
      </c>
      <c r="BF42" s="99">
        <f>IF(AP42="","",SMALL(BE$9:BE$62,ROWS(AZ$9:AZ42)))</f>
        <v>32.070000360000002</v>
      </c>
      <c r="BG42" s="88"/>
      <c r="BH42" s="99" t="str">
        <f>IF(OR(AP42="",AZ42=""),"",INDEX($AP$9:$AP$63,MATCH(BF42,$BE$9:BE$62,0)))</f>
        <v>B10</v>
      </c>
      <c r="BI42" s="7">
        <f t="shared" si="18"/>
        <v>3</v>
      </c>
      <c r="BJ42" s="7">
        <f t="shared" si="19"/>
        <v>-7</v>
      </c>
      <c r="BK42" s="7">
        <f t="shared" si="20"/>
        <v>0</v>
      </c>
      <c r="BL42" s="280">
        <f>IF(BF42="","",IF(AND(BI41=BI42,BJ41=BJ42,BK41=BK42),BL41,$BL$9+33))</f>
        <v>34</v>
      </c>
      <c r="BM42" s="29"/>
      <c r="BN42" s="262"/>
    </row>
    <row r="43" spans="1:66" ht="15.7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P43" s="23"/>
      <c r="Q43" s="23"/>
      <c r="R43" s="23"/>
      <c r="S43" s="23"/>
      <c r="T43" s="23"/>
      <c r="U43" s="23"/>
      <c r="V43" s="23"/>
      <c r="W43" s="23"/>
      <c r="X43" s="23"/>
      <c r="Y43" s="446">
        <v>5</v>
      </c>
      <c r="Z43" s="12" t="str">
        <f>+O18</f>
        <v>A9</v>
      </c>
      <c r="AA43" s="33">
        <v>1</v>
      </c>
      <c r="AB43" s="48">
        <f>IF(AA43+AA47=0,0,IF(AA43=AA47,2,IF(AA43&gt;AA47,3,1)))</f>
        <v>3</v>
      </c>
      <c r="AC43" s="13">
        <f>AA43-AA47</f>
        <v>1</v>
      </c>
      <c r="AD43" s="9"/>
      <c r="AE43" s="12" t="str">
        <f>+R18</f>
        <v>A10</v>
      </c>
      <c r="AF43" s="126">
        <v>1</v>
      </c>
      <c r="AG43" s="48">
        <f>IF(AF43+AF47=0,0,IF(AF43=AF47,2,IF(AF43&gt;AF47,3,1)))</f>
        <v>3</v>
      </c>
      <c r="AH43" s="13">
        <f>AF43-AF47</f>
        <v>1</v>
      </c>
      <c r="AI43" s="9"/>
      <c r="AJ43" s="12" t="str">
        <f>+U18</f>
        <v>A11</v>
      </c>
      <c r="AK43" s="36">
        <v>1</v>
      </c>
      <c r="AL43" s="48">
        <f>IF(AK43+AK47=0,0,IF(AK43=AK47,2,IF(AK43&gt;AK47,3,1)))</f>
        <v>3</v>
      </c>
      <c r="AM43" s="13">
        <f>AK43-AK47</f>
        <v>1</v>
      </c>
      <c r="AN43" s="23"/>
      <c r="AO43" s="54">
        <v>35</v>
      </c>
      <c r="AP43" s="322" t="str">
        <f>+Inscrits!D19</f>
        <v>B17</v>
      </c>
      <c r="AQ43" s="286" t="str">
        <f t="shared" si="3"/>
        <v xml:space="preserve"> </v>
      </c>
      <c r="AR43" s="99" t="str">
        <f t="shared" si="4"/>
        <v xml:space="preserve"> </v>
      </c>
      <c r="AS43" s="219" t="str">
        <f t="shared" si="5"/>
        <v xml:space="preserve"> </v>
      </c>
      <c r="AT43" s="289" t="str">
        <f t="shared" si="6"/>
        <v xml:space="preserve"> </v>
      </c>
      <c r="AU43" s="99" t="str">
        <f t="shared" si="7"/>
        <v xml:space="preserve"> </v>
      </c>
      <c r="AV43" s="291" t="str">
        <f t="shared" si="8"/>
        <v xml:space="preserve"> </v>
      </c>
      <c r="AW43" s="286" t="str">
        <f t="shared" si="9"/>
        <v xml:space="preserve"> </v>
      </c>
      <c r="AX43" s="99" t="str">
        <f t="shared" si="10"/>
        <v xml:space="preserve"> </v>
      </c>
      <c r="AY43" s="291" t="str">
        <f t="shared" si="11"/>
        <v xml:space="preserve"> </v>
      </c>
      <c r="AZ43" s="286">
        <f t="shared" si="17"/>
        <v>0</v>
      </c>
      <c r="BA43" s="99">
        <f t="shared" si="12"/>
        <v>0</v>
      </c>
      <c r="BB43" s="291">
        <f t="shared" si="13"/>
        <v>0</v>
      </c>
      <c r="BC43" s="294">
        <f t="shared" si="14"/>
        <v>0</v>
      </c>
      <c r="BD43" s="7">
        <f t="shared" si="15"/>
        <v>0</v>
      </c>
      <c r="BE43" s="218">
        <f t="shared" si="16"/>
        <v>35.00000043</v>
      </c>
      <c r="BF43" s="99">
        <f>IF(AP43="","",SMALL(BE$9:BE$62,ROWS(AZ$9:AZ43)))</f>
        <v>35.000000210000003</v>
      </c>
      <c r="BG43" s="88"/>
      <c r="BH43" s="99" t="str">
        <f>IF(OR(AP43="",AZ43=""),"",INDEX($AP$9:$AP$63,MATCH(BF43,$BE$9:BE$62,0)))</f>
        <v>A13</v>
      </c>
      <c r="BI43" s="7">
        <f t="shared" si="18"/>
        <v>0</v>
      </c>
      <c r="BJ43" s="7">
        <f t="shared" si="19"/>
        <v>0</v>
      </c>
      <c r="BK43" s="7">
        <f t="shared" si="20"/>
        <v>0</v>
      </c>
      <c r="BL43" s="280">
        <f>IF(BF43="","",IF(AND(BI42=BI43,BJ42=BJ43,BK42=BK43),BL42,$BL$9+34))</f>
        <v>35</v>
      </c>
      <c r="BM43" s="29"/>
      <c r="BN43" s="262"/>
    </row>
    <row r="44" spans="1:66" ht="16.5" thickBo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P44" s="23"/>
      <c r="Q44" s="23"/>
      <c r="R44" s="23"/>
      <c r="S44" s="23"/>
      <c r="T44" s="23"/>
      <c r="U44" s="23"/>
      <c r="V44" s="23"/>
      <c r="W44" s="23"/>
      <c r="X44" s="23"/>
      <c r="Y44" s="447"/>
      <c r="Z44" s="14" t="str">
        <f>+P18</f>
        <v>B9</v>
      </c>
      <c r="AA44" s="17">
        <f>IF(ISTEXT(Z44),AA43,0)</f>
        <v>1</v>
      </c>
      <c r="AB44" s="18">
        <f>IF(ISTEXT(Z44),AB43,0)</f>
        <v>3</v>
      </c>
      <c r="AC44" s="19">
        <f>IF(ISTEXT(Z44),AC43,0)</f>
        <v>1</v>
      </c>
      <c r="AD44" s="9"/>
      <c r="AE44" s="14" t="str">
        <f>+S18</f>
        <v>B1</v>
      </c>
      <c r="AF44" s="17">
        <f>IF(ISTEXT(AE44),AF43,0)</f>
        <v>1</v>
      </c>
      <c r="AG44" s="59">
        <f>IF(ISTEXT(AE44),AG43,0)</f>
        <v>3</v>
      </c>
      <c r="AH44" s="19">
        <f>IF(ISTEXT(AE44),AH43,0)</f>
        <v>1</v>
      </c>
      <c r="AI44" s="9"/>
      <c r="AJ44" s="14" t="str">
        <f>+V18</f>
        <v>B3</v>
      </c>
      <c r="AK44" s="17">
        <f>IF(ISTEXT(AJ44),AK43,0)</f>
        <v>1</v>
      </c>
      <c r="AL44" s="59">
        <f>IF(ISTEXT(AJ44),AL43,0)</f>
        <v>3</v>
      </c>
      <c r="AM44" s="19">
        <f>IF(ISTEXT(AJ44),AM43,0)</f>
        <v>1</v>
      </c>
      <c r="AN44" s="23"/>
      <c r="AO44" s="54">
        <v>36</v>
      </c>
      <c r="AP44" s="322" t="str">
        <f>+Inscrits!D20</f>
        <v>B18</v>
      </c>
      <c r="AQ44" s="286" t="str">
        <f t="shared" si="3"/>
        <v xml:space="preserve"> </v>
      </c>
      <c r="AR44" s="99" t="str">
        <f t="shared" si="4"/>
        <v xml:space="preserve"> </v>
      </c>
      <c r="AS44" s="219" t="str">
        <f t="shared" si="5"/>
        <v xml:space="preserve"> </v>
      </c>
      <c r="AT44" s="289" t="str">
        <f t="shared" si="6"/>
        <v xml:space="preserve"> </v>
      </c>
      <c r="AU44" s="99" t="str">
        <f t="shared" si="7"/>
        <v xml:space="preserve"> </v>
      </c>
      <c r="AV44" s="291" t="str">
        <f t="shared" si="8"/>
        <v xml:space="preserve"> </v>
      </c>
      <c r="AW44" s="286" t="str">
        <f t="shared" si="9"/>
        <v xml:space="preserve"> </v>
      </c>
      <c r="AX44" s="99" t="str">
        <f t="shared" si="10"/>
        <v xml:space="preserve"> </v>
      </c>
      <c r="AY44" s="291" t="str">
        <f t="shared" si="11"/>
        <v xml:space="preserve"> </v>
      </c>
      <c r="AZ44" s="286">
        <f t="shared" si="17"/>
        <v>0</v>
      </c>
      <c r="BA44" s="99">
        <f t="shared" si="12"/>
        <v>0</v>
      </c>
      <c r="BB44" s="291">
        <f t="shared" si="13"/>
        <v>0</v>
      </c>
      <c r="BC44" s="294">
        <f t="shared" si="14"/>
        <v>0</v>
      </c>
      <c r="BD44" s="7">
        <f t="shared" si="15"/>
        <v>0</v>
      </c>
      <c r="BE44" s="218">
        <f t="shared" si="16"/>
        <v>35.000000440000001</v>
      </c>
      <c r="BF44" s="99">
        <f>IF(AP44="","",SMALL(BE$9:BE$62,ROWS(AZ$9:AZ44)))</f>
        <v>35.000000219999997</v>
      </c>
      <c r="BG44" s="88"/>
      <c r="BH44" s="99" t="str">
        <f>IF(OR(AP44="",AZ44=""),"",INDEX($AP$9:$AP$63,MATCH(BF44,$BE$9:BE$62,0)))</f>
        <v>A14</v>
      </c>
      <c r="BI44" s="7">
        <f t="shared" si="18"/>
        <v>0</v>
      </c>
      <c r="BJ44" s="7">
        <f t="shared" si="19"/>
        <v>0</v>
      </c>
      <c r="BK44" s="7">
        <f t="shared" si="20"/>
        <v>0</v>
      </c>
      <c r="BL44" s="280">
        <f>IF(BF44="","",IF(AND(BI43=BI44,BJ43=BJ44,BK43=BK44),BL43,$BL$9+35))</f>
        <v>35</v>
      </c>
      <c r="BM44" s="29"/>
      <c r="BN44" s="262"/>
    </row>
    <row r="45" spans="1:66" ht="15.7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P45" s="23"/>
      <c r="Q45" s="23"/>
      <c r="R45" s="23"/>
      <c r="S45" s="23"/>
      <c r="T45" s="23"/>
      <c r="U45" s="23"/>
      <c r="V45" s="23"/>
      <c r="W45" s="23"/>
      <c r="X45" s="23"/>
      <c r="Y45" s="447"/>
      <c r="Z45" s="14" t="str">
        <f>+Q18</f>
        <v>C9</v>
      </c>
      <c r="AA45" s="71">
        <f>IF(ISTEXT(Z45),AA43,0)</f>
        <v>1</v>
      </c>
      <c r="AB45" s="67">
        <f>IF(ISTEXT(Z45),AB43,0)</f>
        <v>3</v>
      </c>
      <c r="AC45" s="72">
        <f>IF(ISTEXT(Z45),AC43,0)</f>
        <v>1</v>
      </c>
      <c r="AD45" s="9"/>
      <c r="AE45" s="14" t="str">
        <f>+T18</f>
        <v>C11</v>
      </c>
      <c r="AF45" s="71">
        <f>IF(ISTEXT(AE45),AF43,0)</f>
        <v>1</v>
      </c>
      <c r="AG45" s="64">
        <f>IF(ISTEXT(AE45),AG43,0)</f>
        <v>3</v>
      </c>
      <c r="AH45" s="72">
        <f>IF(ISTEXT(AE45),AH43,0)</f>
        <v>1</v>
      </c>
      <c r="AI45" s="9"/>
      <c r="AJ45" s="14" t="str">
        <f>+W18</f>
        <v>C6</v>
      </c>
      <c r="AK45" s="71">
        <f>IF(ISTEXT(AJ45),AK43,0)</f>
        <v>1</v>
      </c>
      <c r="AL45" s="64">
        <f>IF(ISTEXT(AJ45),AL43,0)</f>
        <v>3</v>
      </c>
      <c r="AM45" s="72">
        <f>IF(ISTEXT(AJ45),AM43,0)</f>
        <v>1</v>
      </c>
      <c r="AN45" s="23"/>
      <c r="AO45" s="54">
        <v>37</v>
      </c>
      <c r="AP45" s="323" t="str">
        <f>+Inscrits!F3</f>
        <v>C1</v>
      </c>
      <c r="AQ45" s="286">
        <f t="shared" si="3"/>
        <v>2</v>
      </c>
      <c r="AR45" s="99" t="str">
        <f t="shared" si="4"/>
        <v>0</v>
      </c>
      <c r="AS45" s="219">
        <f t="shared" si="5"/>
        <v>6</v>
      </c>
      <c r="AT45" s="289">
        <f t="shared" si="6"/>
        <v>3</v>
      </c>
      <c r="AU45" s="99">
        <f t="shared" si="7"/>
        <v>1</v>
      </c>
      <c r="AV45" s="291">
        <f t="shared" si="8"/>
        <v>1</v>
      </c>
      <c r="AW45" s="286">
        <f t="shared" si="9"/>
        <v>3</v>
      </c>
      <c r="AX45" s="99">
        <f t="shared" si="10"/>
        <v>1</v>
      </c>
      <c r="AY45" s="291">
        <f t="shared" si="11"/>
        <v>1</v>
      </c>
      <c r="AZ45" s="286">
        <f t="shared" si="17"/>
        <v>8</v>
      </c>
      <c r="BA45" s="99">
        <f t="shared" si="12"/>
        <v>2</v>
      </c>
      <c r="BB45" s="291">
        <f t="shared" si="13"/>
        <v>8</v>
      </c>
      <c r="BC45" s="294">
        <f t="shared" si="14"/>
        <v>0</v>
      </c>
      <c r="BD45" s="7">
        <f t="shared" si="15"/>
        <v>2</v>
      </c>
      <c r="BE45" s="218">
        <f t="shared" si="16"/>
        <v>1.97920045</v>
      </c>
      <c r="BF45" s="99">
        <f>IF(AP45="","",SMALL(BE$9:BE$62,ROWS(AZ$9:AZ45)))</f>
        <v>35.000000229999998</v>
      </c>
      <c r="BG45" s="88"/>
      <c r="BH45" s="99" t="str">
        <f>IF(OR(AP45="",AZ45=""),"",INDEX($AP$9:$AP$63,MATCH(BF45,$BE$9:BE$62,0)))</f>
        <v>A15</v>
      </c>
      <c r="BI45" s="7">
        <f t="shared" si="18"/>
        <v>0</v>
      </c>
      <c r="BJ45" s="7">
        <f t="shared" si="19"/>
        <v>0</v>
      </c>
      <c r="BK45" s="7">
        <f t="shared" si="20"/>
        <v>0</v>
      </c>
      <c r="BL45" s="280">
        <f>IF(BF45="","",IF(AND(BI44=BI45,BJ44=BJ45,BK44=BK45),BL44,$BL$9+36))</f>
        <v>35</v>
      </c>
      <c r="BM45" s="29"/>
      <c r="BN45" s="262"/>
    </row>
    <row r="46" spans="1:66" ht="15.7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P46" s="23"/>
      <c r="Q46" s="23"/>
      <c r="R46" s="23"/>
      <c r="S46" s="23"/>
      <c r="T46" s="23"/>
      <c r="U46" s="23"/>
      <c r="V46" s="23"/>
      <c r="W46" s="23"/>
      <c r="X46" s="23"/>
      <c r="Y46" s="447"/>
      <c r="Z46" s="32"/>
      <c r="AA46" s="21" t="s">
        <v>5</v>
      </c>
      <c r="AB46" s="21"/>
      <c r="AC46" s="22"/>
      <c r="AD46" s="1"/>
      <c r="AE46" s="32"/>
      <c r="AF46" s="21" t="s">
        <v>5</v>
      </c>
      <c r="AG46" s="21"/>
      <c r="AH46" s="22"/>
      <c r="AI46" s="1"/>
      <c r="AJ46" s="32"/>
      <c r="AK46" s="21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2</v>
      </c>
      <c r="AR46" s="99" t="str">
        <f t="shared" si="4"/>
        <v>0</v>
      </c>
      <c r="AS46" s="219">
        <f t="shared" si="5"/>
        <v>6</v>
      </c>
      <c r="AT46" s="289">
        <f t="shared" si="6"/>
        <v>3</v>
      </c>
      <c r="AU46" s="99">
        <f t="shared" si="7"/>
        <v>5</v>
      </c>
      <c r="AV46" s="291">
        <f t="shared" si="8"/>
        <v>10</v>
      </c>
      <c r="AW46" s="286">
        <f t="shared" si="9"/>
        <v>1</v>
      </c>
      <c r="AX46" s="99">
        <f t="shared" si="10"/>
        <v>-1</v>
      </c>
      <c r="AY46" s="291">
        <f t="shared" si="11"/>
        <v>4</v>
      </c>
      <c r="AZ46" s="286">
        <f t="shared" si="17"/>
        <v>6</v>
      </c>
      <c r="BA46" s="99">
        <f t="shared" si="12"/>
        <v>4</v>
      </c>
      <c r="BB46" s="291">
        <f t="shared" si="13"/>
        <v>20</v>
      </c>
      <c r="BC46" s="294">
        <f t="shared" si="14"/>
        <v>0</v>
      </c>
      <c r="BD46" s="7">
        <f t="shared" si="15"/>
        <v>4</v>
      </c>
      <c r="BE46" s="218">
        <f t="shared" si="16"/>
        <v>19.958000460000001</v>
      </c>
      <c r="BF46" s="99">
        <f>IF(AP46="","",SMALL(BE$9:BE$62,ROWS(AZ$9:AZ46)))</f>
        <v>35.000000239999999</v>
      </c>
      <c r="BG46" s="88"/>
      <c r="BH46" s="99" t="str">
        <f>IF(OR(AP46="",AZ46=""),"",INDEX($AP$9:$AP$63,MATCH(BF46,$BE$9:BE$62,0)))</f>
        <v>A16</v>
      </c>
      <c r="BI46" s="7">
        <f t="shared" si="18"/>
        <v>0</v>
      </c>
      <c r="BJ46" s="7">
        <f t="shared" si="19"/>
        <v>0</v>
      </c>
      <c r="BK46" s="7">
        <f t="shared" si="20"/>
        <v>0</v>
      </c>
      <c r="BL46" s="280">
        <f>IF(BF46="","",IF(AND(BI45=BI46,BJ45=BJ46,BK45=BK46),BL45,$BL$9+37))</f>
        <v>35</v>
      </c>
      <c r="BM46" s="29"/>
      <c r="BN46" s="262"/>
    </row>
    <row r="47" spans="1:66" ht="15.7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P47" s="23"/>
      <c r="Q47" s="23"/>
      <c r="R47" s="23"/>
      <c r="S47" s="23"/>
      <c r="T47" s="23"/>
      <c r="U47" s="23"/>
      <c r="V47" s="23"/>
      <c r="W47" s="23"/>
      <c r="X47" s="23"/>
      <c r="Y47" s="447"/>
      <c r="Z47" s="14" t="str">
        <f>+O19</f>
        <v>A10</v>
      </c>
      <c r="AA47" s="35">
        <v>0</v>
      </c>
      <c r="AB47" s="30">
        <f>IF(AA43+AA47=0,0,IF(AA43=AA47,2,IF(AA43&lt;AA47,3,1)))</f>
        <v>1</v>
      </c>
      <c r="AC47" s="15">
        <f>AA47-AA43</f>
        <v>-1</v>
      </c>
      <c r="AD47" s="9"/>
      <c r="AE47" s="14" t="str">
        <f>+R19</f>
        <v>A11</v>
      </c>
      <c r="AF47" s="127">
        <v>0</v>
      </c>
      <c r="AG47" s="30">
        <f>IF(AF43+AF47=0,0,IF(AF43=AF47,2,IF(AF43&lt;AF47,3,1)))</f>
        <v>1</v>
      </c>
      <c r="AH47" s="15">
        <f>AF47-AF43</f>
        <v>-1</v>
      </c>
      <c r="AI47" s="9"/>
      <c r="AJ47" s="14" t="str">
        <f>+U19</f>
        <v>A2</v>
      </c>
      <c r="AK47" s="37">
        <v>0</v>
      </c>
      <c r="AL47" s="30">
        <f>IF(AK43+AK47=0,0,IF(AK43=AK47,2,IF(AK43&lt;AK47,3,1)))</f>
        <v>1</v>
      </c>
      <c r="AM47" s="15">
        <f>AK47-AK43</f>
        <v>-1</v>
      </c>
      <c r="AN47" s="23"/>
      <c r="AO47" s="54">
        <v>39</v>
      </c>
      <c r="AP47" s="323" t="str">
        <f>+Inscrits!F5</f>
        <v>C3</v>
      </c>
      <c r="AQ47" s="286">
        <f t="shared" si="3"/>
        <v>1</v>
      </c>
      <c r="AR47" s="99">
        <f t="shared" si="4"/>
        <v>-5</v>
      </c>
      <c r="AS47" s="219">
        <f t="shared" si="5"/>
        <v>5</v>
      </c>
      <c r="AT47" s="289">
        <f t="shared" si="6"/>
        <v>1</v>
      </c>
      <c r="AU47" s="99">
        <f t="shared" si="7"/>
        <v>-5</v>
      </c>
      <c r="AV47" s="291">
        <f t="shared" si="8"/>
        <v>5</v>
      </c>
      <c r="AW47" s="286">
        <f t="shared" si="9"/>
        <v>3</v>
      </c>
      <c r="AX47" s="99">
        <f t="shared" si="10"/>
        <v>1</v>
      </c>
      <c r="AY47" s="291">
        <f t="shared" si="11"/>
        <v>5</v>
      </c>
      <c r="AZ47" s="286">
        <f t="shared" si="17"/>
        <v>5</v>
      </c>
      <c r="BA47" s="99">
        <f t="shared" si="12"/>
        <v>-9</v>
      </c>
      <c r="BB47" s="291">
        <f t="shared" si="13"/>
        <v>15</v>
      </c>
      <c r="BC47" s="294">
        <f t="shared" si="14"/>
        <v>-9</v>
      </c>
      <c r="BD47" s="7">
        <f t="shared" si="15"/>
        <v>0</v>
      </c>
      <c r="BE47" s="218">
        <f t="shared" si="16"/>
        <v>21.08850047</v>
      </c>
      <c r="BF47" s="99">
        <f>IF(AP47="","",SMALL(BE$9:BE$62,ROWS(AZ$9:AZ47)))</f>
        <v>35.000000249999999</v>
      </c>
      <c r="BG47" s="88"/>
      <c r="BH47" s="99" t="str">
        <f>IF(OR(AP47="",AZ47=""),"",INDEX($AP$9:$AP$63,MATCH(BF47,$BE$9:BE$62,0)))</f>
        <v>A17</v>
      </c>
      <c r="BI47" s="7">
        <f t="shared" si="18"/>
        <v>0</v>
      </c>
      <c r="BJ47" s="7">
        <f t="shared" si="19"/>
        <v>0</v>
      </c>
      <c r="BK47" s="7">
        <f t="shared" si="20"/>
        <v>0</v>
      </c>
      <c r="BL47" s="280">
        <f>IF(BF47="","",IF(AND(BI46=BI47,BJ46=BJ47,BK46=BK47),BL46,$BL$9+38))</f>
        <v>35</v>
      </c>
      <c r="BM47" s="29"/>
      <c r="BN47" s="262"/>
    </row>
    <row r="48" spans="1:66" ht="16.5" thickBo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P48" s="23"/>
      <c r="Q48" s="23"/>
      <c r="R48" s="23"/>
      <c r="S48" s="23"/>
      <c r="T48" s="23"/>
      <c r="U48" s="23"/>
      <c r="V48" s="23"/>
      <c r="W48" s="23"/>
      <c r="X48" s="23"/>
      <c r="Y48" s="447"/>
      <c r="Z48" s="14" t="str">
        <f>+P19</f>
        <v>B10</v>
      </c>
      <c r="AA48" s="17">
        <f>IF(ISTEXT(Z48),AA47,0)</f>
        <v>0</v>
      </c>
      <c r="AB48" s="18">
        <f>IF(ISTEXT(Z48),AB47,0)</f>
        <v>1</v>
      </c>
      <c r="AC48" s="19">
        <f>IF(ISTEXT(Z48),AC47,0)</f>
        <v>-1</v>
      </c>
      <c r="AD48" s="9"/>
      <c r="AE48" s="14" t="str">
        <f>+S19</f>
        <v>B10</v>
      </c>
      <c r="AF48" s="17">
        <f>IF(ISTEXT(AE48),AF47,0)</f>
        <v>0</v>
      </c>
      <c r="AG48" s="18">
        <f>IF(ISTEXT(AE48),AG47,0)</f>
        <v>1</v>
      </c>
      <c r="AH48" s="19">
        <f>IF(ISTEXT(AE48),AH47,0)</f>
        <v>-1</v>
      </c>
      <c r="AI48" s="9"/>
      <c r="AJ48" s="14" t="str">
        <f>+V19</f>
        <v>B11</v>
      </c>
      <c r="AK48" s="17">
        <f>IF(ISTEXT(AJ48),AK47,0)</f>
        <v>0</v>
      </c>
      <c r="AL48" s="18">
        <f>IF(ISTEXT(AJ48),AL47,0)</f>
        <v>1</v>
      </c>
      <c r="AM48" s="19">
        <f>IF(ISTEXT(AJ48),AM47,0)</f>
        <v>-1</v>
      </c>
      <c r="AN48" s="23"/>
      <c r="AO48" s="54">
        <v>40</v>
      </c>
      <c r="AP48" s="323" t="str">
        <f>+Inscrits!F6</f>
        <v>C4</v>
      </c>
      <c r="AQ48" s="286">
        <f t="shared" si="3"/>
        <v>3</v>
      </c>
      <c r="AR48" s="99">
        <f t="shared" si="4"/>
        <v>5</v>
      </c>
      <c r="AS48" s="219">
        <f t="shared" si="5"/>
        <v>10</v>
      </c>
      <c r="AT48" s="289">
        <f t="shared" si="6"/>
        <v>3</v>
      </c>
      <c r="AU48" s="99">
        <f t="shared" si="7"/>
        <v>7</v>
      </c>
      <c r="AV48" s="291">
        <f t="shared" si="8"/>
        <v>12</v>
      </c>
      <c r="AW48" s="286">
        <f t="shared" si="9"/>
        <v>1</v>
      </c>
      <c r="AX48" s="99">
        <f t="shared" si="10"/>
        <v>-5</v>
      </c>
      <c r="AY48" s="291" t="str">
        <f t="shared" si="11"/>
        <v>0</v>
      </c>
      <c r="AZ48" s="286">
        <f t="shared" si="17"/>
        <v>7</v>
      </c>
      <c r="BA48" s="99">
        <f t="shared" si="12"/>
        <v>7</v>
      </c>
      <c r="BB48" s="291">
        <f t="shared" si="13"/>
        <v>22</v>
      </c>
      <c r="BC48" s="294">
        <f t="shared" si="14"/>
        <v>0</v>
      </c>
      <c r="BD48" s="7">
        <f t="shared" si="15"/>
        <v>7</v>
      </c>
      <c r="BE48" s="218">
        <f t="shared" si="16"/>
        <v>3.9278004800000001</v>
      </c>
      <c r="BF48" s="99">
        <f>IF(AP48="","",SMALL(BE$9:BE$62,ROWS(AZ$9:AZ48)))</f>
        <v>35.00000026</v>
      </c>
      <c r="BG48" s="88"/>
      <c r="BH48" s="99" t="str">
        <f>IF(OR(AP48="",AZ48=""),"",INDEX($AP$9:$AP$63,MATCH(BF48,$BE$9:BE$62,0)))</f>
        <v>A18</v>
      </c>
      <c r="BI48" s="7">
        <f t="shared" si="18"/>
        <v>0</v>
      </c>
      <c r="BJ48" s="7">
        <f t="shared" si="19"/>
        <v>0</v>
      </c>
      <c r="BK48" s="7">
        <f t="shared" si="20"/>
        <v>0</v>
      </c>
      <c r="BL48" s="280">
        <f>IF(BF48="","",IF(AND(BI47=BI48,BJ47=BJ48,BK47=BK48),BL47,$BL$9+39))</f>
        <v>35</v>
      </c>
      <c r="BM48" s="29"/>
      <c r="BN48" s="262"/>
    </row>
    <row r="49" spans="1:66" ht="16.5" thickBo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P49" s="23"/>
      <c r="Q49" s="23"/>
      <c r="R49" s="23"/>
      <c r="S49" s="23"/>
      <c r="T49" s="23"/>
      <c r="U49" s="23"/>
      <c r="V49" s="23"/>
      <c r="W49" s="23"/>
      <c r="X49" s="23"/>
      <c r="Y49" s="448"/>
      <c r="Z49" s="16" t="str">
        <f>+Q19</f>
        <v>C10</v>
      </c>
      <c r="AA49" s="17">
        <f>IF(ISTEXT(Z49),AA47,0)</f>
        <v>0</v>
      </c>
      <c r="AB49" s="18">
        <f>IF(ISTEXT(Z49),AB47,0)</f>
        <v>1</v>
      </c>
      <c r="AC49" s="19">
        <f>IF(ISTEXT(Z49),AC47,0)</f>
        <v>-1</v>
      </c>
      <c r="AD49" s="9"/>
      <c r="AE49" s="16" t="str">
        <f>+T19</f>
        <v>C9</v>
      </c>
      <c r="AF49" s="17">
        <f>IF(ISTEXT(AE49),AF47,0)</f>
        <v>0</v>
      </c>
      <c r="AG49" s="18">
        <f>IF(ISTEXT(AE49),AG47,0)</f>
        <v>1</v>
      </c>
      <c r="AH49" s="19">
        <f>IF(ISTEXT(AE49),AH47,0)</f>
        <v>-1</v>
      </c>
      <c r="AI49" s="9"/>
      <c r="AJ49" s="16" t="str">
        <f>+W19</f>
        <v>C10</v>
      </c>
      <c r="AK49" s="17">
        <f>IF(ISTEXT(AJ49),AK47,0)</f>
        <v>0</v>
      </c>
      <c r="AL49" s="18">
        <f>IF(ISTEXT(AJ49),AL47,0)</f>
        <v>1</v>
      </c>
      <c r="AM49" s="19">
        <f>IF(ISTEXT(AJ49),AM47,0)</f>
        <v>-1</v>
      </c>
      <c r="AN49" s="23"/>
      <c r="AO49" s="54">
        <v>41</v>
      </c>
      <c r="AP49" s="323" t="str">
        <f>+Inscrits!F7</f>
        <v>C5</v>
      </c>
      <c r="AQ49" s="286">
        <f t="shared" si="3"/>
        <v>3</v>
      </c>
      <c r="AR49" s="99">
        <f t="shared" si="4"/>
        <v>2</v>
      </c>
      <c r="AS49" s="219">
        <f t="shared" si="5"/>
        <v>2</v>
      </c>
      <c r="AT49" s="289">
        <f t="shared" si="6"/>
        <v>1</v>
      </c>
      <c r="AU49" s="99">
        <f t="shared" si="7"/>
        <v>-7</v>
      </c>
      <c r="AV49" s="291">
        <f t="shared" si="8"/>
        <v>5</v>
      </c>
      <c r="AW49" s="286">
        <f t="shared" si="9"/>
        <v>3</v>
      </c>
      <c r="AX49" s="99">
        <f t="shared" si="10"/>
        <v>5</v>
      </c>
      <c r="AY49" s="291">
        <f t="shared" si="11"/>
        <v>14</v>
      </c>
      <c r="AZ49" s="286">
        <f t="shared" si="17"/>
        <v>7</v>
      </c>
      <c r="BA49" s="99">
        <f t="shared" si="12"/>
        <v>0</v>
      </c>
      <c r="BB49" s="291">
        <f t="shared" si="13"/>
        <v>21</v>
      </c>
      <c r="BC49" s="294">
        <f t="shared" si="14"/>
        <v>0</v>
      </c>
      <c r="BD49" s="7">
        <f t="shared" si="15"/>
        <v>0</v>
      </c>
      <c r="BE49" s="218">
        <f t="shared" si="16"/>
        <v>3.9979004900000001</v>
      </c>
      <c r="BF49" s="99">
        <f>IF(AP49="","",SMALL(BE$9:BE$62,ROWS(AZ$9:AZ49)))</f>
        <v>35.000000380000003</v>
      </c>
      <c r="BG49" s="88"/>
      <c r="BH49" s="99" t="str">
        <f>IF(OR(AP49="",AZ49=""),"",INDEX($AP$9:$AP$63,MATCH(BF49,$BE$9:BE$62,0)))</f>
        <v>B12</v>
      </c>
      <c r="BI49" s="7">
        <f t="shared" si="18"/>
        <v>0</v>
      </c>
      <c r="BJ49" s="7">
        <f t="shared" si="19"/>
        <v>0</v>
      </c>
      <c r="BK49" s="7">
        <f t="shared" si="20"/>
        <v>0</v>
      </c>
      <c r="BL49" s="280">
        <f>IF(BF49="","",IF(AND(BI48=BI49,BJ48=BJ49,BK48=BK49),BL48,$BL$9+40))</f>
        <v>35</v>
      </c>
      <c r="BM49" s="29"/>
      <c r="BN49" s="262"/>
    </row>
    <row r="50" spans="1:66" ht="16.5" thickBo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P50" s="23"/>
      <c r="Q50" s="23"/>
      <c r="R50" s="23"/>
      <c r="S50" s="23"/>
      <c r="T50" s="23"/>
      <c r="U50" s="23"/>
      <c r="V50" s="23"/>
      <c r="W50" s="23"/>
      <c r="X50" s="23"/>
      <c r="Y50" s="128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23"/>
      <c r="AO50" s="54">
        <v>42</v>
      </c>
      <c r="AP50" s="323" t="str">
        <f>+Inscrits!F8</f>
        <v>C6</v>
      </c>
      <c r="AQ50" s="286">
        <f t="shared" si="3"/>
        <v>1</v>
      </c>
      <c r="AR50" s="99">
        <f t="shared" si="4"/>
        <v>-2</v>
      </c>
      <c r="AS50" s="219" t="str">
        <f t="shared" si="5"/>
        <v>0</v>
      </c>
      <c r="AT50" s="289">
        <f t="shared" si="6"/>
        <v>1</v>
      </c>
      <c r="AU50" s="99">
        <f t="shared" si="7"/>
        <v>-5</v>
      </c>
      <c r="AV50" s="291" t="str">
        <f t="shared" si="8"/>
        <v>0</v>
      </c>
      <c r="AW50" s="286">
        <f t="shared" si="9"/>
        <v>3</v>
      </c>
      <c r="AX50" s="99">
        <f t="shared" si="10"/>
        <v>1</v>
      </c>
      <c r="AY50" s="291">
        <f t="shared" si="11"/>
        <v>1</v>
      </c>
      <c r="AZ50" s="286">
        <f t="shared" si="17"/>
        <v>5</v>
      </c>
      <c r="BA50" s="99">
        <f t="shared" si="12"/>
        <v>-6</v>
      </c>
      <c r="BB50" s="291">
        <f t="shared" si="13"/>
        <v>1</v>
      </c>
      <c r="BC50" s="294">
        <f t="shared" si="14"/>
        <v>-6</v>
      </c>
      <c r="BD50" s="7">
        <f t="shared" si="15"/>
        <v>0</v>
      </c>
      <c r="BE50" s="218">
        <f t="shared" si="16"/>
        <v>21.059900499999998</v>
      </c>
      <c r="BF50" s="99">
        <f>IF(AP50="","",SMALL(BE$9:BE$62,ROWS(AZ$9:AZ50)))</f>
        <v>35.000000389999997</v>
      </c>
      <c r="BG50" s="88"/>
      <c r="BH50" s="99" t="str">
        <f>IF(OR(AP50="",AZ50=""),"",INDEX($AP$9:$AP$63,MATCH(BF50,$BE$9:BE$62,0)))</f>
        <v>B13</v>
      </c>
      <c r="BI50" s="7">
        <f t="shared" si="18"/>
        <v>0</v>
      </c>
      <c r="BJ50" s="7">
        <f t="shared" si="19"/>
        <v>0</v>
      </c>
      <c r="BK50" s="7">
        <f t="shared" si="20"/>
        <v>0</v>
      </c>
      <c r="BL50" s="280">
        <f>IF(BF50="","",IF(AND(BI49=BI50,BJ49=BJ50,BK49=BK50),BL49,$BL$9+41))</f>
        <v>35</v>
      </c>
      <c r="BM50" s="29"/>
      <c r="BN50" s="262"/>
    </row>
    <row r="51" spans="1:66" ht="15.7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P51" s="23"/>
      <c r="Q51" s="23"/>
      <c r="R51" s="23"/>
      <c r="S51" s="23"/>
      <c r="T51" s="23"/>
      <c r="U51" s="23"/>
      <c r="V51" s="23"/>
      <c r="W51" s="23"/>
      <c r="X51" s="23"/>
      <c r="Y51" s="446">
        <v>6</v>
      </c>
      <c r="Z51" s="12" t="str">
        <f>+O20</f>
        <v>A11</v>
      </c>
      <c r="AA51" s="33">
        <v>1</v>
      </c>
      <c r="AB51" s="48">
        <f>IF(AA51+AA55=0,0,IF(AA51=AA55,2,IF(AA51&gt;AA55,3,1)))</f>
        <v>3</v>
      </c>
      <c r="AC51" s="13">
        <f>AA51-AA55</f>
        <v>1</v>
      </c>
      <c r="AD51" s="9"/>
      <c r="AE51" s="12" t="str">
        <f>+R20</f>
        <v>A12</v>
      </c>
      <c r="AF51" s="126">
        <v>1</v>
      </c>
      <c r="AG51" s="48">
        <f>IF(AF51+AF55=0,0,IF(AF51=AF55,2,IF(AF51&gt;AF55,3,1)))</f>
        <v>3</v>
      </c>
      <c r="AH51" s="13">
        <f>AF51-AF55</f>
        <v>1</v>
      </c>
      <c r="AI51" s="9"/>
      <c r="AJ51" s="12" t="str">
        <f>+U20</f>
        <v>A10</v>
      </c>
      <c r="AK51" s="36">
        <v>1</v>
      </c>
      <c r="AL51" s="48">
        <f>IF(AK51+AK55=0,0,IF(AK51=AK55,2,IF(AK51&gt;AK55,3,1)))</f>
        <v>3</v>
      </c>
      <c r="AM51" s="13">
        <f>AK51-AK55</f>
        <v>1</v>
      </c>
      <c r="AN51" s="23"/>
      <c r="AO51" s="54">
        <v>43</v>
      </c>
      <c r="AP51" s="323" t="str">
        <f>+Inscrits!F9</f>
        <v>C7</v>
      </c>
      <c r="AQ51" s="286">
        <f t="shared" si="3"/>
        <v>3</v>
      </c>
      <c r="AR51" s="99">
        <f t="shared" si="4"/>
        <v>1</v>
      </c>
      <c r="AS51" s="219">
        <f t="shared" si="5"/>
        <v>1</v>
      </c>
      <c r="AT51" s="289">
        <f t="shared" si="6"/>
        <v>3</v>
      </c>
      <c r="AU51" s="99">
        <f t="shared" si="7"/>
        <v>5</v>
      </c>
      <c r="AV51" s="291">
        <f t="shared" si="8"/>
        <v>5</v>
      </c>
      <c r="AW51" s="286">
        <f t="shared" si="9"/>
        <v>1</v>
      </c>
      <c r="AX51" s="99">
        <f t="shared" si="10"/>
        <v>-5</v>
      </c>
      <c r="AY51" s="291">
        <f t="shared" si="11"/>
        <v>9</v>
      </c>
      <c r="AZ51" s="286">
        <f t="shared" si="17"/>
        <v>7</v>
      </c>
      <c r="BA51" s="99">
        <f t="shared" si="12"/>
        <v>1</v>
      </c>
      <c r="BB51" s="291">
        <f t="shared" si="13"/>
        <v>15</v>
      </c>
      <c r="BC51" s="294">
        <f t="shared" si="14"/>
        <v>0</v>
      </c>
      <c r="BD51" s="7">
        <f t="shared" si="15"/>
        <v>1</v>
      </c>
      <c r="BE51" s="218">
        <f t="shared" si="16"/>
        <v>3.9885005100000002</v>
      </c>
      <c r="BF51" s="99">
        <f>IF(AP51="","",SMALL(BE$9:BE$62,ROWS(AZ$9:AZ51)))</f>
        <v>35.000000399999998</v>
      </c>
      <c r="BG51" s="88"/>
      <c r="BH51" s="99" t="str">
        <f>IF(OR(AP51="",AZ51=""),"",INDEX($AP$9:$AP$63,MATCH(BF51,$BE$9:BE$62,0)))</f>
        <v>B14</v>
      </c>
      <c r="BI51" s="7">
        <f t="shared" si="18"/>
        <v>0</v>
      </c>
      <c r="BJ51" s="7">
        <f t="shared" si="19"/>
        <v>0</v>
      </c>
      <c r="BK51" s="7">
        <f t="shared" si="20"/>
        <v>0</v>
      </c>
      <c r="BL51" s="280">
        <f>IF(BF51="","",IF(AND(BI50=BI51,BJ50=BJ51,BK50=BK51),BL50,$BL$9+42))</f>
        <v>35</v>
      </c>
      <c r="BM51" s="29"/>
      <c r="BN51" s="262"/>
    </row>
    <row r="52" spans="1:66" ht="16.5" thickBo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P52" s="23"/>
      <c r="Q52" s="23"/>
      <c r="R52" s="23"/>
      <c r="S52" s="23"/>
      <c r="T52" s="23"/>
      <c r="U52" s="23"/>
      <c r="V52" s="23"/>
      <c r="W52" s="23"/>
      <c r="X52" s="23"/>
      <c r="Y52" s="447"/>
      <c r="Z52" s="14" t="str">
        <f>+P20</f>
        <v>B11</v>
      </c>
      <c r="AA52" s="17">
        <f>IF(ISTEXT(Z52),AA51,0)</f>
        <v>1</v>
      </c>
      <c r="AB52" s="18">
        <f>IF(ISTEXT(Z52),AB51,0)</f>
        <v>3</v>
      </c>
      <c r="AC52" s="19">
        <f>IF(ISTEXT(Z52),AC51,0)</f>
        <v>1</v>
      </c>
      <c r="AD52" s="9"/>
      <c r="AE52" s="14" t="str">
        <f>+S20</f>
        <v>B11</v>
      </c>
      <c r="AF52" s="17">
        <f>IF(ISTEXT(AE52),AF51,0)</f>
        <v>1</v>
      </c>
      <c r="AG52" s="59">
        <f>IF(ISTEXT(AE52),AG51,0)</f>
        <v>3</v>
      </c>
      <c r="AH52" s="19">
        <f>IF(ISTEXT(AE52),AH51,0)</f>
        <v>1</v>
      </c>
      <c r="AI52" s="9"/>
      <c r="AJ52" s="14" t="str">
        <f>+V20</f>
        <v>B8</v>
      </c>
      <c r="AK52" s="17">
        <f>IF(ISTEXT(AJ52),AK51,0)</f>
        <v>1</v>
      </c>
      <c r="AL52" s="59">
        <f>IF(ISTEXT(AJ52),AL51,0)</f>
        <v>3</v>
      </c>
      <c r="AM52" s="19">
        <f>IF(ISTEXT(AJ52),AM51,0)</f>
        <v>1</v>
      </c>
      <c r="AN52" s="23"/>
      <c r="AO52" s="54">
        <v>44</v>
      </c>
      <c r="AP52" s="323" t="str">
        <f>+Inscrits!F10</f>
        <v>C8</v>
      </c>
      <c r="AQ52" s="286">
        <f t="shared" si="3"/>
        <v>1</v>
      </c>
      <c r="AR52" s="99">
        <f t="shared" si="4"/>
        <v>-1</v>
      </c>
      <c r="AS52" s="219" t="str">
        <f t="shared" si="5"/>
        <v>0</v>
      </c>
      <c r="AT52" s="289">
        <f t="shared" si="6"/>
        <v>1</v>
      </c>
      <c r="AU52" s="99">
        <f t="shared" si="7"/>
        <v>-1</v>
      </c>
      <c r="AV52" s="291" t="str">
        <f t="shared" si="8"/>
        <v>0</v>
      </c>
      <c r="AW52" s="286">
        <f t="shared" si="9"/>
        <v>1</v>
      </c>
      <c r="AX52" s="99">
        <f t="shared" si="10"/>
        <v>-1</v>
      </c>
      <c r="AY52" s="291" t="str">
        <f t="shared" si="11"/>
        <v>0</v>
      </c>
      <c r="AZ52" s="286">
        <f t="shared" si="17"/>
        <v>3</v>
      </c>
      <c r="BA52" s="99">
        <f t="shared" si="12"/>
        <v>-3</v>
      </c>
      <c r="BB52" s="291">
        <f t="shared" si="13"/>
        <v>0</v>
      </c>
      <c r="BC52" s="294">
        <f t="shared" si="14"/>
        <v>-3</v>
      </c>
      <c r="BD52" s="7">
        <f t="shared" si="15"/>
        <v>0</v>
      </c>
      <c r="BE52" s="218">
        <f t="shared" si="16"/>
        <v>32.030000520000002</v>
      </c>
      <c r="BF52" s="99">
        <f>IF(AP52="","",SMALL(BE$9:BE$62,ROWS(AZ$9:AZ52)))</f>
        <v>35.000000409999998</v>
      </c>
      <c r="BG52" s="88"/>
      <c r="BH52" s="99" t="str">
        <f>IF(OR(AP52="",AZ52=""),"",INDEX($AP$9:$AP$63,MATCH(BF52,$BE$9:BE$62,0)))</f>
        <v>B15</v>
      </c>
      <c r="BI52" s="7">
        <f t="shared" si="18"/>
        <v>0</v>
      </c>
      <c r="BJ52" s="7">
        <f t="shared" si="19"/>
        <v>0</v>
      </c>
      <c r="BK52" s="7">
        <f t="shared" si="20"/>
        <v>0</v>
      </c>
      <c r="BL52" s="280">
        <f>IF(BF52="","",IF(AND(BI51=BI52,BJ51=BJ52,BK51=BK52),BL51,$BL$9+43))</f>
        <v>35</v>
      </c>
      <c r="BM52" s="29"/>
      <c r="BN52" s="262"/>
    </row>
    <row r="53" spans="1:66" ht="15.7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P53" s="23"/>
      <c r="Q53" s="23"/>
      <c r="R53" s="23"/>
      <c r="S53" s="23"/>
      <c r="T53" s="23"/>
      <c r="U53" s="23"/>
      <c r="V53" s="23"/>
      <c r="W53" s="23"/>
      <c r="X53" s="23"/>
      <c r="Y53" s="447"/>
      <c r="Z53" s="14">
        <f>+Q20</f>
        <v>0</v>
      </c>
      <c r="AA53" s="71">
        <f>IF(ISTEXT(Z53),AA51,0)</f>
        <v>0</v>
      </c>
      <c r="AB53" s="67">
        <f>IF(ISTEXT(Z53),AB51,0)</f>
        <v>0</v>
      </c>
      <c r="AC53" s="72">
        <f>IF(ISTEXT(Z53),AC51,0)</f>
        <v>0</v>
      </c>
      <c r="AD53" s="9"/>
      <c r="AE53" s="14">
        <f>+T20</f>
        <v>0</v>
      </c>
      <c r="AF53" s="71">
        <f>IF(ISTEXT(AE53),AF51,0)</f>
        <v>0</v>
      </c>
      <c r="AG53" s="64">
        <f>IF(ISTEXT(AE53),AG51,0)</f>
        <v>0</v>
      </c>
      <c r="AH53" s="72">
        <f>IF(ISTEXT(AE53),AH51,0)</f>
        <v>0</v>
      </c>
      <c r="AI53" s="9"/>
      <c r="AJ53" s="14">
        <f>+W20</f>
        <v>0</v>
      </c>
      <c r="AK53" s="71">
        <f>IF(ISTEXT(AJ53),AK51,0)</f>
        <v>0</v>
      </c>
      <c r="AL53" s="64">
        <f>IF(ISTEXT(AJ53),AL51,0)</f>
        <v>0</v>
      </c>
      <c r="AM53" s="72">
        <f>IF(ISTEXT(AJ53),AM51,0)</f>
        <v>0</v>
      </c>
      <c r="AN53" s="23"/>
      <c r="AO53" s="54">
        <v>45</v>
      </c>
      <c r="AP53" s="323" t="str">
        <f>+Inscrits!F11</f>
        <v>C9</v>
      </c>
      <c r="AQ53" s="286">
        <f t="shared" si="3"/>
        <v>3</v>
      </c>
      <c r="AR53" s="99">
        <f t="shared" si="4"/>
        <v>1</v>
      </c>
      <c r="AS53" s="219">
        <f t="shared" si="5"/>
        <v>1</v>
      </c>
      <c r="AT53" s="289">
        <f t="shared" si="6"/>
        <v>1</v>
      </c>
      <c r="AU53" s="99">
        <f t="shared" si="7"/>
        <v>-1</v>
      </c>
      <c r="AV53" s="291" t="str">
        <f t="shared" si="8"/>
        <v>0</v>
      </c>
      <c r="AW53" s="286">
        <f t="shared" si="9"/>
        <v>1</v>
      </c>
      <c r="AX53" s="99">
        <f t="shared" si="10"/>
        <v>-1</v>
      </c>
      <c r="AY53" s="291" t="str">
        <f t="shared" si="11"/>
        <v>0</v>
      </c>
      <c r="AZ53" s="286">
        <f t="shared" si="17"/>
        <v>5</v>
      </c>
      <c r="BA53" s="99">
        <f t="shared" si="12"/>
        <v>-1</v>
      </c>
      <c r="BB53" s="291">
        <f t="shared" si="13"/>
        <v>1</v>
      </c>
      <c r="BC53" s="294">
        <f t="shared" si="14"/>
        <v>-1</v>
      </c>
      <c r="BD53" s="7">
        <f t="shared" si="15"/>
        <v>0</v>
      </c>
      <c r="BE53" s="218">
        <f t="shared" si="16"/>
        <v>21.009900530000003</v>
      </c>
      <c r="BF53" s="99">
        <f>IF(AP53="","",SMALL(BE$9:BE$62,ROWS(AZ$9:AZ53)))</f>
        <v>35.000000419999999</v>
      </c>
      <c r="BG53" s="88"/>
      <c r="BH53" s="99" t="str">
        <f>IF(OR(AP53="",AZ53=""),"",INDEX($AP$9:$AP$63,MATCH(BF53,$BE$9:BE$62,0)))</f>
        <v>B16</v>
      </c>
      <c r="BI53" s="7">
        <f t="shared" si="18"/>
        <v>0</v>
      </c>
      <c r="BJ53" s="7">
        <f t="shared" si="19"/>
        <v>0</v>
      </c>
      <c r="BK53" s="7">
        <f t="shared" si="20"/>
        <v>0</v>
      </c>
      <c r="BL53" s="280">
        <f>IF(BF53="","",IF(AND(BI52=BI53,BJ52=BJ53,BK52=BK53),BL52,$BL$9+44))</f>
        <v>35</v>
      </c>
      <c r="BM53" s="29"/>
      <c r="BN53" s="262"/>
    </row>
    <row r="54" spans="1:66" ht="15.7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P54" s="23"/>
      <c r="Q54" s="23"/>
      <c r="R54" s="23"/>
      <c r="S54" s="23"/>
      <c r="T54" s="23"/>
      <c r="U54" s="23"/>
      <c r="V54" s="23"/>
      <c r="W54" s="23"/>
      <c r="X54" s="23"/>
      <c r="Y54" s="447"/>
      <c r="Z54" s="32"/>
      <c r="AA54" s="21" t="s">
        <v>5</v>
      </c>
      <c r="AB54" s="21"/>
      <c r="AC54" s="22"/>
      <c r="AD54" s="1"/>
      <c r="AE54" s="32"/>
      <c r="AF54" s="21" t="s">
        <v>5</v>
      </c>
      <c r="AG54" s="21"/>
      <c r="AH54" s="22"/>
      <c r="AI54" s="1"/>
      <c r="AJ54" s="32"/>
      <c r="AK54" s="21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>
        <f t="shared" si="3"/>
        <v>1</v>
      </c>
      <c r="AR54" s="99">
        <f t="shared" si="4"/>
        <v>-1</v>
      </c>
      <c r="AS54" s="219" t="str">
        <f t="shared" si="5"/>
        <v>0</v>
      </c>
      <c r="AT54" s="289">
        <f t="shared" si="6"/>
        <v>1</v>
      </c>
      <c r="AU54" s="99">
        <f t="shared" si="7"/>
        <v>-1</v>
      </c>
      <c r="AV54" s="291" t="str">
        <f t="shared" si="8"/>
        <v>0</v>
      </c>
      <c r="AW54" s="286">
        <f t="shared" si="9"/>
        <v>1</v>
      </c>
      <c r="AX54" s="99">
        <f t="shared" si="10"/>
        <v>-1</v>
      </c>
      <c r="AY54" s="291" t="str">
        <f t="shared" si="11"/>
        <v>0</v>
      </c>
      <c r="AZ54" s="286">
        <f t="shared" si="17"/>
        <v>3</v>
      </c>
      <c r="BA54" s="99">
        <f t="shared" si="12"/>
        <v>-3</v>
      </c>
      <c r="BB54" s="291">
        <f t="shared" si="13"/>
        <v>0</v>
      </c>
      <c r="BC54" s="294">
        <f t="shared" si="14"/>
        <v>-3</v>
      </c>
      <c r="BD54" s="7">
        <f t="shared" si="15"/>
        <v>0</v>
      </c>
      <c r="BE54" s="218">
        <f t="shared" si="16"/>
        <v>32.030000540000003</v>
      </c>
      <c r="BF54" s="99">
        <f>IF(AP54="","",SMALL(BE$9:BE$62,ROWS(AZ$9:AZ54)))</f>
        <v>35.00000043</v>
      </c>
      <c r="BG54" s="88"/>
      <c r="BH54" s="99" t="str">
        <f>IF(OR(AP54="",AZ54=""),"",INDEX($AP$9:$AP$63,MATCH(BF54,$BE$9:BE$62,0)))</f>
        <v>B17</v>
      </c>
      <c r="BI54" s="7">
        <f t="shared" si="18"/>
        <v>0</v>
      </c>
      <c r="BJ54" s="7">
        <f t="shared" si="19"/>
        <v>0</v>
      </c>
      <c r="BK54" s="7">
        <f t="shared" si="20"/>
        <v>0</v>
      </c>
      <c r="BL54" s="280">
        <f>IF(BF54="","",IF(AND(BI53=BI54,BJ53=BJ54,BK53=BK54),BL53,$BL$9+45))</f>
        <v>35</v>
      </c>
      <c r="BM54" s="29"/>
      <c r="BN54" s="262"/>
    </row>
    <row r="55" spans="1:66" ht="15.7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P55" s="23"/>
      <c r="Q55" s="23"/>
      <c r="R55" s="23"/>
      <c r="S55" s="23"/>
      <c r="T55" s="23"/>
      <c r="U55" s="23"/>
      <c r="V55" s="23"/>
      <c r="W55" s="23"/>
      <c r="X55" s="23"/>
      <c r="Y55" s="447"/>
      <c r="Z55" s="14" t="str">
        <f>+O21</f>
        <v>A12</v>
      </c>
      <c r="AA55" s="35">
        <v>0</v>
      </c>
      <c r="AB55" s="30">
        <f>IF(AA51+AA55=0,0,IF(AA51=AA55,2,IF(AA51&lt;AA55,3,1)))</f>
        <v>1</v>
      </c>
      <c r="AC55" s="15">
        <f>AA55-AA51</f>
        <v>-1</v>
      </c>
      <c r="AD55" s="9"/>
      <c r="AE55" s="14" t="str">
        <f>+R21</f>
        <v>A1</v>
      </c>
      <c r="AF55" s="127">
        <v>0</v>
      </c>
      <c r="AG55" s="30">
        <f>IF(AF51+AF55=0,0,IF(AF51=AF55,2,IF(AF51&lt;AF55,3,1)))</f>
        <v>1</v>
      </c>
      <c r="AH55" s="15">
        <f>AF55-AF51</f>
        <v>-1</v>
      </c>
      <c r="AI55" s="9"/>
      <c r="AJ55" s="14" t="str">
        <f>+U21</f>
        <v>A12</v>
      </c>
      <c r="AK55" s="37">
        <v>0</v>
      </c>
      <c r="AL55" s="30">
        <f>IF(AK51+AK55=0,0,IF(AK51=AK55,2,IF(AK51&lt;AK55,3,1)))</f>
        <v>1</v>
      </c>
      <c r="AM55" s="15">
        <f>AK55-AK51</f>
        <v>-1</v>
      </c>
      <c r="AN55" s="23"/>
      <c r="AO55" s="54">
        <v>47</v>
      </c>
      <c r="AP55" s="323" t="str">
        <f>+Inscrits!F13</f>
        <v>C11</v>
      </c>
      <c r="AQ55" s="286">
        <f t="shared" si="3"/>
        <v>1</v>
      </c>
      <c r="AR55" s="99">
        <f t="shared" si="4"/>
        <v>-1</v>
      </c>
      <c r="AS55" s="219" t="str">
        <f t="shared" si="5"/>
        <v>0</v>
      </c>
      <c r="AT55" s="289">
        <f t="shared" si="6"/>
        <v>3</v>
      </c>
      <c r="AU55" s="99">
        <f t="shared" si="7"/>
        <v>1</v>
      </c>
      <c r="AV55" s="291">
        <f t="shared" si="8"/>
        <v>1</v>
      </c>
      <c r="AW55" s="286">
        <f t="shared" si="9"/>
        <v>3</v>
      </c>
      <c r="AX55" s="99">
        <f t="shared" si="10"/>
        <v>5</v>
      </c>
      <c r="AY55" s="291">
        <f t="shared" si="11"/>
        <v>5</v>
      </c>
      <c r="AZ55" s="286">
        <f t="shared" si="17"/>
        <v>7</v>
      </c>
      <c r="BA55" s="99">
        <f t="shared" si="12"/>
        <v>5</v>
      </c>
      <c r="BB55" s="291">
        <f t="shared" si="13"/>
        <v>6</v>
      </c>
      <c r="BC55" s="294">
        <f t="shared" si="14"/>
        <v>0</v>
      </c>
      <c r="BD55" s="7">
        <f t="shared" si="15"/>
        <v>5</v>
      </c>
      <c r="BE55" s="218">
        <f t="shared" si="16"/>
        <v>3.9494005500000005</v>
      </c>
      <c r="BF55" s="99">
        <f>IF(AP55="","",SMALL(BE$9:BE$62,ROWS(AZ$9:AZ55)))</f>
        <v>35.000000440000001</v>
      </c>
      <c r="BG55" s="88"/>
      <c r="BH55" s="99" t="str">
        <f>IF(OR(AP55="",AZ55=""),"",INDEX($AP$9:$AP$63,MATCH(BF55,$BE$9:BE$62,0)))</f>
        <v>B18</v>
      </c>
      <c r="BI55" s="7">
        <f t="shared" si="18"/>
        <v>0</v>
      </c>
      <c r="BJ55" s="7">
        <f t="shared" si="19"/>
        <v>0</v>
      </c>
      <c r="BK55" s="7">
        <f t="shared" si="20"/>
        <v>0</v>
      </c>
      <c r="BL55" s="280">
        <f>IF(BF55="","",IF(AND(BI54=BI55,BJ54=BJ55,BK54=BK55),BL54,$BL$9+46))</f>
        <v>35</v>
      </c>
      <c r="BM55" s="29"/>
      <c r="BN55" s="262"/>
    </row>
    <row r="56" spans="1:66" ht="16.5" thickBot="1">
      <c r="A56" s="128"/>
      <c r="B56" s="23"/>
      <c r="C56" s="23"/>
      <c r="D56" s="23"/>
      <c r="E56" s="23"/>
      <c r="F56" s="23"/>
      <c r="G56" s="23"/>
      <c r="H56" s="23"/>
      <c r="I56" s="25"/>
      <c r="J56" s="128"/>
      <c r="K56" s="128"/>
      <c r="L56" s="128"/>
      <c r="P56" s="23"/>
      <c r="Q56" s="128"/>
      <c r="R56" s="29"/>
      <c r="S56" s="23"/>
      <c r="T56" s="23"/>
      <c r="U56" s="23"/>
      <c r="V56" s="23"/>
      <c r="W56" s="23"/>
      <c r="X56" s="23"/>
      <c r="Y56" s="447"/>
      <c r="Z56" s="14" t="str">
        <f>+P21</f>
        <v>C11</v>
      </c>
      <c r="AA56" s="17">
        <f>IF(ISTEXT(Z56),AA55,0)</f>
        <v>0</v>
      </c>
      <c r="AB56" s="18">
        <f>IF(ISTEXT(Z56),AB55,0)</f>
        <v>1</v>
      </c>
      <c r="AC56" s="19">
        <f>IF(ISTEXT(Z56),AC55,0)</f>
        <v>-1</v>
      </c>
      <c r="AD56" s="9"/>
      <c r="AE56" s="14" t="str">
        <f>+S21</f>
        <v>C10</v>
      </c>
      <c r="AF56" s="17">
        <f>IF(ISTEXT(AE56),AF55,0)</f>
        <v>0</v>
      </c>
      <c r="AG56" s="18">
        <f>IF(ISTEXT(AE56),AG55,0)</f>
        <v>1</v>
      </c>
      <c r="AH56" s="19">
        <f>IF(ISTEXT(AE56),AH55,0)</f>
        <v>-1</v>
      </c>
      <c r="AI56" s="9"/>
      <c r="AJ56" s="14" t="str">
        <f>+V21</f>
        <v>C9</v>
      </c>
      <c r="AK56" s="17">
        <f>IF(ISTEXT(AJ56),AK55,0)</f>
        <v>0</v>
      </c>
      <c r="AL56" s="18">
        <f>IF(ISTEXT(AJ56),AL55,0)</f>
        <v>1</v>
      </c>
      <c r="AM56" s="19">
        <f>IF(ISTEXT(AJ56),AM55,0)</f>
        <v>-1</v>
      </c>
      <c r="AN56" s="23"/>
      <c r="AO56" s="54">
        <v>48</v>
      </c>
      <c r="AP56" s="323" t="str">
        <f>+Inscrits!F14</f>
        <v>C12</v>
      </c>
      <c r="AQ56" s="286" t="str">
        <f t="shared" si="3"/>
        <v xml:space="preserve"> </v>
      </c>
      <c r="AR56" s="99" t="str">
        <f t="shared" si="4"/>
        <v xml:space="preserve"> </v>
      </c>
      <c r="AS56" s="219" t="str">
        <f t="shared" si="5"/>
        <v xml:space="preserve"> </v>
      </c>
      <c r="AT56" s="289" t="str">
        <f t="shared" si="6"/>
        <v xml:space="preserve"> </v>
      </c>
      <c r="AU56" s="99" t="str">
        <f t="shared" si="7"/>
        <v xml:space="preserve"> </v>
      </c>
      <c r="AV56" s="291" t="str">
        <f t="shared" si="8"/>
        <v xml:space="preserve"> </v>
      </c>
      <c r="AW56" s="286" t="str">
        <f t="shared" si="9"/>
        <v xml:space="preserve"> </v>
      </c>
      <c r="AX56" s="99" t="str">
        <f t="shared" si="10"/>
        <v xml:space="preserve"> </v>
      </c>
      <c r="AY56" s="291" t="str">
        <f t="shared" si="11"/>
        <v xml:space="preserve"> </v>
      </c>
      <c r="AZ56" s="286">
        <f t="shared" si="17"/>
        <v>0</v>
      </c>
      <c r="BA56" s="99">
        <f t="shared" si="12"/>
        <v>0</v>
      </c>
      <c r="BB56" s="291">
        <f t="shared" si="13"/>
        <v>0</v>
      </c>
      <c r="BC56" s="294">
        <f t="shared" si="14"/>
        <v>0</v>
      </c>
      <c r="BD56" s="7">
        <f t="shared" si="15"/>
        <v>0</v>
      </c>
      <c r="BE56" s="218">
        <f t="shared" si="16"/>
        <v>35.000000559999997</v>
      </c>
      <c r="BF56" s="99">
        <f>IF(AP56="","",SMALL(BE$9:BE$62,ROWS(AZ$9:AZ56)))</f>
        <v>35.000000559999997</v>
      </c>
      <c r="BG56" s="88"/>
      <c r="BH56" s="99" t="str">
        <f>IF(OR(AP56="",AZ56=""),"",INDEX($AP$9:$AP$63,MATCH(BF56,$BE$9:BE$62,0)))</f>
        <v>C12</v>
      </c>
      <c r="BI56" s="7">
        <f t="shared" si="18"/>
        <v>0</v>
      </c>
      <c r="BJ56" s="7">
        <f t="shared" si="19"/>
        <v>0</v>
      </c>
      <c r="BK56" s="7">
        <f t="shared" si="20"/>
        <v>0</v>
      </c>
      <c r="BL56" s="280">
        <f>IF(BF56="","",IF(AND(BI55=BI56,BJ55=BJ56,BK55=BK56),BL55,$BL$9+47))</f>
        <v>35</v>
      </c>
      <c r="BM56" s="29"/>
      <c r="BN56" s="262"/>
    </row>
    <row r="57" spans="1:66" ht="16.5" thickBot="1">
      <c r="A57" s="128"/>
      <c r="B57" s="23"/>
      <c r="C57" s="23"/>
      <c r="D57" s="23"/>
      <c r="E57" s="23"/>
      <c r="F57" s="23"/>
      <c r="G57" s="23"/>
      <c r="H57" s="23"/>
      <c r="I57" s="25"/>
      <c r="J57" s="128"/>
      <c r="K57" s="128"/>
      <c r="L57" s="128"/>
      <c r="P57" s="23"/>
      <c r="Q57" s="128"/>
      <c r="R57" s="29"/>
      <c r="S57" s="23"/>
      <c r="T57" s="23"/>
      <c r="U57" s="23"/>
      <c r="V57" s="23"/>
      <c r="W57" s="23"/>
      <c r="X57" s="23"/>
      <c r="Y57" s="448"/>
      <c r="Z57" s="16">
        <f>+Q21</f>
        <v>0</v>
      </c>
      <c r="AA57" s="17">
        <f>IF(ISTEXT(Z57),AA55,0)</f>
        <v>0</v>
      </c>
      <c r="AB57" s="18">
        <f>IF(ISTEXT(Z57),AB55,0)</f>
        <v>0</v>
      </c>
      <c r="AC57" s="19">
        <f>IF(ISTEXT(Z57),AC55,0)</f>
        <v>0</v>
      </c>
      <c r="AD57" s="9"/>
      <c r="AE57" s="16">
        <f>+T21</f>
        <v>0</v>
      </c>
      <c r="AF57" s="17">
        <f>IF(ISTEXT(AE57),AF55,0)</f>
        <v>0</v>
      </c>
      <c r="AG57" s="18">
        <f>IF(ISTEXT(AE57),AG55,0)</f>
        <v>0</v>
      </c>
      <c r="AH57" s="19">
        <f>IF(ISTEXT(AE57),AH55,0)</f>
        <v>0</v>
      </c>
      <c r="AI57" s="9"/>
      <c r="AJ57" s="16">
        <f>+W21</f>
        <v>0</v>
      </c>
      <c r="AK57" s="17">
        <f>IF(ISTEXT(AJ57),AK55,0)</f>
        <v>0</v>
      </c>
      <c r="AL57" s="18">
        <f>IF(ISTEXT(AJ57),AL55,0)</f>
        <v>0</v>
      </c>
      <c r="AM57" s="19">
        <f>IF(ISTEXT(AJ57),AM55,0)</f>
        <v>0</v>
      </c>
      <c r="AN57" s="23"/>
      <c r="AO57" s="54">
        <v>49</v>
      </c>
      <c r="AP57" s="323" t="str">
        <f>+Inscrits!F15</f>
        <v>C13</v>
      </c>
      <c r="AQ57" s="286" t="str">
        <f t="shared" si="3"/>
        <v xml:space="preserve"> </v>
      </c>
      <c r="AR57" s="99" t="str">
        <f t="shared" si="4"/>
        <v xml:space="preserve"> </v>
      </c>
      <c r="AS57" s="219" t="str">
        <f t="shared" si="5"/>
        <v xml:space="preserve"> </v>
      </c>
      <c r="AT57" s="289" t="str">
        <f t="shared" si="6"/>
        <v xml:space="preserve"> </v>
      </c>
      <c r="AU57" s="99" t="str">
        <f t="shared" si="7"/>
        <v xml:space="preserve"> </v>
      </c>
      <c r="AV57" s="291" t="str">
        <f t="shared" si="8"/>
        <v xml:space="preserve"> </v>
      </c>
      <c r="AW57" s="286" t="str">
        <f t="shared" si="9"/>
        <v xml:space="preserve"> </v>
      </c>
      <c r="AX57" s="99" t="str">
        <f t="shared" si="10"/>
        <v xml:space="preserve"> </v>
      </c>
      <c r="AY57" s="291" t="str">
        <f t="shared" si="11"/>
        <v xml:space="preserve"> </v>
      </c>
      <c r="AZ57" s="286">
        <f t="shared" si="17"/>
        <v>0</v>
      </c>
      <c r="BA57" s="99">
        <f t="shared" si="12"/>
        <v>0</v>
      </c>
      <c r="BB57" s="291">
        <f t="shared" si="13"/>
        <v>0</v>
      </c>
      <c r="BC57" s="294">
        <f t="shared" si="14"/>
        <v>0</v>
      </c>
      <c r="BD57" s="7">
        <f t="shared" si="15"/>
        <v>0</v>
      </c>
      <c r="BE57" s="218">
        <f t="shared" si="16"/>
        <v>35.000000569999997</v>
      </c>
      <c r="BF57" s="99">
        <f>IF(AP57="","",SMALL(BE$9:BE$62,ROWS(AZ$9:AZ57)))</f>
        <v>35.000000569999997</v>
      </c>
      <c r="BG57" s="88"/>
      <c r="BH57" s="99" t="str">
        <f>IF(OR(AP57="",AZ57=""),"",INDEX($AP$9:$AP$63,MATCH(BF57,$BE$9:BE$62,0)))</f>
        <v>C13</v>
      </c>
      <c r="BI57" s="7">
        <f t="shared" si="18"/>
        <v>0</v>
      </c>
      <c r="BJ57" s="7">
        <f t="shared" si="19"/>
        <v>0</v>
      </c>
      <c r="BK57" s="7">
        <f t="shared" si="20"/>
        <v>0</v>
      </c>
      <c r="BL57" s="280">
        <f>IF(BF57="","",IF(AND(BI56=BI57,BJ56=BJ57,BK56=BK57),BL56,$BL$9+48))</f>
        <v>35</v>
      </c>
      <c r="BM57" s="29"/>
      <c r="BN57" s="262"/>
    </row>
    <row r="58" spans="1:66" ht="16.5" thickBot="1">
      <c r="A58" s="128"/>
      <c r="B58" s="23"/>
      <c r="C58" s="23"/>
      <c r="D58" s="23"/>
      <c r="E58" s="23"/>
      <c r="F58" s="128"/>
      <c r="G58" s="128"/>
      <c r="H58" s="23"/>
      <c r="I58" s="25"/>
      <c r="J58" s="128"/>
      <c r="K58" s="128"/>
      <c r="L58" s="128"/>
      <c r="P58" s="23"/>
      <c r="Q58" s="128"/>
      <c r="R58" s="29"/>
      <c r="S58" s="23"/>
      <c r="T58" s="23"/>
      <c r="U58" s="23"/>
      <c r="V58" s="23"/>
      <c r="W58" s="23"/>
      <c r="X58" s="23"/>
      <c r="Y58" s="128"/>
      <c r="Z58" s="70"/>
      <c r="AA58" s="70"/>
      <c r="AB58" s="70"/>
      <c r="AC58" s="70"/>
      <c r="AD58" s="73"/>
      <c r="AE58" s="73"/>
      <c r="AF58" s="73"/>
      <c r="AG58" s="70"/>
      <c r="AH58" s="70"/>
      <c r="AI58" s="73"/>
      <c r="AJ58" s="73"/>
      <c r="AK58" s="70"/>
      <c r="AL58" s="70"/>
      <c r="AM58" s="70"/>
      <c r="AN58" s="23"/>
      <c r="AO58" s="54">
        <v>50</v>
      </c>
      <c r="AP58" s="323" t="str">
        <f>+Inscrits!F16</f>
        <v>C14</v>
      </c>
      <c r="AQ58" s="286" t="str">
        <f t="shared" si="3"/>
        <v xml:space="preserve"> </v>
      </c>
      <c r="AR58" s="99" t="str">
        <f t="shared" si="4"/>
        <v xml:space="preserve"> </v>
      </c>
      <c r="AS58" s="219" t="str">
        <f t="shared" si="5"/>
        <v xml:space="preserve"> </v>
      </c>
      <c r="AT58" s="289" t="str">
        <f t="shared" si="6"/>
        <v xml:space="preserve"> </v>
      </c>
      <c r="AU58" s="99" t="str">
        <f t="shared" si="7"/>
        <v xml:space="preserve"> </v>
      </c>
      <c r="AV58" s="291" t="str">
        <f t="shared" si="8"/>
        <v xml:space="preserve"> </v>
      </c>
      <c r="AW58" s="286" t="str">
        <f t="shared" si="9"/>
        <v xml:space="preserve"> </v>
      </c>
      <c r="AX58" s="99" t="str">
        <f t="shared" si="10"/>
        <v xml:space="preserve"> </v>
      </c>
      <c r="AY58" s="291" t="str">
        <f t="shared" si="11"/>
        <v xml:space="preserve"> </v>
      </c>
      <c r="AZ58" s="286">
        <f t="shared" si="17"/>
        <v>0</v>
      </c>
      <c r="BA58" s="99">
        <f t="shared" si="12"/>
        <v>0</v>
      </c>
      <c r="BB58" s="291">
        <f t="shared" si="13"/>
        <v>0</v>
      </c>
      <c r="BC58" s="294">
        <f t="shared" si="14"/>
        <v>0</v>
      </c>
      <c r="BD58" s="7">
        <f t="shared" si="15"/>
        <v>0</v>
      </c>
      <c r="BE58" s="218">
        <f t="shared" si="16"/>
        <v>35.000000579999998</v>
      </c>
      <c r="BF58" s="99">
        <f>IF(AP58="","",SMALL(BE$9:BE$62,ROWS(AZ$9:AZ58)))</f>
        <v>35.000000579999998</v>
      </c>
      <c r="BG58" s="88"/>
      <c r="BH58" s="99" t="str">
        <f>IF(OR(AP58="",AZ58=""),"",INDEX($AP$9:$AP$63,MATCH(BF58,$BE$9:BE$62,0)))</f>
        <v>C14</v>
      </c>
      <c r="BI58" s="7">
        <f t="shared" si="18"/>
        <v>0</v>
      </c>
      <c r="BJ58" s="7">
        <f t="shared" si="19"/>
        <v>0</v>
      </c>
      <c r="BK58" s="7">
        <f t="shared" si="20"/>
        <v>0</v>
      </c>
      <c r="BL58" s="280">
        <f>IF(BF58="","",IF(AND(BI57=BI58,BJ57=BJ58,BK57=BK58),BL57,$BL$9+49))</f>
        <v>35</v>
      </c>
      <c r="BM58" s="29"/>
      <c r="BN58" s="262"/>
    </row>
    <row r="59" spans="1:66" ht="15.75">
      <c r="A59" s="128"/>
      <c r="B59" s="23"/>
      <c r="C59" s="23"/>
      <c r="D59" s="23"/>
      <c r="E59" s="23"/>
      <c r="F59" s="128"/>
      <c r="G59" s="128"/>
      <c r="H59" s="23"/>
      <c r="I59" s="25"/>
      <c r="J59" s="128"/>
      <c r="K59" s="128"/>
      <c r="L59" s="128"/>
      <c r="P59" s="23"/>
      <c r="Q59" s="128"/>
      <c r="R59" s="29"/>
      <c r="S59" s="23"/>
      <c r="T59" s="23"/>
      <c r="U59" s="23"/>
      <c r="V59" s="23"/>
      <c r="W59" s="23"/>
      <c r="X59" s="23"/>
      <c r="Y59" s="446">
        <v>7</v>
      </c>
      <c r="Z59" s="12">
        <f>+O22</f>
        <v>0</v>
      </c>
      <c r="AA59" s="33">
        <v>0</v>
      </c>
      <c r="AB59" s="48">
        <f>IF(AA59+AA63=0,0,IF(AA59=AA63,2,IF(AA59&gt;AA63,3,1)))</f>
        <v>0</v>
      </c>
      <c r="AC59" s="13">
        <f>AA59-AA63</f>
        <v>0</v>
      </c>
      <c r="AD59" s="9"/>
      <c r="AE59" s="12">
        <f>+R22</f>
        <v>0</v>
      </c>
      <c r="AF59" s="126">
        <v>0</v>
      </c>
      <c r="AG59" s="48">
        <f>IF(AF59+AF63=0,0,IF(AF59=AF63,2,IF(AF59&gt;AF63,3,1)))</f>
        <v>0</v>
      </c>
      <c r="AH59" s="13">
        <f>AF59-AF63</f>
        <v>0</v>
      </c>
      <c r="AI59" s="9"/>
      <c r="AJ59" s="12">
        <f>+U22</f>
        <v>0</v>
      </c>
      <c r="AK59" s="36">
        <v>0</v>
      </c>
      <c r="AL59" s="48">
        <f>IF(AK59+AK63=0,0,IF(AK59=AK63,2,IF(AK59&gt;AK63,3,1)))</f>
        <v>0</v>
      </c>
      <c r="AM59" s="13">
        <f>AK59-AK63</f>
        <v>0</v>
      </c>
      <c r="AN59" s="23"/>
      <c r="AO59" s="54">
        <v>51</v>
      </c>
      <c r="AP59" s="323" t="str">
        <f>+Inscrits!F17</f>
        <v>C15</v>
      </c>
      <c r="AQ59" s="286" t="str">
        <f t="shared" si="3"/>
        <v xml:space="preserve"> </v>
      </c>
      <c r="AR59" s="99" t="str">
        <f t="shared" si="4"/>
        <v xml:space="preserve"> </v>
      </c>
      <c r="AS59" s="219" t="str">
        <f t="shared" si="5"/>
        <v xml:space="preserve"> </v>
      </c>
      <c r="AT59" s="289" t="str">
        <f t="shared" si="6"/>
        <v xml:space="preserve"> </v>
      </c>
      <c r="AU59" s="99" t="str">
        <f t="shared" si="7"/>
        <v xml:space="preserve"> </v>
      </c>
      <c r="AV59" s="291" t="str">
        <f t="shared" si="8"/>
        <v xml:space="preserve"> </v>
      </c>
      <c r="AW59" s="286" t="str">
        <f t="shared" si="9"/>
        <v xml:space="preserve"> </v>
      </c>
      <c r="AX59" s="99" t="str">
        <f t="shared" si="10"/>
        <v xml:space="preserve"> </v>
      </c>
      <c r="AY59" s="291" t="str">
        <f t="shared" si="11"/>
        <v xml:space="preserve"> </v>
      </c>
      <c r="AZ59" s="286">
        <f t="shared" si="17"/>
        <v>0</v>
      </c>
      <c r="BA59" s="99">
        <f t="shared" si="12"/>
        <v>0</v>
      </c>
      <c r="BB59" s="291">
        <f t="shared" si="13"/>
        <v>0</v>
      </c>
      <c r="BC59" s="294">
        <f t="shared" si="14"/>
        <v>0</v>
      </c>
      <c r="BD59" s="7">
        <f t="shared" si="15"/>
        <v>0</v>
      </c>
      <c r="BE59" s="218">
        <f t="shared" si="16"/>
        <v>35.000000589999999</v>
      </c>
      <c r="BF59" s="99">
        <f>IF(AP59="","",SMALL(BE$9:BE$62,ROWS(AZ$9:AZ59)))</f>
        <v>35.000000589999999</v>
      </c>
      <c r="BG59" s="88"/>
      <c r="BH59" s="99" t="str">
        <f>IF(OR(AP59="",AZ59=""),"",INDEX($AP$9:$AP$63,MATCH(BF59,$BE$9:BE$62,0)))</f>
        <v>C15</v>
      </c>
      <c r="BI59" s="7">
        <f t="shared" si="18"/>
        <v>0</v>
      </c>
      <c r="BJ59" s="7">
        <f t="shared" si="19"/>
        <v>0</v>
      </c>
      <c r="BK59" s="7">
        <f t="shared" si="20"/>
        <v>0</v>
      </c>
      <c r="BL59" s="280">
        <f>IF(BF59="","",IF(AND(BI58=BI59,BJ58=BJ59,BK58=BK59),BL58,$BL$9+50))</f>
        <v>35</v>
      </c>
      <c r="BM59" s="29"/>
      <c r="BN59" s="262"/>
    </row>
    <row r="60" spans="1:66" ht="16.5" thickBot="1">
      <c r="A60" s="128"/>
      <c r="B60" s="29"/>
      <c r="C60" s="29"/>
      <c r="D60" s="128"/>
      <c r="E60" s="128"/>
      <c r="F60" s="128"/>
      <c r="G60" s="128"/>
      <c r="H60" s="23"/>
      <c r="I60" s="25"/>
      <c r="J60" s="128"/>
      <c r="K60" s="128"/>
      <c r="L60" s="128"/>
      <c r="P60" s="23"/>
      <c r="Q60" s="128"/>
      <c r="R60" s="29"/>
      <c r="S60" s="29"/>
      <c r="T60" s="29"/>
      <c r="U60" s="23"/>
      <c r="V60" s="23"/>
      <c r="W60" s="23"/>
      <c r="X60" s="23"/>
      <c r="Y60" s="447"/>
      <c r="Z60" s="14">
        <f>+P22</f>
        <v>0</v>
      </c>
      <c r="AA60" s="17">
        <f>IF(ISTEXT(Z60),AA59,0)</f>
        <v>0</v>
      </c>
      <c r="AB60" s="18">
        <f>IF(ISTEXT(Z60),AB59,0)</f>
        <v>0</v>
      </c>
      <c r="AC60" s="19">
        <f>IF(ISTEXT(Z60),AC59,0)</f>
        <v>0</v>
      </c>
      <c r="AD60" s="9"/>
      <c r="AE60" s="14">
        <f>+S22</f>
        <v>0</v>
      </c>
      <c r="AF60" s="17">
        <f>IF(ISTEXT(AE60),AF59,0)</f>
        <v>0</v>
      </c>
      <c r="AG60" s="59">
        <f>IF(ISTEXT(AE60),AG59,0)</f>
        <v>0</v>
      </c>
      <c r="AH60" s="19">
        <f>IF(ISTEXT(AE60),AH59,0)</f>
        <v>0</v>
      </c>
      <c r="AI60" s="9"/>
      <c r="AJ60" s="14">
        <f>+V22</f>
        <v>0</v>
      </c>
      <c r="AK60" s="17">
        <f>IF(ISTEXT(AJ60),AK59,0)</f>
        <v>0</v>
      </c>
      <c r="AL60" s="59">
        <f>IF(ISTEXT(AJ60),AL59,0)</f>
        <v>0</v>
      </c>
      <c r="AM60" s="19">
        <f>IF(ISTEXT(AJ60),AM59,0)</f>
        <v>0</v>
      </c>
      <c r="AN60" s="23"/>
      <c r="AO60" s="54">
        <v>52</v>
      </c>
      <c r="AP60" s="323" t="str">
        <f>+Inscrits!F18</f>
        <v>C16</v>
      </c>
      <c r="AQ60" s="286" t="str">
        <f t="shared" si="3"/>
        <v xml:space="preserve"> </v>
      </c>
      <c r="AR60" s="99" t="str">
        <f t="shared" si="4"/>
        <v xml:space="preserve"> </v>
      </c>
      <c r="AS60" s="219" t="str">
        <f t="shared" si="5"/>
        <v xml:space="preserve"> </v>
      </c>
      <c r="AT60" s="289" t="str">
        <f t="shared" si="6"/>
        <v xml:space="preserve"> </v>
      </c>
      <c r="AU60" s="99" t="str">
        <f t="shared" si="7"/>
        <v xml:space="preserve"> </v>
      </c>
      <c r="AV60" s="291" t="str">
        <f t="shared" si="8"/>
        <v xml:space="preserve"> </v>
      </c>
      <c r="AW60" s="286" t="str">
        <f t="shared" si="9"/>
        <v xml:space="preserve"> </v>
      </c>
      <c r="AX60" s="99" t="str">
        <f t="shared" si="10"/>
        <v xml:space="preserve"> </v>
      </c>
      <c r="AY60" s="291" t="str">
        <f t="shared" si="11"/>
        <v xml:space="preserve"> </v>
      </c>
      <c r="AZ60" s="286">
        <f t="shared" si="17"/>
        <v>0</v>
      </c>
      <c r="BA60" s="99">
        <f t="shared" si="12"/>
        <v>0</v>
      </c>
      <c r="BB60" s="291">
        <f t="shared" si="13"/>
        <v>0</v>
      </c>
      <c r="BC60" s="294">
        <f t="shared" si="14"/>
        <v>0</v>
      </c>
      <c r="BD60" s="7">
        <f t="shared" si="15"/>
        <v>0</v>
      </c>
      <c r="BE60" s="218">
        <f t="shared" si="16"/>
        <v>35.0000006</v>
      </c>
      <c r="BF60" s="99">
        <f>IF(AP60="","",SMALL(BE$9:BE$62,ROWS(AZ$9:AZ60)))</f>
        <v>35.0000006</v>
      </c>
      <c r="BG60" s="88"/>
      <c r="BH60" s="99" t="str">
        <f>IF(OR(AP60="",AZ60=""),"",INDEX($AP$9:$AP$63,MATCH(BF60,$BE$9:BE$62,0)))</f>
        <v>C16</v>
      </c>
      <c r="BI60" s="7">
        <f t="shared" si="18"/>
        <v>0</v>
      </c>
      <c r="BJ60" s="7">
        <f t="shared" si="19"/>
        <v>0</v>
      </c>
      <c r="BK60" s="7">
        <f t="shared" si="20"/>
        <v>0</v>
      </c>
      <c r="BL60" s="280">
        <f>IF(BF60="","",IF(AND(BI59=BI60,BJ59=BJ60,BK59=BK60),BL59,$BL$9+51))</f>
        <v>35</v>
      </c>
      <c r="BM60" s="29"/>
      <c r="BN60" s="262"/>
    </row>
    <row r="61" spans="1:66" ht="15.75">
      <c r="A61" s="128"/>
      <c r="B61" s="29"/>
      <c r="C61" s="29"/>
      <c r="D61" s="128"/>
      <c r="E61" s="128"/>
      <c r="F61" s="128"/>
      <c r="G61" s="128"/>
      <c r="H61" s="23"/>
      <c r="I61" s="25"/>
      <c r="J61" s="128"/>
      <c r="K61" s="128"/>
      <c r="L61" s="128"/>
      <c r="P61" s="23"/>
      <c r="Q61" s="128"/>
      <c r="R61" s="29"/>
      <c r="S61" s="29"/>
      <c r="T61" s="29"/>
      <c r="U61" s="29"/>
      <c r="V61" s="23"/>
      <c r="W61" s="23"/>
      <c r="X61" s="23"/>
      <c r="Y61" s="447"/>
      <c r="Z61" s="14">
        <f>+Q22</f>
        <v>0</v>
      </c>
      <c r="AA61" s="71">
        <f>IF(ISTEXT(Z61),AA59,0)</f>
        <v>0</v>
      </c>
      <c r="AB61" s="67">
        <f>IF(ISTEXT(Z61),AB59,0)</f>
        <v>0</v>
      </c>
      <c r="AC61" s="72">
        <f>IF(ISTEXT(Z61),AC59,0)</f>
        <v>0</v>
      </c>
      <c r="AD61" s="9"/>
      <c r="AE61" s="14">
        <f>+T22</f>
        <v>0</v>
      </c>
      <c r="AF61" s="71">
        <f>IF(ISTEXT(AE61),AF59,0)</f>
        <v>0</v>
      </c>
      <c r="AG61" s="64">
        <f>IF(ISTEXT(AE61),AG59,0)</f>
        <v>0</v>
      </c>
      <c r="AH61" s="72">
        <f>IF(ISTEXT(AE61),AH59,0)</f>
        <v>0</v>
      </c>
      <c r="AI61" s="9"/>
      <c r="AJ61" s="14">
        <f>+W22</f>
        <v>0</v>
      </c>
      <c r="AK61" s="71">
        <f>IF(ISTEXT(AJ61),AK59,0)</f>
        <v>0</v>
      </c>
      <c r="AL61" s="64">
        <f>IF(ISTEXT(AJ61),AL59,0)</f>
        <v>0</v>
      </c>
      <c r="AM61" s="72">
        <f>IF(ISTEXT(AJ61),AM59,0)</f>
        <v>0</v>
      </c>
      <c r="AN61" s="23"/>
      <c r="AO61" s="54">
        <v>53</v>
      </c>
      <c r="AP61" s="323" t="str">
        <f>+Inscrits!F19</f>
        <v>C17</v>
      </c>
      <c r="AQ61" s="286" t="str">
        <f t="shared" si="3"/>
        <v xml:space="preserve"> </v>
      </c>
      <c r="AR61" s="99" t="str">
        <f t="shared" si="4"/>
        <v xml:space="preserve"> </v>
      </c>
      <c r="AS61" s="219" t="str">
        <f t="shared" si="5"/>
        <v xml:space="preserve"> </v>
      </c>
      <c r="AT61" s="289" t="str">
        <f t="shared" si="6"/>
        <v xml:space="preserve"> </v>
      </c>
      <c r="AU61" s="99" t="str">
        <f t="shared" si="7"/>
        <v xml:space="preserve"> </v>
      </c>
      <c r="AV61" s="291" t="str">
        <f t="shared" si="8"/>
        <v xml:space="preserve"> </v>
      </c>
      <c r="AW61" s="286" t="str">
        <f t="shared" si="9"/>
        <v xml:space="preserve"> </v>
      </c>
      <c r="AX61" s="99" t="str">
        <f t="shared" si="10"/>
        <v xml:space="preserve"> </v>
      </c>
      <c r="AY61" s="291" t="str">
        <f t="shared" si="11"/>
        <v xml:space="preserve"> </v>
      </c>
      <c r="AZ61" s="286">
        <f t="shared" si="17"/>
        <v>0</v>
      </c>
      <c r="BA61" s="99">
        <f t="shared" si="12"/>
        <v>0</v>
      </c>
      <c r="BB61" s="291">
        <f t="shared" si="13"/>
        <v>0</v>
      </c>
      <c r="BC61" s="294">
        <f t="shared" si="14"/>
        <v>0</v>
      </c>
      <c r="BD61" s="7">
        <f t="shared" si="15"/>
        <v>0</v>
      </c>
      <c r="BE61" s="218">
        <f t="shared" si="16"/>
        <v>35.000000610000001</v>
      </c>
      <c r="BF61" s="99">
        <f>IF(AP61="","",SMALL(BE$9:BE$62,ROWS(AZ$9:AZ61)))</f>
        <v>35.000000610000001</v>
      </c>
      <c r="BG61" s="88"/>
      <c r="BH61" s="99" t="str">
        <f>IF(OR(AP61="",AZ61=""),"",INDEX($AP$9:$AP$63,MATCH(BF61,$BE$9:BE$62,0)))</f>
        <v>C17</v>
      </c>
      <c r="BI61" s="7">
        <f t="shared" si="18"/>
        <v>0</v>
      </c>
      <c r="BJ61" s="7">
        <f t="shared" si="19"/>
        <v>0</v>
      </c>
      <c r="BK61" s="7">
        <f t="shared" si="20"/>
        <v>0</v>
      </c>
      <c r="BL61" s="280">
        <f>IF(BF61="","",IF(AND(BI60=BI61,BJ60=BJ61,BK60=BK61),BL60,$BL$9+52))</f>
        <v>35</v>
      </c>
      <c r="BM61" s="29"/>
      <c r="BN61" s="262"/>
    </row>
    <row r="62" spans="1:66" ht="16.5" thickBot="1">
      <c r="A62" s="128"/>
      <c r="B62" s="29"/>
      <c r="C62" s="29"/>
      <c r="D62" s="128"/>
      <c r="E62" s="128"/>
      <c r="F62" s="128"/>
      <c r="G62" s="128"/>
      <c r="H62" s="23"/>
      <c r="I62" s="25"/>
      <c r="J62" s="128"/>
      <c r="K62" s="128"/>
      <c r="L62" s="128"/>
      <c r="P62" s="23"/>
      <c r="Q62" s="128"/>
      <c r="R62" s="29"/>
      <c r="S62" s="29"/>
      <c r="T62" s="29"/>
      <c r="U62" s="29"/>
      <c r="V62" s="23"/>
      <c r="W62" s="23"/>
      <c r="X62" s="23"/>
      <c r="Y62" s="447"/>
      <c r="Z62" s="32"/>
      <c r="AA62" s="21" t="s">
        <v>5</v>
      </c>
      <c r="AB62" s="21"/>
      <c r="AC62" s="22"/>
      <c r="AD62" s="1"/>
      <c r="AE62" s="32"/>
      <c r="AF62" s="21" t="s">
        <v>5</v>
      </c>
      <c r="AG62" s="21"/>
      <c r="AH62" s="22"/>
      <c r="AI62" s="1"/>
      <c r="AJ62" s="32"/>
      <c r="AK62" s="21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 t="str">
        <f t="shared" si="3"/>
        <v xml:space="preserve"> </v>
      </c>
      <c r="AR62" s="224" t="str">
        <f t="shared" si="4"/>
        <v xml:space="preserve"> </v>
      </c>
      <c r="AS62" s="225" t="str">
        <f t="shared" si="5"/>
        <v xml:space="preserve"> </v>
      </c>
      <c r="AT62" s="290" t="str">
        <f t="shared" si="6"/>
        <v xml:space="preserve"> </v>
      </c>
      <c r="AU62" s="224" t="str">
        <f t="shared" si="7"/>
        <v xml:space="preserve"> </v>
      </c>
      <c r="AV62" s="292" t="str">
        <f t="shared" si="8"/>
        <v xml:space="preserve"> </v>
      </c>
      <c r="AW62" s="287" t="str">
        <f t="shared" si="9"/>
        <v xml:space="preserve"> </v>
      </c>
      <c r="AX62" s="224" t="str">
        <f t="shared" si="10"/>
        <v xml:space="preserve"> </v>
      </c>
      <c r="AY62" s="292" t="str">
        <f t="shared" si="11"/>
        <v xml:space="preserve"> </v>
      </c>
      <c r="AZ62" s="287">
        <f t="shared" si="17"/>
        <v>0</v>
      </c>
      <c r="BA62" s="224">
        <f t="shared" si="12"/>
        <v>0</v>
      </c>
      <c r="BB62" s="292">
        <f t="shared" si="13"/>
        <v>0</v>
      </c>
      <c r="BC62" s="295">
        <f t="shared" si="14"/>
        <v>0</v>
      </c>
      <c r="BD62" s="282">
        <f t="shared" si="15"/>
        <v>0</v>
      </c>
      <c r="BE62" s="218">
        <f t="shared" si="16"/>
        <v>35.000000620000002</v>
      </c>
      <c r="BF62" s="224">
        <f>IF(AP62="","",SMALL(BE$9:BE$62,ROWS(AZ$9:AZ62)))</f>
        <v>35.000000620000002</v>
      </c>
      <c r="BG62" s="88"/>
      <c r="BH62" s="224" t="str">
        <f>IF(OR(AP62="",AZ62=""),"",INDEX($AP$9:$AP$63,MATCH(BF62,$BE$9:BE$62,0)))</f>
        <v>C18</v>
      </c>
      <c r="BI62" s="282">
        <f t="shared" si="18"/>
        <v>0</v>
      </c>
      <c r="BJ62" s="282">
        <f t="shared" si="19"/>
        <v>0</v>
      </c>
      <c r="BK62" s="282">
        <f t="shared" si="20"/>
        <v>0</v>
      </c>
      <c r="BL62" s="280">
        <f>IF(BF62="","",IF(AND(BI61=BI62,BJ61=BJ62,BK61=BK62),BL61,$BL$9+53))</f>
        <v>35</v>
      </c>
      <c r="BM62" s="29"/>
      <c r="BN62" s="262"/>
    </row>
    <row r="63" spans="1:66" ht="15.75">
      <c r="A63" s="128"/>
      <c r="B63" s="29"/>
      <c r="C63" s="29"/>
      <c r="D63" s="128"/>
      <c r="E63" s="128"/>
      <c r="F63" s="128"/>
      <c r="G63" s="128"/>
      <c r="H63" s="23"/>
      <c r="I63" s="25"/>
      <c r="J63" s="128"/>
      <c r="K63" s="128"/>
      <c r="L63" s="128"/>
      <c r="P63" s="23"/>
      <c r="Q63" s="128"/>
      <c r="R63" s="29"/>
      <c r="S63" s="29"/>
      <c r="T63" s="29"/>
      <c r="U63" s="29"/>
      <c r="V63" s="23"/>
      <c r="W63" s="23"/>
      <c r="X63" s="23"/>
      <c r="Y63" s="447"/>
      <c r="Z63" s="14">
        <f>+O23</f>
        <v>0</v>
      </c>
      <c r="AA63" s="35">
        <v>0</v>
      </c>
      <c r="AB63" s="30">
        <f>IF(AA59+AA63=0,0,IF(AA59=AA63,2,IF(AA59&lt;AA63,3,1)))</f>
        <v>0</v>
      </c>
      <c r="AC63" s="15">
        <f>AA63-AA59</f>
        <v>0</v>
      </c>
      <c r="AD63" s="9"/>
      <c r="AE63" s="14">
        <f>+R23</f>
        <v>0</v>
      </c>
      <c r="AF63" s="127">
        <v>0</v>
      </c>
      <c r="AG63" s="30">
        <f>IF(AF59+AF63=0,0,IF(AF59=AF63,2,IF(AF59&lt;AF63,3,1)))</f>
        <v>0</v>
      </c>
      <c r="AH63" s="15">
        <f>AF63-AF59</f>
        <v>0</v>
      </c>
      <c r="AI63" s="9"/>
      <c r="AJ63" s="14">
        <f>+U23</f>
        <v>0</v>
      </c>
      <c r="AK63" s="37">
        <v>0</v>
      </c>
      <c r="AL63" s="30">
        <f>IF(AK59+AK63=0,0,IF(AK59=AK63,2,IF(AK59&lt;AK63,3,1)))</f>
        <v>0</v>
      </c>
      <c r="AM63" s="15">
        <f>AK63-AK59</f>
        <v>0</v>
      </c>
      <c r="AN63" s="23"/>
      <c r="AP63" s="8"/>
      <c r="AQ63" s="89">
        <f>SUM(IF(ISNA(AQ9:AQ62),0,AQ9:AQ62))</f>
        <v>68</v>
      </c>
      <c r="AR63" s="89">
        <f t="array" ref="AR63">SUM(IF(ISNA(AR9:AR62),0,AR9:AR62))</f>
        <v>0</v>
      </c>
      <c r="AS63" s="89"/>
      <c r="AT63" s="89">
        <f>SUM(IF(ISNA(AT9:AT62),0,AT9:AT62))</f>
        <v>68</v>
      </c>
      <c r="AU63" s="89">
        <f t="array" ref="AU63">SUM(IF(ISNA(AU9:AU62),0,AU9:AU62))</f>
        <v>0</v>
      </c>
      <c r="AV63" s="89"/>
      <c r="AW63" s="89">
        <f t="array" ref="AW63">SUM(IF(ISNA(AW9:AW62),0,AW9:AW62))</f>
        <v>68</v>
      </c>
      <c r="AX63" s="89">
        <f t="array" ref="AX63">SUM(IF(ISNA(AX9:AX62),0,AX9:AX62))</f>
        <v>0</v>
      </c>
      <c r="AY63" s="89"/>
      <c r="AZ63" s="39">
        <f t="array" ref="AZ63">SUM(AZ9:AZ62)</f>
        <v>204</v>
      </c>
      <c r="BA63" s="39">
        <f t="array" ref="BA63">SUM(BA9:BA62)</f>
        <v>0</v>
      </c>
      <c r="BB63" s="39"/>
      <c r="BC63" s="39"/>
      <c r="BD63" s="39"/>
      <c r="BE63" s="39"/>
      <c r="BF63" s="39"/>
      <c r="BG63" s="84"/>
      <c r="BH63" s="39"/>
      <c r="BI63" s="79"/>
      <c r="BJ63" s="39">
        <f t="array" ref="BJ63">SUM(BJ9:BJ62)</f>
        <v>0</v>
      </c>
      <c r="BK63" s="39"/>
      <c r="BL63" s="8"/>
      <c r="BM63" s="29"/>
      <c r="BN63" s="84"/>
    </row>
    <row r="64" spans="1:66" ht="16.5" thickBot="1">
      <c r="A64" s="128"/>
      <c r="B64" s="29"/>
      <c r="C64" s="29"/>
      <c r="D64" s="128"/>
      <c r="E64" s="128"/>
      <c r="F64" s="128"/>
      <c r="G64" s="128"/>
      <c r="H64" s="23"/>
      <c r="I64" s="25"/>
      <c r="J64" s="128"/>
      <c r="K64" s="128"/>
      <c r="L64" s="128"/>
      <c r="P64" s="23"/>
      <c r="Q64" s="128"/>
      <c r="R64" s="29"/>
      <c r="S64" s="29"/>
      <c r="T64" s="29"/>
      <c r="U64" s="29"/>
      <c r="V64" s="23"/>
      <c r="W64" s="23"/>
      <c r="X64" s="23"/>
      <c r="Y64" s="447"/>
      <c r="Z64" s="14">
        <f>+P23</f>
        <v>0</v>
      </c>
      <c r="AA64" s="17">
        <f>IF(ISTEXT(Z64),AA63,0)</f>
        <v>0</v>
      </c>
      <c r="AB64" s="18">
        <f>IF(ISTEXT(Z64),AB63,0)</f>
        <v>0</v>
      </c>
      <c r="AC64" s="19">
        <f>IF(ISTEXT(Z64),AC63,0)</f>
        <v>0</v>
      </c>
      <c r="AD64" s="9"/>
      <c r="AE64" s="14">
        <f>+S23</f>
        <v>0</v>
      </c>
      <c r="AF64" s="17">
        <f>IF(ISTEXT(AE64),AF63,0)</f>
        <v>0</v>
      </c>
      <c r="AG64" s="18">
        <f>IF(ISTEXT(AE64),AG63,0)</f>
        <v>0</v>
      </c>
      <c r="AH64" s="19">
        <f>IF(ISTEXT(AE64),AH63,0)</f>
        <v>0</v>
      </c>
      <c r="AI64" s="9"/>
      <c r="AJ64" s="14">
        <f>+V23</f>
        <v>0</v>
      </c>
      <c r="AK64" s="17">
        <f>IF(ISTEXT(AJ64),AK63,0)</f>
        <v>0</v>
      </c>
      <c r="AL64" s="18">
        <f>IF(ISTEXT(AJ64),AL63,0)</f>
        <v>0</v>
      </c>
      <c r="AM64" s="19">
        <f>IF(ISTEXT(AJ64),AM63,0)</f>
        <v>0</v>
      </c>
      <c r="AN64" s="23"/>
      <c r="AP64" s="8"/>
      <c r="AQ64" s="39"/>
      <c r="AR64" s="79" t="str">
        <f>IF(AR63=0,"OK","ERREUR")</f>
        <v>OK</v>
      </c>
      <c r="AS64" s="75"/>
      <c r="AT64" s="39"/>
      <c r="AU64" s="79" t="str">
        <f>IF(AU63=0,"OK","ERREUR")</f>
        <v>OK</v>
      </c>
      <c r="AV64" s="75"/>
      <c r="AW64" s="39"/>
      <c r="AX64" s="79" t="str">
        <f>IF(AX63=0,"OK","ERREUR")</f>
        <v>OK</v>
      </c>
      <c r="AY64" s="75"/>
      <c r="AZ64" s="8"/>
      <c r="BA64" s="79" t="str">
        <f>IF(BA63=0,"OK","ERREUR")</f>
        <v>OK</v>
      </c>
      <c r="BB64" s="75"/>
      <c r="BC64" s="9"/>
      <c r="BD64" s="9"/>
      <c r="BE64" s="9"/>
      <c r="BF64" s="39"/>
      <c r="BG64" s="84"/>
      <c r="BH64" s="39"/>
      <c r="BI64" s="79"/>
      <c r="BJ64" s="79" t="str">
        <f>IF(BJ63=0,"OK","ERREUR")</f>
        <v>OK</v>
      </c>
      <c r="BK64" s="75"/>
      <c r="BL64" s="8"/>
      <c r="BM64" s="29"/>
    </row>
    <row r="65" spans="1:65" ht="16.5" thickBot="1">
      <c r="A65" s="128"/>
      <c r="B65" s="29"/>
      <c r="C65" s="29"/>
      <c r="D65" s="128"/>
      <c r="E65" s="128"/>
      <c r="F65" s="128"/>
      <c r="G65" s="128"/>
      <c r="H65" s="23"/>
      <c r="I65" s="25"/>
      <c r="J65" s="128"/>
      <c r="K65" s="128"/>
      <c r="L65" s="128"/>
      <c r="P65" s="23"/>
      <c r="Q65" s="128"/>
      <c r="R65" s="29"/>
      <c r="S65" s="29"/>
      <c r="T65" s="29"/>
      <c r="U65" s="29"/>
      <c r="V65" s="23"/>
      <c r="W65" s="23"/>
      <c r="X65" s="23"/>
      <c r="Y65" s="448"/>
      <c r="Z65" s="16">
        <f>+Q23</f>
        <v>0</v>
      </c>
      <c r="AA65" s="17">
        <f>IF(ISTEXT(Z65),AA63,0)</f>
        <v>0</v>
      </c>
      <c r="AB65" s="18">
        <f>IF(ISTEXT(Z65),AB63,0)</f>
        <v>0</v>
      </c>
      <c r="AC65" s="19">
        <f>IF(ISTEXT(Z65),AC63,0)</f>
        <v>0</v>
      </c>
      <c r="AD65" s="9"/>
      <c r="AE65" s="16">
        <f>+T23</f>
        <v>0</v>
      </c>
      <c r="AF65" s="17">
        <f>IF(ISTEXT(AE65),AF63,0)</f>
        <v>0</v>
      </c>
      <c r="AG65" s="18">
        <f>IF(ISTEXT(AE65),AG63,0)</f>
        <v>0</v>
      </c>
      <c r="AH65" s="19">
        <f>IF(ISTEXT(AE65),AH63,0)</f>
        <v>0</v>
      </c>
      <c r="AI65" s="9"/>
      <c r="AJ65" s="16">
        <f>+W23</f>
        <v>0</v>
      </c>
      <c r="AK65" s="17">
        <f>IF(ISTEXT(AJ65),AK63,0)</f>
        <v>0</v>
      </c>
      <c r="AL65" s="18">
        <f>IF(ISTEXT(AJ65),AL63,0)</f>
        <v>0</v>
      </c>
      <c r="AM65" s="19">
        <f>IF(ISTEXT(AJ65),AM63,0)</f>
        <v>0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G65" s="84"/>
      <c r="BH65" s="39"/>
      <c r="BI65" s="79"/>
      <c r="BJ65" s="75"/>
      <c r="BK65" s="75"/>
      <c r="BL65" s="8"/>
      <c r="BM65" s="29"/>
    </row>
    <row r="66" spans="1:65" ht="16.5" thickBot="1">
      <c r="A66" s="128"/>
      <c r="B66" s="29"/>
      <c r="C66" s="29"/>
      <c r="D66" s="128"/>
      <c r="E66" s="128"/>
      <c r="F66" s="128"/>
      <c r="G66" s="128"/>
      <c r="H66" s="23"/>
      <c r="I66" s="25"/>
      <c r="J66" s="128"/>
      <c r="K66" s="128"/>
      <c r="L66" s="128"/>
      <c r="P66" s="23"/>
      <c r="Q66" s="128"/>
      <c r="R66" s="29"/>
      <c r="S66" s="29"/>
      <c r="T66" s="29"/>
      <c r="U66" s="29"/>
      <c r="V66" s="23"/>
      <c r="W66" s="23"/>
      <c r="X66" s="23"/>
      <c r="Y66" s="128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23"/>
      <c r="AO66" s="128"/>
      <c r="AP66" s="23"/>
      <c r="AQ66" s="84"/>
      <c r="AR66" s="119"/>
      <c r="AS66" s="119"/>
      <c r="AT66" s="84"/>
      <c r="AU66" s="84"/>
      <c r="AV66" s="84"/>
      <c r="AW66" s="84"/>
      <c r="AX66" s="119"/>
      <c r="AY66" s="119"/>
      <c r="AZ66" s="119"/>
      <c r="BA66" s="119"/>
      <c r="BB66" s="119"/>
      <c r="BC66" s="119"/>
      <c r="BD66" s="119"/>
      <c r="BE66" s="119"/>
      <c r="BF66" s="119"/>
      <c r="BG66" s="84"/>
      <c r="BH66" s="119"/>
      <c r="BI66" s="128"/>
      <c r="BJ66" s="128"/>
      <c r="BK66" s="128"/>
      <c r="BL66" s="23"/>
      <c r="BM66" s="29"/>
    </row>
    <row r="67" spans="1:65" ht="15.75">
      <c r="A67" s="128"/>
      <c r="B67" s="29"/>
      <c r="C67" s="29"/>
      <c r="D67" s="128"/>
      <c r="E67" s="128"/>
      <c r="F67" s="128"/>
      <c r="G67" s="128"/>
      <c r="H67" s="23"/>
      <c r="I67" s="25"/>
      <c r="J67" s="128"/>
      <c r="K67" s="128"/>
      <c r="L67" s="128"/>
      <c r="P67" s="23"/>
      <c r="Q67" s="128"/>
      <c r="R67" s="29"/>
      <c r="S67" s="29"/>
      <c r="T67" s="29"/>
      <c r="U67" s="29"/>
      <c r="V67" s="23"/>
      <c r="W67" s="23"/>
      <c r="X67" s="23"/>
      <c r="Y67" s="446">
        <v>8</v>
      </c>
      <c r="Z67" s="12">
        <f>+O24</f>
        <v>0</v>
      </c>
      <c r="AA67" s="33">
        <v>0</v>
      </c>
      <c r="AB67" s="48">
        <f>IF(AA67+AA71=0,0,IF(AA67=AA71,2,IF(AA67&gt;AA71,3,1)))</f>
        <v>0</v>
      </c>
      <c r="AC67" s="13">
        <f>AA67-AA71</f>
        <v>0</v>
      </c>
      <c r="AD67" s="9"/>
      <c r="AE67" s="12">
        <f>+R24</f>
        <v>0</v>
      </c>
      <c r="AF67" s="126">
        <v>0</v>
      </c>
      <c r="AG67" s="48">
        <f>IF(AF67+AF71=0,0,IF(AF67=AF71,2,IF(AF67&gt;AF71,3,1)))</f>
        <v>0</v>
      </c>
      <c r="AH67" s="13">
        <f>AF67-AF71</f>
        <v>0</v>
      </c>
      <c r="AI67" s="9"/>
      <c r="AJ67" s="12">
        <f>+U24</f>
        <v>0</v>
      </c>
      <c r="AK67" s="36">
        <v>0</v>
      </c>
      <c r="AL67" s="48">
        <f>IF(AK67+AK71=0,0,IF(AK67=AK71,2,IF(AK67&gt;AK71,3,1)))</f>
        <v>0</v>
      </c>
      <c r="AM67" s="13">
        <f>AK67-AK71</f>
        <v>0</v>
      </c>
      <c r="AN67" s="23"/>
      <c r="AO67" s="128"/>
      <c r="AP67" s="386" t="s">
        <v>28</v>
      </c>
      <c r="AQ67" s="383">
        <f>COUNTIF(AQ9:AQ56,1)</f>
        <v>14</v>
      </c>
      <c r="AR67" s="384"/>
      <c r="AS67" s="384"/>
      <c r="AT67" s="383">
        <f>COUNTIF(AT9:AT56,1)</f>
        <v>17</v>
      </c>
      <c r="AU67" s="383"/>
      <c r="AV67" s="383"/>
      <c r="AW67" s="383">
        <f>COUNTIF(AW9:AW56,1)</f>
        <v>17</v>
      </c>
      <c r="AX67" s="384"/>
      <c r="AY67" s="384"/>
      <c r="AZ67" s="383">
        <f>COUNTIF(AZ9:AZ62,3)</f>
        <v>3</v>
      </c>
      <c r="BA67" s="84"/>
      <c r="BB67" s="84"/>
      <c r="BC67" s="26">
        <f>COUNTIF(BC9:BC56,1)</f>
        <v>0</v>
      </c>
      <c r="BD67" s="26"/>
      <c r="BE67" s="26"/>
      <c r="BF67" s="26">
        <f>COUNTIF(BF9:BF56,1)</f>
        <v>0</v>
      </c>
      <c r="BG67" s="84"/>
      <c r="BH67" s="23"/>
      <c r="BI67" s="23"/>
      <c r="BJ67" s="23"/>
      <c r="BK67" s="23"/>
      <c r="BL67" s="23"/>
      <c r="BM67" s="29"/>
    </row>
    <row r="68" spans="1:65" ht="16.5" thickBot="1">
      <c r="A68" s="128"/>
      <c r="B68" s="29"/>
      <c r="C68" s="29"/>
      <c r="D68" s="128"/>
      <c r="E68" s="128"/>
      <c r="F68" s="128"/>
      <c r="G68" s="128"/>
      <c r="H68" s="23"/>
      <c r="I68" s="25"/>
      <c r="J68" s="128"/>
      <c r="K68" s="128"/>
      <c r="L68" s="128"/>
      <c r="P68" s="23"/>
      <c r="Q68" s="128"/>
      <c r="R68" s="29"/>
      <c r="S68" s="29"/>
      <c r="T68" s="29"/>
      <c r="U68" s="29"/>
      <c r="V68" s="23"/>
      <c r="W68" s="23"/>
      <c r="X68" s="23"/>
      <c r="Y68" s="447"/>
      <c r="Z68" s="14">
        <f>+P24</f>
        <v>0</v>
      </c>
      <c r="AA68" s="17">
        <f>IF(ISTEXT(Z68),AA67,0)</f>
        <v>0</v>
      </c>
      <c r="AB68" s="18">
        <f>IF(ISTEXT(Z68),AB67,0)</f>
        <v>0</v>
      </c>
      <c r="AC68" s="19">
        <f>IF(ISTEXT(Z68),AC67,0)</f>
        <v>0</v>
      </c>
      <c r="AD68" s="9"/>
      <c r="AE68" s="14">
        <f>+S24</f>
        <v>0</v>
      </c>
      <c r="AF68" s="17">
        <f>IF(ISTEXT(AE68),AF67,0)</f>
        <v>0</v>
      </c>
      <c r="AG68" s="59">
        <f>IF(ISTEXT(AE68),AG67,0)</f>
        <v>0</v>
      </c>
      <c r="AH68" s="19">
        <f>IF(ISTEXT(AE68),AH67,0)</f>
        <v>0</v>
      </c>
      <c r="AI68" s="9"/>
      <c r="AJ68" s="14">
        <f>+V24</f>
        <v>0</v>
      </c>
      <c r="AK68" s="17">
        <f>IF(ISTEXT(AJ68),AK67,0)</f>
        <v>0</v>
      </c>
      <c r="AL68" s="59">
        <f>IF(ISTEXT(AJ68),AL67,0)</f>
        <v>0</v>
      </c>
      <c r="AM68" s="19">
        <f>IF(ISTEXT(AJ68),AM67,0)</f>
        <v>0</v>
      </c>
      <c r="AN68" s="23"/>
      <c r="AO68" s="128"/>
      <c r="AP68" s="386" t="s">
        <v>44</v>
      </c>
      <c r="AQ68" s="383">
        <f>COUNTIF(AQ9:AQ56,2)</f>
        <v>6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8</v>
      </c>
      <c r="BA68" s="84"/>
      <c r="BB68" s="84"/>
      <c r="BC68" s="26">
        <f>COUNTIF(BC9:BC56,2)</f>
        <v>0</v>
      </c>
      <c r="BD68" s="235"/>
      <c r="BE68" s="235"/>
      <c r="BF68" s="26">
        <f>COUNTIF(BF9:BF56,2)</f>
        <v>0</v>
      </c>
      <c r="BG68" s="84"/>
      <c r="BH68" s="23"/>
      <c r="BI68" s="23"/>
      <c r="BJ68" s="23"/>
      <c r="BK68" s="23"/>
      <c r="BL68" s="23"/>
      <c r="BM68" s="29"/>
    </row>
    <row r="69" spans="1:65" ht="15.75">
      <c r="A69" s="128"/>
      <c r="B69" s="29"/>
      <c r="C69" s="29"/>
      <c r="D69" s="128"/>
      <c r="E69" s="128"/>
      <c r="F69" s="128"/>
      <c r="G69" s="128"/>
      <c r="H69" s="23"/>
      <c r="I69" s="25"/>
      <c r="J69" s="128"/>
      <c r="K69" s="128"/>
      <c r="L69" s="128"/>
      <c r="P69" s="23"/>
      <c r="Q69" s="128"/>
      <c r="R69" s="29"/>
      <c r="S69" s="29"/>
      <c r="T69" s="29"/>
      <c r="U69" s="29"/>
      <c r="V69" s="23"/>
      <c r="W69" s="23"/>
      <c r="X69" s="23"/>
      <c r="Y69" s="447"/>
      <c r="Z69" s="14">
        <f>+Q24</f>
        <v>0</v>
      </c>
      <c r="AA69" s="71">
        <f>IF(ISTEXT(Z69),AA67,0)</f>
        <v>0</v>
      </c>
      <c r="AB69" s="67">
        <f>IF(ISTEXT(Z69),AB67,0)</f>
        <v>0</v>
      </c>
      <c r="AC69" s="72">
        <f>IF(ISTEXT(Z69),AC67,0)</f>
        <v>0</v>
      </c>
      <c r="AD69" s="9"/>
      <c r="AE69" s="14">
        <f>+T24</f>
        <v>0</v>
      </c>
      <c r="AF69" s="71">
        <f>IF(ISTEXT(AE69),AF67,0)</f>
        <v>0</v>
      </c>
      <c r="AG69" s="64">
        <f>IF(ISTEXT(AE69),AG67,0)</f>
        <v>0</v>
      </c>
      <c r="AH69" s="72">
        <f>IF(ISTEXT(AE69),AH67,0)</f>
        <v>0</v>
      </c>
      <c r="AI69" s="9"/>
      <c r="AJ69" s="14">
        <f>+W24</f>
        <v>0</v>
      </c>
      <c r="AK69" s="71">
        <f>IF(ISTEXT(AJ69),AK67,0)</f>
        <v>0</v>
      </c>
      <c r="AL69" s="64">
        <f>IF(ISTEXT(AJ69),AL67,0)</f>
        <v>0</v>
      </c>
      <c r="AM69" s="72">
        <f>IF(ISTEXT(AJ69),AM67,0)</f>
        <v>0</v>
      </c>
      <c r="AN69" s="23"/>
      <c r="AO69" s="23"/>
      <c r="AP69" s="386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1</v>
      </c>
      <c r="BA69" s="84"/>
      <c r="BB69" s="84"/>
      <c r="BC69" s="26">
        <f>COUNTIF(BC9:BC56,3)</f>
        <v>0</v>
      </c>
      <c r="BD69" s="235"/>
      <c r="BE69" s="235"/>
      <c r="BF69" s="26">
        <f>COUNTIF(BF9:BF56,3)</f>
        <v>0</v>
      </c>
      <c r="BG69" s="84"/>
      <c r="BH69" s="23"/>
      <c r="BI69" s="23"/>
      <c r="BJ69" s="23"/>
      <c r="BK69" s="23"/>
      <c r="BL69" s="23"/>
      <c r="BM69" s="29"/>
    </row>
    <row r="70" spans="1:65" ht="15.75">
      <c r="A70" s="128"/>
      <c r="B70" s="29"/>
      <c r="C70" s="29"/>
      <c r="D70" s="128"/>
      <c r="E70" s="128"/>
      <c r="F70" s="128"/>
      <c r="G70" s="128"/>
      <c r="H70" s="23"/>
      <c r="I70" s="25"/>
      <c r="J70" s="128"/>
      <c r="K70" s="128"/>
      <c r="L70" s="128"/>
      <c r="P70" s="23"/>
      <c r="Q70" s="128"/>
      <c r="R70" s="29"/>
      <c r="S70" s="29"/>
      <c r="T70" s="29"/>
      <c r="U70" s="29"/>
      <c r="V70" s="23"/>
      <c r="W70" s="23"/>
      <c r="X70" s="23"/>
      <c r="Y70" s="447"/>
      <c r="Z70" s="32"/>
      <c r="AA70" s="21" t="s">
        <v>5</v>
      </c>
      <c r="AB70" s="21"/>
      <c r="AC70" s="22"/>
      <c r="AD70" s="1"/>
      <c r="AE70" s="32"/>
      <c r="AF70" s="21" t="s">
        <v>5</v>
      </c>
      <c r="AG70" s="21"/>
      <c r="AH70" s="22"/>
      <c r="AI70" s="1"/>
      <c r="AJ70" s="32"/>
      <c r="AK70" s="21" t="s">
        <v>5</v>
      </c>
      <c r="AL70" s="21"/>
      <c r="AM70" s="22"/>
      <c r="AN70" s="23"/>
      <c r="AO70" s="23"/>
      <c r="AP70" s="386" t="s">
        <v>45</v>
      </c>
      <c r="AQ70" s="383">
        <f>COUNTIF(AQ9:AQ56,3)</f>
        <v>14</v>
      </c>
      <c r="AR70" s="384"/>
      <c r="AS70" s="384"/>
      <c r="AT70" s="383">
        <f>COUNTIF(AT9:AT56,3)</f>
        <v>17</v>
      </c>
      <c r="AU70" s="384"/>
      <c r="AV70" s="384"/>
      <c r="AW70" s="383">
        <f>COUNTIF(AW9:AW56,3)</f>
        <v>17</v>
      </c>
      <c r="AX70" s="384"/>
      <c r="AY70" s="384"/>
      <c r="AZ70" s="383">
        <f>COUNTIF(AZ9:AZ62,7)</f>
        <v>16</v>
      </c>
      <c r="BA70" s="84"/>
      <c r="BB70" s="84"/>
      <c r="BC70" s="26">
        <f>COUNTIF(BC9:BC56,0)</f>
        <v>32</v>
      </c>
      <c r="BD70" s="235"/>
      <c r="BE70" s="235"/>
      <c r="BF70" s="26">
        <f>COUNTIF(BF9:BF56,0)</f>
        <v>0</v>
      </c>
      <c r="BG70" s="23"/>
      <c r="BH70" s="23"/>
      <c r="BI70" s="23"/>
      <c r="BJ70" s="23"/>
      <c r="BK70" s="23"/>
      <c r="BL70" s="23"/>
      <c r="BM70" s="29"/>
    </row>
    <row r="71" spans="1:65" ht="15.75">
      <c r="A71" s="128"/>
      <c r="B71" s="29"/>
      <c r="C71" s="29"/>
      <c r="D71" s="128"/>
      <c r="E71" s="128"/>
      <c r="F71" s="128"/>
      <c r="G71" s="128"/>
      <c r="H71" s="23"/>
      <c r="I71" s="25"/>
      <c r="J71" s="128"/>
      <c r="K71" s="128"/>
      <c r="L71" s="128"/>
      <c r="P71" s="23"/>
      <c r="Q71" s="128"/>
      <c r="R71" s="29"/>
      <c r="S71" s="29"/>
      <c r="T71" s="29"/>
      <c r="U71" s="29"/>
      <c r="V71" s="23"/>
      <c r="W71" s="23"/>
      <c r="X71" s="23"/>
      <c r="Y71" s="447"/>
      <c r="Z71" s="14">
        <f>+O25</f>
        <v>0</v>
      </c>
      <c r="AA71" s="35">
        <v>0</v>
      </c>
      <c r="AB71" s="30">
        <f>IF(AA67+AA71=0,0,IF(AA67=AA71,2,IF(AA67&lt;AA71,3,1)))</f>
        <v>0</v>
      </c>
      <c r="AC71" s="15">
        <f>AA71-AA67</f>
        <v>0</v>
      </c>
      <c r="AD71" s="9"/>
      <c r="AE71" s="14">
        <f>+R25</f>
        <v>0</v>
      </c>
      <c r="AF71" s="127">
        <v>0</v>
      </c>
      <c r="AG71" s="30">
        <f>IF(AF67+AF71=0,0,IF(AF67=AF71,2,IF(AF67&lt;AF71,3,1)))</f>
        <v>0</v>
      </c>
      <c r="AH71" s="15">
        <f>AF71-AF67</f>
        <v>0</v>
      </c>
      <c r="AI71" s="9"/>
      <c r="AJ71" s="14">
        <f>+U25</f>
        <v>0</v>
      </c>
      <c r="AK71" s="37">
        <v>0</v>
      </c>
      <c r="AL71" s="30">
        <f>IF(AK67+AK71=0,0,IF(AK67=AK71,2,IF(AK67&lt;AK71,3,1)))</f>
        <v>0</v>
      </c>
      <c r="AM71" s="15">
        <f>AK71-AK67</f>
        <v>0</v>
      </c>
      <c r="AN71" s="23"/>
      <c r="AO71" s="23"/>
      <c r="AP71" s="386" t="s">
        <v>46</v>
      </c>
      <c r="AQ71" s="383">
        <f>COUNTIF(AQ9:AQ56,0)</f>
        <v>0</v>
      </c>
      <c r="AR71" s="384"/>
      <c r="AS71" s="384"/>
      <c r="AT71" s="383">
        <f>COUNTIF(AT9:AT56,0)</f>
        <v>0</v>
      </c>
      <c r="AU71" s="384"/>
      <c r="AV71" s="384"/>
      <c r="AW71" s="383">
        <f>COUNTIF(AW9:AW56,0)</f>
        <v>0</v>
      </c>
      <c r="AX71" s="384"/>
      <c r="AY71" s="384"/>
      <c r="AZ71" s="383">
        <f>COUNTIF(AZ10:AZ63,9)</f>
        <v>1</v>
      </c>
      <c r="BA71" s="84"/>
      <c r="BB71" s="84"/>
      <c r="BC71" s="26">
        <f>COUNTIF(BC9:BC63,#N/A)</f>
        <v>0</v>
      </c>
      <c r="BD71" s="235"/>
      <c r="BE71" s="235"/>
      <c r="BF71" s="26">
        <f>COUNTIF(BF9:BF63,#N/A)</f>
        <v>0</v>
      </c>
      <c r="BG71" s="23"/>
      <c r="BH71" s="23"/>
      <c r="BI71" s="23"/>
      <c r="BJ71" s="23"/>
      <c r="BK71" s="23"/>
      <c r="BL71" s="23"/>
      <c r="BM71" s="29"/>
    </row>
    <row r="72" spans="1:65" ht="16.5" thickBot="1">
      <c r="A72" s="128"/>
      <c r="B72" s="29"/>
      <c r="C72" s="29"/>
      <c r="D72" s="128"/>
      <c r="E72" s="128"/>
      <c r="F72" s="128"/>
      <c r="G72" s="128"/>
      <c r="H72" s="23"/>
      <c r="I72" s="25"/>
      <c r="J72" s="128"/>
      <c r="K72" s="128"/>
      <c r="L72" s="128"/>
      <c r="P72" s="23"/>
      <c r="Q72" s="128"/>
      <c r="R72" s="29"/>
      <c r="S72" s="29"/>
      <c r="T72" s="29"/>
      <c r="U72" s="29"/>
      <c r="V72" s="23"/>
      <c r="W72" s="23"/>
      <c r="X72" s="23"/>
      <c r="Y72" s="447"/>
      <c r="Z72" s="14">
        <f>+P25</f>
        <v>0</v>
      </c>
      <c r="AA72" s="17">
        <f>IF(ISTEXT(Z72),AA71,0)</f>
        <v>0</v>
      </c>
      <c r="AB72" s="18">
        <f>IF(ISTEXT(Z72),AB71,0)</f>
        <v>0</v>
      </c>
      <c r="AC72" s="19">
        <f>IF(ISTEXT(Z72),AC71,0)</f>
        <v>0</v>
      </c>
      <c r="AD72" s="9"/>
      <c r="AE72" s="14">
        <f>+S25</f>
        <v>0</v>
      </c>
      <c r="AF72" s="17">
        <f>IF(ISTEXT(AE72),AF71,0)</f>
        <v>0</v>
      </c>
      <c r="AG72" s="18">
        <f>IF(ISTEXT(AE72),AG71,0)</f>
        <v>0</v>
      </c>
      <c r="AH72" s="19">
        <f>IF(ISTEXT(AE72),AH71,0)</f>
        <v>0</v>
      </c>
      <c r="AI72" s="9"/>
      <c r="AJ72" s="14">
        <f>+V25</f>
        <v>0</v>
      </c>
      <c r="AK72" s="17">
        <f>IF(ISTEXT(AJ72),AK71,0)</f>
        <v>0</v>
      </c>
      <c r="AL72" s="18">
        <f>IF(ISTEXT(AJ72),AL71,0)</f>
        <v>0</v>
      </c>
      <c r="AM72" s="19">
        <f>IF(ISTEXT(AJ72),AM71,0)</f>
        <v>0</v>
      </c>
      <c r="AN72" s="23"/>
      <c r="AO72" s="23"/>
      <c r="AP72" s="386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A72" s="84"/>
      <c r="BB72" s="84"/>
      <c r="BC72" s="26">
        <f>SUM(BC67:BC71)</f>
        <v>32</v>
      </c>
      <c r="BD72" s="26"/>
      <c r="BE72" s="26"/>
      <c r="BF72" s="26">
        <f>SUM(BF67:BF71)</f>
        <v>0</v>
      </c>
      <c r="BG72" s="23"/>
      <c r="BH72" s="23"/>
      <c r="BI72" s="23"/>
      <c r="BJ72" s="23"/>
      <c r="BK72" s="23"/>
      <c r="BL72" s="23"/>
      <c r="BM72" s="29"/>
    </row>
    <row r="73" spans="1:65" ht="16.5" thickBot="1">
      <c r="A73" s="128"/>
      <c r="B73" s="29"/>
      <c r="C73" s="29"/>
      <c r="D73" s="128"/>
      <c r="E73" s="128"/>
      <c r="F73" s="128"/>
      <c r="G73" s="128"/>
      <c r="H73" s="23"/>
      <c r="I73" s="25"/>
      <c r="J73" s="128"/>
      <c r="K73" s="128"/>
      <c r="L73" s="128"/>
      <c r="P73" s="23"/>
      <c r="Q73" s="128"/>
      <c r="R73" s="29"/>
      <c r="S73" s="29"/>
      <c r="T73" s="29"/>
      <c r="U73" s="29"/>
      <c r="V73" s="23"/>
      <c r="W73" s="23"/>
      <c r="X73" s="23"/>
      <c r="Y73" s="448"/>
      <c r="Z73" s="16">
        <f>+Q25</f>
        <v>0</v>
      </c>
      <c r="AA73" s="17">
        <f>IF(ISTEXT(Z73),AA71,0)</f>
        <v>0</v>
      </c>
      <c r="AB73" s="18">
        <f>IF(ISTEXT(Z73),AB71,0)</f>
        <v>0</v>
      </c>
      <c r="AC73" s="19">
        <f>IF(ISTEXT(Z73),AC71,0)</f>
        <v>0</v>
      </c>
      <c r="AD73" s="9"/>
      <c r="AE73" s="16">
        <f>+T25</f>
        <v>0</v>
      </c>
      <c r="AF73" s="17">
        <f>IF(ISTEXT(AE73),AF71,0)</f>
        <v>0</v>
      </c>
      <c r="AG73" s="18">
        <f>IF(ISTEXT(AE73),AG71,0)</f>
        <v>0</v>
      </c>
      <c r="AH73" s="19">
        <f>IF(ISTEXT(AE73),AH71,0)</f>
        <v>0</v>
      </c>
      <c r="AI73" s="9"/>
      <c r="AJ73" s="16">
        <f>+W25</f>
        <v>0</v>
      </c>
      <c r="AK73" s="17">
        <f>IF(ISTEXT(AJ73),AK71,0)</f>
        <v>0</v>
      </c>
      <c r="AL73" s="18">
        <f>IF(ISTEXT(AJ73),AL71,0)</f>
        <v>0</v>
      </c>
      <c r="AM73" s="19">
        <f>IF(ISTEXT(AJ73),AM71,0)</f>
        <v>0</v>
      </c>
      <c r="AN73" s="23"/>
      <c r="AO73" s="23"/>
      <c r="AP73" s="386"/>
      <c r="AQ73" s="383">
        <f>SUM(AQ67:AQ72)</f>
        <v>34</v>
      </c>
      <c r="AR73" s="383"/>
      <c r="AS73" s="383"/>
      <c r="AT73" s="383">
        <f>SUM(AT67:AT72)</f>
        <v>34</v>
      </c>
      <c r="AU73" s="383"/>
      <c r="AV73" s="383"/>
      <c r="AW73" s="383">
        <f>SUM(AW67:AW72)</f>
        <v>34</v>
      </c>
      <c r="AX73" s="384"/>
      <c r="AY73" s="384"/>
      <c r="AZ73" s="383">
        <f>SUM(AZ67:AZ72)</f>
        <v>29</v>
      </c>
      <c r="BA73" s="23"/>
      <c r="BB73" s="23"/>
      <c r="BC73" s="23"/>
      <c r="BD73" s="23"/>
      <c r="BE73" s="23"/>
      <c r="BF73" s="23"/>
      <c r="BG73" s="23"/>
      <c r="BH73" s="23"/>
      <c r="BI73" s="23"/>
      <c r="BJ73" s="29"/>
      <c r="BK73" s="29"/>
      <c r="BL73" s="29"/>
      <c r="BM73" s="29"/>
    </row>
    <row r="74" spans="1:65" ht="16.5" thickBot="1">
      <c r="A74" s="128"/>
      <c r="B74" s="29"/>
      <c r="C74" s="29"/>
      <c r="D74" s="128"/>
      <c r="E74" s="128"/>
      <c r="F74" s="128"/>
      <c r="G74" s="128"/>
      <c r="H74" s="23"/>
      <c r="I74" s="25"/>
      <c r="J74" s="128"/>
      <c r="K74" s="128"/>
      <c r="L74" s="128"/>
      <c r="P74" s="23"/>
      <c r="Q74" s="128"/>
      <c r="R74" s="29"/>
      <c r="S74" s="29"/>
      <c r="T74" s="29"/>
      <c r="U74" s="29"/>
      <c r="V74" s="23"/>
      <c r="W74" s="23"/>
      <c r="X74" s="23"/>
      <c r="Y74" s="128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23"/>
      <c r="AO74" s="23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23"/>
      <c r="BB74" s="23"/>
      <c r="BC74" s="23"/>
      <c r="BD74" s="23"/>
      <c r="BE74" s="23"/>
      <c r="BF74" s="23"/>
      <c r="BG74" s="23"/>
      <c r="BH74" s="23"/>
      <c r="BI74" s="23"/>
      <c r="BJ74" s="29"/>
      <c r="BK74" s="29"/>
      <c r="BL74" s="29"/>
      <c r="BM74" s="29"/>
    </row>
    <row r="75" spans="1:65" ht="15.75">
      <c r="A75" s="128"/>
      <c r="B75" s="29"/>
      <c r="C75" s="29"/>
      <c r="D75" s="128"/>
      <c r="E75" s="128"/>
      <c r="F75" s="128"/>
      <c r="G75" s="128"/>
      <c r="H75" s="23"/>
      <c r="I75" s="25"/>
      <c r="J75" s="128"/>
      <c r="K75" s="128"/>
      <c r="L75" s="128"/>
      <c r="P75" s="23"/>
      <c r="Q75" s="128"/>
      <c r="R75" s="29"/>
      <c r="S75" s="29"/>
      <c r="T75" s="29"/>
      <c r="U75" s="29"/>
      <c r="V75" s="23"/>
      <c r="W75" s="23"/>
      <c r="X75" s="23"/>
      <c r="Y75" s="446">
        <v>9</v>
      </c>
      <c r="Z75" s="12">
        <f>+O26</f>
        <v>0</v>
      </c>
      <c r="AA75" s="33">
        <v>0</v>
      </c>
      <c r="AB75" s="48">
        <f>IF(AA75+AA79=0,0,IF(AA75=AA79,2,IF(AA75&gt;AA79,3,1)))</f>
        <v>0</v>
      </c>
      <c r="AC75" s="13">
        <f>AA75-AA79</f>
        <v>0</v>
      </c>
      <c r="AD75" s="9"/>
      <c r="AE75" s="12">
        <f>+R26</f>
        <v>0</v>
      </c>
      <c r="AF75" s="126">
        <v>0</v>
      </c>
      <c r="AG75" s="48">
        <f>IF(AF75+AF79=0,0,IF(AF75=AF79,2,IF(AF75&gt;AF79,3,1)))</f>
        <v>0</v>
      </c>
      <c r="AH75" s="13">
        <f>AF75-AF79</f>
        <v>0</v>
      </c>
      <c r="AI75" s="9"/>
      <c r="AJ75" s="12">
        <f>+U26</f>
        <v>0</v>
      </c>
      <c r="AK75" s="36">
        <v>0</v>
      </c>
      <c r="AL75" s="48">
        <f>IF(AK75+AK79=0,0,IF(AK75=AK79,2,IF(AK75&gt;AK79,3,1)))</f>
        <v>0</v>
      </c>
      <c r="AM75" s="13">
        <f>AK75-AK79</f>
        <v>0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9"/>
      <c r="BK75" s="29"/>
      <c r="BL75" s="29"/>
      <c r="BM75" s="29"/>
    </row>
    <row r="76" spans="1:65" ht="16.5" thickBot="1">
      <c r="A76" s="128"/>
      <c r="B76" s="29"/>
      <c r="C76" s="29"/>
      <c r="D76" s="128"/>
      <c r="E76" s="128"/>
      <c r="F76" s="128"/>
      <c r="G76" s="128"/>
      <c r="H76" s="23"/>
      <c r="I76" s="25"/>
      <c r="J76" s="128"/>
      <c r="K76" s="128"/>
      <c r="L76" s="128"/>
      <c r="P76" s="23"/>
      <c r="Q76" s="128"/>
      <c r="R76" s="29"/>
      <c r="S76" s="29"/>
      <c r="T76" s="29"/>
      <c r="U76" s="29"/>
      <c r="V76" s="23"/>
      <c r="W76" s="23"/>
      <c r="X76" s="23"/>
      <c r="Y76" s="447"/>
      <c r="Z76" s="14">
        <f>+P26</f>
        <v>0</v>
      </c>
      <c r="AA76" s="17">
        <f>IF(ISTEXT(Z76),AA75,0)</f>
        <v>0</v>
      </c>
      <c r="AB76" s="18">
        <f>IF(ISTEXT(Z76),AB75,0)</f>
        <v>0</v>
      </c>
      <c r="AC76" s="19">
        <f>IF(ISTEXT(Z76),AC75,0)</f>
        <v>0</v>
      </c>
      <c r="AD76" s="9"/>
      <c r="AE76" s="14">
        <f>+S26</f>
        <v>0</v>
      </c>
      <c r="AF76" s="17">
        <f>IF(ISTEXT(AE76),AF75,0)</f>
        <v>0</v>
      </c>
      <c r="AG76" s="59">
        <f>IF(ISTEXT(AE76),AG75,0)</f>
        <v>0</v>
      </c>
      <c r="AH76" s="19">
        <f>IF(ISTEXT(AE76),AH75,0)</f>
        <v>0</v>
      </c>
      <c r="AI76" s="9"/>
      <c r="AJ76" s="14">
        <f>+V26</f>
        <v>0</v>
      </c>
      <c r="AK76" s="17">
        <f>IF(ISTEXT(AJ76),AK75,0)</f>
        <v>0</v>
      </c>
      <c r="AL76" s="59">
        <f>IF(ISTEXT(AJ76),AL75,0)</f>
        <v>0</v>
      </c>
      <c r="AM76" s="19">
        <f>IF(ISTEXT(AJ76),AM75,0)</f>
        <v>0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9"/>
      <c r="BK76" s="29"/>
      <c r="BL76" s="29"/>
      <c r="BM76" s="29"/>
    </row>
    <row r="77" spans="1:65" ht="15.75">
      <c r="A77" s="128"/>
      <c r="B77" s="29"/>
      <c r="C77" s="29"/>
      <c r="D77" s="128"/>
      <c r="E77" s="128"/>
      <c r="F77" s="128"/>
      <c r="G77" s="128"/>
      <c r="H77" s="23"/>
      <c r="I77" s="25"/>
      <c r="J77" s="128"/>
      <c r="K77" s="128"/>
      <c r="L77" s="128"/>
      <c r="P77" s="23"/>
      <c r="Q77" s="128"/>
      <c r="R77" s="29"/>
      <c r="S77" s="29"/>
      <c r="T77" s="29"/>
      <c r="U77" s="29"/>
      <c r="V77" s="23"/>
      <c r="W77" s="23"/>
      <c r="X77" s="23"/>
      <c r="Y77" s="447"/>
      <c r="Z77" s="14">
        <f>+Q26</f>
        <v>0</v>
      </c>
      <c r="AA77" s="71">
        <f>IF(ISTEXT(Z77),AA75,0)</f>
        <v>0</v>
      </c>
      <c r="AB77" s="67">
        <f>IF(ISTEXT(Z77),AB75,0)</f>
        <v>0</v>
      </c>
      <c r="AC77" s="72">
        <f>IF(ISTEXT(Z77),AC75,0)</f>
        <v>0</v>
      </c>
      <c r="AD77" s="9"/>
      <c r="AE77" s="14">
        <f>+T26</f>
        <v>0</v>
      </c>
      <c r="AF77" s="71">
        <f>IF(ISTEXT(AE77),AF75,0)</f>
        <v>0</v>
      </c>
      <c r="AG77" s="64">
        <f>IF(ISTEXT(AE77),AG75,0)</f>
        <v>0</v>
      </c>
      <c r="AH77" s="72">
        <f>IF(ISTEXT(AE77),AH75,0)</f>
        <v>0</v>
      </c>
      <c r="AI77" s="9"/>
      <c r="AJ77" s="14">
        <f>+W26</f>
        <v>0</v>
      </c>
      <c r="AK77" s="71">
        <f>IF(ISTEXT(AJ77),AK75,0)</f>
        <v>0</v>
      </c>
      <c r="AL77" s="64">
        <f>IF(ISTEXT(AJ77),AL75,0)</f>
        <v>0</v>
      </c>
      <c r="AM77" s="72">
        <f>IF(ISTEXT(AJ77),AM75,0)</f>
        <v>0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9"/>
      <c r="BK77" s="29"/>
      <c r="BL77" s="29"/>
      <c r="BM77" s="29"/>
    </row>
    <row r="78" spans="1:65" ht="15.75">
      <c r="A78" s="128"/>
      <c r="B78" s="29"/>
      <c r="C78" s="29"/>
      <c r="D78" s="128"/>
      <c r="E78" s="128"/>
      <c r="F78" s="128"/>
      <c r="G78" s="128"/>
      <c r="H78" s="23"/>
      <c r="I78" s="25"/>
      <c r="J78" s="128"/>
      <c r="K78" s="128"/>
      <c r="L78" s="128"/>
      <c r="P78" s="23"/>
      <c r="Q78" s="128"/>
      <c r="R78" s="29"/>
      <c r="S78" s="29"/>
      <c r="T78" s="29"/>
      <c r="U78" s="29"/>
      <c r="V78" s="23"/>
      <c r="W78" s="23"/>
      <c r="X78" s="23"/>
      <c r="Y78" s="447"/>
      <c r="Z78" s="32"/>
      <c r="AA78" s="21" t="s">
        <v>5</v>
      </c>
      <c r="AB78" s="21"/>
      <c r="AC78" s="22"/>
      <c r="AD78" s="1"/>
      <c r="AE78" s="32"/>
      <c r="AF78" s="21" t="s">
        <v>5</v>
      </c>
      <c r="AG78" s="21"/>
      <c r="AH78" s="22"/>
      <c r="AI78" s="1"/>
      <c r="AJ78" s="32"/>
      <c r="AK78" s="21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9"/>
      <c r="BK78" s="29"/>
      <c r="BL78" s="29"/>
      <c r="BM78" s="29"/>
    </row>
    <row r="79" spans="1:65" ht="15.75">
      <c r="A79" s="128"/>
      <c r="B79" s="29"/>
      <c r="C79" s="29"/>
      <c r="D79" s="128"/>
      <c r="E79" s="128"/>
      <c r="F79" s="128"/>
      <c r="G79" s="128"/>
      <c r="H79" s="23"/>
      <c r="I79" s="25"/>
      <c r="J79" s="128"/>
      <c r="K79" s="128"/>
      <c r="L79" s="128"/>
      <c r="P79" s="23"/>
      <c r="Q79" s="128"/>
      <c r="R79" s="29"/>
      <c r="S79" s="29"/>
      <c r="T79" s="29"/>
      <c r="U79" s="29"/>
      <c r="V79" s="23"/>
      <c r="W79" s="23"/>
      <c r="X79" s="23"/>
      <c r="Y79" s="447"/>
      <c r="Z79" s="14">
        <f>+O27</f>
        <v>0</v>
      </c>
      <c r="AA79" s="35">
        <v>0</v>
      </c>
      <c r="AB79" s="30">
        <f>IF(AA75+AA79=0,0,IF(AA75=AA79,2,IF(AA75&lt;AA79,3,1)))</f>
        <v>0</v>
      </c>
      <c r="AC79" s="15">
        <f>AA79-AA75</f>
        <v>0</v>
      </c>
      <c r="AD79" s="9"/>
      <c r="AE79" s="14">
        <f>+R27</f>
        <v>0</v>
      </c>
      <c r="AF79" s="127">
        <v>0</v>
      </c>
      <c r="AG79" s="30">
        <f>IF(AF75+AF79=0,0,IF(AF75=AF79,2,IF(AF75&lt;AF79,3,1)))</f>
        <v>0</v>
      </c>
      <c r="AH79" s="15">
        <f>AF79-AF75</f>
        <v>0</v>
      </c>
      <c r="AI79" s="9"/>
      <c r="AJ79" s="14">
        <f>+U27</f>
        <v>0</v>
      </c>
      <c r="AK79" s="37">
        <v>0</v>
      </c>
      <c r="AL79" s="30">
        <f>IF(AK75+AK79=0,0,IF(AK75=AK79,2,IF(AK75&lt;AK79,3,1)))</f>
        <v>0</v>
      </c>
      <c r="AM79" s="15">
        <f>AK79-AK75</f>
        <v>0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9"/>
      <c r="BK79" s="29"/>
      <c r="BL79" s="29"/>
      <c r="BM79" s="29"/>
    </row>
    <row r="80" spans="1:65" ht="16.5" thickBot="1">
      <c r="A80" s="128"/>
      <c r="B80" s="29"/>
      <c r="C80" s="29"/>
      <c r="D80" s="128"/>
      <c r="E80" s="128"/>
      <c r="F80" s="128"/>
      <c r="G80" s="128"/>
      <c r="H80" s="23"/>
      <c r="I80" s="25"/>
      <c r="J80" s="128"/>
      <c r="K80" s="128"/>
      <c r="L80" s="128"/>
      <c r="P80" s="23"/>
      <c r="Q80" s="128"/>
      <c r="R80" s="29"/>
      <c r="S80" s="29"/>
      <c r="T80" s="29"/>
      <c r="U80" s="29"/>
      <c r="V80" s="23"/>
      <c r="W80" s="23"/>
      <c r="X80" s="23"/>
      <c r="Y80" s="447"/>
      <c r="Z80" s="14">
        <f>+P27</f>
        <v>0</v>
      </c>
      <c r="AA80" s="17">
        <f>IF(ISTEXT(Z80),AA79,0)</f>
        <v>0</v>
      </c>
      <c r="AB80" s="18">
        <f>IF(ISTEXT(Z80),AB79,0)</f>
        <v>0</v>
      </c>
      <c r="AC80" s="19">
        <f>IF(ISTEXT(Z80),AC79,0)</f>
        <v>0</v>
      </c>
      <c r="AD80" s="9"/>
      <c r="AE80" s="14">
        <f>+S27</f>
        <v>0</v>
      </c>
      <c r="AF80" s="17">
        <f>IF(ISTEXT(AE80),AF79,0)</f>
        <v>0</v>
      </c>
      <c r="AG80" s="18">
        <f>IF(ISTEXT(AE80),AG79,0)</f>
        <v>0</v>
      </c>
      <c r="AH80" s="19">
        <f>IF(ISTEXT(AE80),AH79,0)</f>
        <v>0</v>
      </c>
      <c r="AI80" s="9"/>
      <c r="AJ80" s="14">
        <f>+V27</f>
        <v>0</v>
      </c>
      <c r="AK80" s="17">
        <f>IF(ISTEXT(AJ80),AK79,0)</f>
        <v>0</v>
      </c>
      <c r="AL80" s="18">
        <f>IF(ISTEXT(AJ80),AL79,0)</f>
        <v>0</v>
      </c>
      <c r="AM80" s="19">
        <f>IF(ISTEXT(AJ80),AM79,0)</f>
        <v>0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9"/>
      <c r="BK80" s="29"/>
      <c r="BL80" s="29"/>
      <c r="BM80" s="29"/>
    </row>
    <row r="81" spans="1:65" ht="16.5" thickBot="1">
      <c r="A81" s="128"/>
      <c r="B81" s="29"/>
      <c r="C81" s="29"/>
      <c r="D81" s="128"/>
      <c r="E81" s="128"/>
      <c r="F81" s="128"/>
      <c r="G81" s="128"/>
      <c r="H81" s="23"/>
      <c r="I81" s="25"/>
      <c r="J81" s="128"/>
      <c r="K81" s="128"/>
      <c r="L81" s="128"/>
      <c r="P81" s="23"/>
      <c r="Q81" s="128"/>
      <c r="R81" s="29"/>
      <c r="S81" s="29"/>
      <c r="T81" s="29"/>
      <c r="U81" s="29"/>
      <c r="V81" s="23"/>
      <c r="W81" s="23"/>
      <c r="X81" s="23"/>
      <c r="Y81" s="448"/>
      <c r="Z81" s="16">
        <f>+Q27</f>
        <v>0</v>
      </c>
      <c r="AA81" s="17">
        <f>IF(ISTEXT(Z81),AA79,0)</f>
        <v>0</v>
      </c>
      <c r="AB81" s="18">
        <f>IF(ISTEXT(Z81),AB79,0)</f>
        <v>0</v>
      </c>
      <c r="AC81" s="19">
        <f>IF(ISTEXT(Z81),AC79,0)</f>
        <v>0</v>
      </c>
      <c r="AD81" s="9"/>
      <c r="AE81" s="16">
        <f>+T27</f>
        <v>0</v>
      </c>
      <c r="AF81" s="17">
        <f>IF(ISTEXT(AE81),AF79,0)</f>
        <v>0</v>
      </c>
      <c r="AG81" s="18">
        <f>IF(ISTEXT(AE81),AG79,0)</f>
        <v>0</v>
      </c>
      <c r="AH81" s="19">
        <f>IF(ISTEXT(AE81),AH79,0)</f>
        <v>0</v>
      </c>
      <c r="AI81" s="9"/>
      <c r="AJ81" s="16">
        <f>+W27</f>
        <v>0</v>
      </c>
      <c r="AK81" s="17">
        <f>IF(ISTEXT(AJ81),AK79,0)</f>
        <v>0</v>
      </c>
      <c r="AL81" s="18">
        <f>IF(ISTEXT(AJ81),AL79,0)</f>
        <v>0</v>
      </c>
      <c r="AM81" s="19">
        <f>IF(ISTEXT(AJ81),AM79,0)</f>
        <v>0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9"/>
      <c r="BK81" s="29"/>
      <c r="BL81" s="29"/>
      <c r="BM81" s="29"/>
    </row>
    <row r="82" spans="1:65" ht="15.75">
      <c r="A82" s="128"/>
      <c r="B82" s="29"/>
      <c r="C82" s="29"/>
      <c r="D82" s="128"/>
      <c r="E82" s="128"/>
      <c r="F82" s="128"/>
      <c r="G82" s="128"/>
      <c r="H82" s="23"/>
      <c r="I82" s="25"/>
      <c r="J82" s="128"/>
      <c r="K82" s="128"/>
      <c r="L82" s="128"/>
      <c r="P82" s="23"/>
      <c r="Q82" s="128"/>
      <c r="R82" s="29"/>
      <c r="S82" s="29"/>
      <c r="T82" s="29"/>
      <c r="U82" s="29"/>
      <c r="V82" s="23"/>
      <c r="W82" s="23"/>
      <c r="X82" s="23"/>
      <c r="Y82" s="128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</row>
    <row r="83" spans="1:65" ht="15.75">
      <c r="A83" s="128"/>
      <c r="B83" s="29"/>
      <c r="C83" s="29"/>
      <c r="D83" s="128"/>
      <c r="E83" s="128"/>
      <c r="F83" s="128"/>
      <c r="G83" s="128"/>
      <c r="H83" s="23"/>
      <c r="I83" s="25"/>
      <c r="J83" s="128"/>
      <c r="K83" s="128"/>
      <c r="L83" s="128"/>
      <c r="P83" s="23"/>
      <c r="Q83" s="128"/>
      <c r="R83" s="29"/>
      <c r="S83" s="29"/>
      <c r="T83" s="29"/>
      <c r="U83" s="29"/>
      <c r="V83" s="23"/>
      <c r="W83" s="23"/>
      <c r="X83" s="23"/>
      <c r="Y83" s="128"/>
      <c r="Z83" s="8"/>
      <c r="AA83" s="8"/>
      <c r="AB83" s="79">
        <f t="array" ref="AB83">SUM(AB11:AB81)</f>
        <v>68</v>
      </c>
      <c r="AC83" s="79">
        <f t="array" ref="AC83">SUM(AC11:AC81)</f>
        <v>0</v>
      </c>
      <c r="AD83" s="23"/>
      <c r="AE83" s="23"/>
      <c r="AF83" s="23"/>
      <c r="AG83" s="79">
        <f t="array" ref="AG83">SUM(AG11:AG81)</f>
        <v>68</v>
      </c>
      <c r="AH83" s="79">
        <f t="array" ref="AH83">SUM(AH11:AH81)</f>
        <v>0</v>
      </c>
      <c r="AI83" s="23"/>
      <c r="AJ83" s="23"/>
      <c r="AK83" s="23"/>
      <c r="AL83" s="79">
        <f t="array" ref="AL83">SUM(AL11:AL81)</f>
        <v>68</v>
      </c>
      <c r="AM83" s="79">
        <f t="array" ref="AM83">SUM(AM11:AM81)</f>
        <v>0</v>
      </c>
      <c r="AN83" s="23"/>
      <c r="AO83" s="23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</row>
    <row r="84" spans="1:65" ht="15.75">
      <c r="A84" s="128"/>
      <c r="B84" s="29"/>
      <c r="C84" s="29"/>
      <c r="D84" s="128"/>
      <c r="E84" s="128"/>
      <c r="F84" s="128"/>
      <c r="G84" s="128"/>
      <c r="H84" s="23"/>
      <c r="I84" s="25"/>
      <c r="J84" s="128"/>
      <c r="K84" s="128"/>
      <c r="L84" s="128"/>
      <c r="P84" s="23"/>
      <c r="Q84" s="128"/>
      <c r="R84" s="29"/>
      <c r="S84" s="29"/>
      <c r="T84" s="29"/>
      <c r="U84" s="29"/>
      <c r="V84" s="23"/>
      <c r="W84" s="23"/>
      <c r="X84" s="23"/>
      <c r="Y84" s="128"/>
      <c r="Z84" s="8"/>
      <c r="AA84" s="8"/>
      <c r="AB84" s="8"/>
      <c r="AC84" s="79" t="str">
        <f>IF(AC83=0,"OK","ERREUR")</f>
        <v>OK</v>
      </c>
      <c r="AD84" s="23"/>
      <c r="AE84" s="23"/>
      <c r="AF84" s="23"/>
      <c r="AG84" s="8"/>
      <c r="AH84" s="79" t="str">
        <f>IF(AH83=0,"OK","ERREUR")</f>
        <v>OK</v>
      </c>
      <c r="AI84" s="23"/>
      <c r="AJ84" s="23"/>
      <c r="AK84" s="23"/>
      <c r="AL84" s="8"/>
      <c r="AM84" s="79" t="str">
        <f>IF(AM83=0,"OK","ERREUR")</f>
        <v>OK</v>
      </c>
      <c r="AN84" s="23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</row>
    <row r="85" spans="1:65" ht="15.75">
      <c r="A85" s="128"/>
      <c r="B85" s="29"/>
      <c r="C85" s="29"/>
      <c r="D85" s="128"/>
      <c r="E85" s="128"/>
      <c r="F85" s="128"/>
      <c r="G85" s="128"/>
      <c r="H85" s="23"/>
      <c r="I85" s="25"/>
      <c r="J85" s="128"/>
      <c r="K85" s="128"/>
      <c r="L85" s="128"/>
      <c r="P85" s="23"/>
      <c r="Q85" s="128"/>
      <c r="R85" s="29"/>
      <c r="S85" s="29"/>
      <c r="T85" s="29"/>
      <c r="U85" s="29"/>
      <c r="V85" s="23"/>
      <c r="W85" s="23"/>
      <c r="X85" s="23"/>
      <c r="Y85" s="12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</row>
    <row r="86" spans="1:65" ht="15.75">
      <c r="A86" s="128"/>
      <c r="B86" s="29"/>
      <c r="C86" s="29"/>
      <c r="D86" s="128"/>
      <c r="E86" s="128"/>
      <c r="F86" s="128"/>
      <c r="G86" s="128"/>
      <c r="H86" s="23"/>
      <c r="I86" s="25"/>
      <c r="J86" s="128"/>
      <c r="K86" s="128"/>
      <c r="L86" s="128"/>
      <c r="P86" s="23"/>
      <c r="Q86" s="128"/>
      <c r="R86" s="29"/>
      <c r="S86" s="29"/>
      <c r="T86" s="29"/>
      <c r="U86" s="29"/>
      <c r="V86" s="23"/>
      <c r="W86" s="23"/>
      <c r="X86" s="23"/>
      <c r="Y86" s="128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</row>
    <row r="87" spans="1:65" ht="15.75">
      <c r="A87" s="128"/>
      <c r="B87" s="29"/>
      <c r="C87" s="29"/>
      <c r="D87" s="128"/>
      <c r="E87" s="128"/>
      <c r="F87" s="128"/>
      <c r="G87" s="128"/>
      <c r="H87" s="23"/>
      <c r="I87" s="25"/>
      <c r="J87" s="128"/>
      <c r="K87" s="128"/>
      <c r="L87" s="128"/>
      <c r="P87" s="23"/>
      <c r="Q87" s="128"/>
      <c r="R87" s="29"/>
      <c r="S87" s="29"/>
      <c r="T87" s="29"/>
      <c r="U87" s="29"/>
      <c r="V87" s="23"/>
      <c r="W87" s="23"/>
      <c r="X87" s="23"/>
      <c r="AN87" s="29"/>
      <c r="AO87" s="29"/>
      <c r="BM87" s="29"/>
    </row>
    <row r="88" spans="1:65" ht="15.75">
      <c r="A88" s="128"/>
      <c r="B88" s="29"/>
      <c r="C88" s="29"/>
      <c r="D88" s="128"/>
      <c r="E88" s="128"/>
      <c r="F88" s="128"/>
      <c r="G88" s="128"/>
      <c r="H88" s="23"/>
      <c r="I88" s="25"/>
      <c r="J88" s="128"/>
      <c r="K88" s="128"/>
      <c r="L88" s="128"/>
      <c r="P88" s="23"/>
      <c r="Q88" s="128"/>
      <c r="R88" s="29"/>
      <c r="S88" s="29"/>
      <c r="T88" s="29"/>
      <c r="U88" s="29"/>
      <c r="V88" s="23"/>
      <c r="W88" s="23"/>
      <c r="X88" s="23"/>
      <c r="AN88" s="29"/>
      <c r="AO88" s="29"/>
      <c r="BM88" s="29"/>
    </row>
    <row r="89" spans="1:65" ht="15.75">
      <c r="A89" s="128"/>
      <c r="B89" s="29"/>
      <c r="C89" s="29"/>
      <c r="D89" s="128"/>
      <c r="E89" s="128"/>
      <c r="F89" s="128"/>
      <c r="G89" s="128"/>
      <c r="H89" s="23"/>
      <c r="I89" s="25"/>
      <c r="J89" s="128"/>
      <c r="K89" s="128"/>
      <c r="L89" s="128"/>
      <c r="P89" s="23"/>
      <c r="Q89" s="128"/>
      <c r="R89" s="29"/>
      <c r="S89" s="29"/>
      <c r="T89" s="29"/>
      <c r="U89" s="29"/>
      <c r="V89" s="23"/>
      <c r="W89" s="23"/>
      <c r="X89" s="23"/>
      <c r="AN89" s="29"/>
      <c r="BM89" s="29"/>
    </row>
  </sheetData>
  <sheetProtection sheet="1" objects="1" scenarios="1" formatCells="0" formatColumns="0" formatRows="0" insertColumns="0" insertRows="0" insertHyperlinks="0" deleteColumns="0" deleteRows="0" sort="0"/>
  <mergeCells count="34">
    <mergeCell ref="Y51:Y57"/>
    <mergeCell ref="Y59:Y65"/>
    <mergeCell ref="Y67:Y73"/>
    <mergeCell ref="Y75:Y81"/>
    <mergeCell ref="Y11:Y17"/>
    <mergeCell ref="Y19:Y25"/>
    <mergeCell ref="Y27:Y33"/>
    <mergeCell ref="Y35:Y41"/>
    <mergeCell ref="Y43:Y49"/>
    <mergeCell ref="D8:E8"/>
    <mergeCell ref="O8:W8"/>
    <mergeCell ref="R9:T9"/>
    <mergeCell ref="U9:W9"/>
    <mergeCell ref="Q3:S3"/>
    <mergeCell ref="Q5:Q6"/>
    <mergeCell ref="S5:S6"/>
    <mergeCell ref="T5:T6"/>
    <mergeCell ref="B5:D5"/>
    <mergeCell ref="B9:C9"/>
    <mergeCell ref="D9:E9"/>
    <mergeCell ref="F9:G9"/>
    <mergeCell ref="J9:L9"/>
    <mergeCell ref="O9:Q9"/>
    <mergeCell ref="B1:D1"/>
    <mergeCell ref="D7:E7"/>
    <mergeCell ref="N1:P1"/>
    <mergeCell ref="AZ7:BB7"/>
    <mergeCell ref="BH7:BL7"/>
    <mergeCell ref="Z7:AC7"/>
    <mergeCell ref="AE7:AH7"/>
    <mergeCell ref="AJ7:AM7"/>
    <mergeCell ref="AQ7:AS7"/>
    <mergeCell ref="AT7:AV7"/>
    <mergeCell ref="AW7:AY7"/>
  </mergeCells>
  <conditionalFormatting sqref="J10:L27">
    <cfRule type="duplicateValues" dxfId="79" priority="90"/>
  </conditionalFormatting>
  <conditionalFormatting sqref="O10:Q27">
    <cfRule type="cellIs" dxfId="78" priority="88" operator="equal">
      <formula>0</formula>
    </cfRule>
    <cfRule type="duplicateValues" dxfId="77" priority="89"/>
  </conditionalFormatting>
  <conditionalFormatting sqref="R10:T27">
    <cfRule type="cellIs" dxfId="76" priority="86" operator="equal">
      <formula>0</formula>
    </cfRule>
    <cfRule type="duplicateValues" dxfId="75" priority="87"/>
  </conditionalFormatting>
  <conditionalFormatting sqref="U10:W27">
    <cfRule type="cellIs" dxfId="74" priority="84" operator="equal">
      <formula>0</formula>
    </cfRule>
    <cfRule type="duplicateValues" dxfId="73" priority="85"/>
  </conditionalFormatting>
  <conditionalFormatting sqref="AC55:AC57 AH55:AH57 AM55:AM57 AC59:AC61 AH59:AH61 AM59:AM61 AC63:AC69 AH63:AH69 AM63:AM69 AC71:AC81 AH71:AH81 AM71:AM81 AC11:AC12 AH11:AH12 AM11:AM13 AC15:AC17 AH15:AH17 AM15:AM17 AC19:AC21 AH19:AH21 AM19:AM21 AC23:AC25 AH23:AH25 AM23:AM25 AC27:AC29 AH27:AH29 AM27:AM29 AC31:AC37 AH31:AH37 AM31:AM37 AC39:AC45 AH39:AH45 AM39:AM45 AC47:AC53 AH47:AH53 AM47:AM53 BC9:BD62">
    <cfRule type="cellIs" dxfId="72" priority="83" stopIfTrue="1" operator="lessThan">
      <formula>0</formula>
    </cfRule>
  </conditionalFormatting>
  <conditionalFormatting sqref="AM84 AH84 AC84">
    <cfRule type="colorScale" priority="82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AH83 AM83 AC83">
    <cfRule type="colorScale" priority="81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AM84">
    <cfRule type="containsText" dxfId="71" priority="79" operator="containsText" text="ERREUR">
      <formula>NOT(ISERROR(SEARCH("ERREUR",AM84)))</formula>
    </cfRule>
    <cfRule type="containsText" dxfId="70" priority="80" operator="containsText" text="OK">
      <formula>NOT(ISERROR(SEARCH("OK",AM84)))</formula>
    </cfRule>
  </conditionalFormatting>
  <conditionalFormatting sqref="AH84 AC84">
    <cfRule type="containsText" dxfId="69" priority="78" operator="containsText" text="OK">
      <formula>NOT(ISERROR(SEARCH("OK",AC84)))</formula>
    </cfRule>
  </conditionalFormatting>
  <conditionalFormatting sqref="BA62:BB62 AX62:AY62 AU62:AV62 AR62:AS62 BJ62:BK62 BA64:BB65 AX64:AY65 AU64:AV65 AR64:AS65 BJ64:BK65">
    <cfRule type="containsText" dxfId="68" priority="75" operator="containsText" text="ERREUR">
      <formula>NOT(ISERROR(SEARCH("ERREUR",AR62)))</formula>
    </cfRule>
    <cfRule type="containsText" dxfId="67" priority="76" operator="containsText" text="OK">
      <formula>NOT(ISERROR(SEARCH("OK",AR62)))</formula>
    </cfRule>
  </conditionalFormatting>
  <conditionalFormatting sqref="BL55:BL60">
    <cfRule type="duplicateValues" dxfId="66" priority="73"/>
  </conditionalFormatting>
  <conditionalFormatting sqref="E10:E27">
    <cfRule type="cellIs" dxfId="65" priority="71" operator="equal">
      <formula>0</formula>
    </cfRule>
    <cfRule type="cellIs" dxfId="64" priority="72" operator="equal">
      <formula>6.5</formula>
    </cfRule>
  </conditionalFormatting>
  <conditionalFormatting sqref="C10:C27 G10:G27">
    <cfRule type="cellIs" dxfId="63" priority="70" operator="equal">
      <formula>0</formula>
    </cfRule>
  </conditionalFormatting>
  <conditionalFormatting sqref="E10:E27">
    <cfRule type="top10" dxfId="62" priority="60" rank="1"/>
    <cfRule type="cellIs" dxfId="61" priority="61" operator="equal">
      <formula>0</formula>
    </cfRule>
  </conditionalFormatting>
  <conditionalFormatting sqref="BN9:BN18">
    <cfRule type="duplicateValues" dxfId="60" priority="58"/>
  </conditionalFormatting>
  <conditionalFormatting sqref="BA63:BB63 BJ63:BK63">
    <cfRule type="colorScale" priority="54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AM83 AH83 AC83">
    <cfRule type="colorScale" priority="42">
      <colorScale>
        <cfvo type="num" val="-10"/>
        <cfvo type="percentile" val="0"/>
        <cfvo type="num" val="10"/>
        <color rgb="FFFF66FF"/>
        <color rgb="FF00FF00"/>
        <color rgb="FFFF00FF"/>
      </colorScale>
    </cfRule>
  </conditionalFormatting>
  <conditionalFormatting sqref="O10:W27">
    <cfRule type="cellIs" dxfId="59" priority="38" operator="equal">
      <formula>0</formula>
    </cfRule>
  </conditionalFormatting>
  <conditionalFormatting sqref="AH83">
    <cfRule type="colorScale" priority="37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AM84 AH84 AC84 BA64 AX64 AU64 AR64 BJ64">
    <cfRule type="containsText" dxfId="58" priority="35" operator="containsText" text="ERREUR">
      <formula>NOT(ISERROR(SEARCH("ERREUR",AC64)))</formula>
    </cfRule>
    <cfRule type="containsText" dxfId="57" priority="36" operator="containsText" text="OK">
      <formula>NOT(ISERROR(SEARCH("OK",AC64)))</formula>
    </cfRule>
  </conditionalFormatting>
  <conditionalFormatting sqref="AM83 BA63 AR63 AU63 AX63 BJ63">
    <cfRule type="colorScale" priority="29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AC83">
    <cfRule type="colorScale" priority="27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28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L9:BL60">
    <cfRule type="duplicateValues" dxfId="56" priority="232"/>
  </conditionalFormatting>
  <conditionalFormatting sqref="BL55:BL62">
    <cfRule type="duplicateValues" dxfId="55" priority="307"/>
  </conditionalFormatting>
  <conditionalFormatting sqref="BL9:BL62">
    <cfRule type="duplicateValues" dxfId="54" priority="323"/>
  </conditionalFormatting>
  <conditionalFormatting sqref="BL62">
    <cfRule type="duplicateValues" dxfId="53" priority="2"/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9900"/>
  </sheetPr>
  <dimension ref="A1:BN89"/>
  <sheetViews>
    <sheetView topLeftCell="C1" zoomScale="70" zoomScaleNormal="70" workbookViewId="0">
      <selection activeCell="V4" sqref="V4"/>
    </sheetView>
  </sheetViews>
  <sheetFormatPr baseColWidth="10" defaultRowHeight="12.75"/>
  <cols>
    <col min="2" max="2" width="21.28515625" customWidth="1"/>
    <col min="3" max="3" width="5.5703125" customWidth="1"/>
    <col min="4" max="4" width="23.7109375" customWidth="1"/>
    <col min="5" max="5" width="4.85546875" customWidth="1"/>
    <col min="6" max="6" width="23.140625" customWidth="1"/>
    <col min="7" max="7" width="5.5703125" customWidth="1"/>
    <col min="8" max="8" width="6.140625" hidden="1" customWidth="1"/>
    <col min="9" max="12" width="11.42578125" hidden="1" customWidth="1"/>
    <col min="13" max="13" width="9.42578125" customWidth="1"/>
    <col min="15" max="15" width="21.28515625" customWidth="1"/>
    <col min="16" max="18" width="20.85546875" customWidth="1"/>
    <col min="19" max="19" width="21.42578125" customWidth="1"/>
    <col min="20" max="20" width="21.28515625" customWidth="1"/>
    <col min="21" max="21" width="21" customWidth="1"/>
    <col min="22" max="23" width="21.28515625" customWidth="1"/>
    <col min="24" max="24" width="4.42578125" customWidth="1"/>
    <col min="26" max="26" width="20.85546875" customWidth="1"/>
    <col min="27" max="27" width="8" customWidth="1"/>
    <col min="28" max="28" width="7.5703125" customWidth="1"/>
    <col min="29" max="29" width="7.28515625" customWidth="1"/>
    <col min="30" max="30" width="4.140625" customWidth="1"/>
    <col min="31" max="31" width="20.5703125" customWidth="1"/>
    <col min="32" max="32" width="8.42578125" customWidth="1"/>
    <col min="33" max="33" width="7" customWidth="1"/>
    <col min="34" max="34" width="5.5703125" customWidth="1"/>
    <col min="35" max="35" width="3.5703125" customWidth="1"/>
    <col min="36" max="36" width="21.28515625" customWidth="1"/>
    <col min="37" max="37" width="7.28515625" customWidth="1"/>
    <col min="38" max="38" width="7.140625" customWidth="1"/>
    <col min="39" max="39" width="7.7109375" customWidth="1"/>
    <col min="40" max="40" width="7" customWidth="1"/>
    <col min="41" max="41" width="11.42578125" customWidth="1"/>
    <col min="42" max="42" width="24.28515625" customWidth="1"/>
    <col min="43" max="43" width="7.5703125" customWidth="1"/>
    <col min="44" max="44" width="6.85546875" customWidth="1"/>
    <col min="45" max="45" width="7.85546875" customWidth="1"/>
    <col min="46" max="46" width="8" customWidth="1"/>
    <col min="47" max="47" width="7.28515625" customWidth="1"/>
    <col min="48" max="49" width="7.7109375" customWidth="1"/>
    <col min="50" max="50" width="7.42578125" customWidth="1"/>
    <col min="51" max="51" width="8" customWidth="1"/>
    <col min="52" max="54" width="11.42578125" customWidth="1"/>
    <col min="55" max="56" width="11.42578125" hidden="1" customWidth="1"/>
    <col min="57" max="57" width="16.140625" hidden="1" customWidth="1"/>
    <col min="58" max="58" width="13.42578125" hidden="1" customWidth="1"/>
    <col min="59" max="59" width="11.42578125" customWidth="1"/>
    <col min="60" max="60" width="22.42578125" customWidth="1"/>
    <col min="61" max="61" width="11" customWidth="1"/>
    <col min="62" max="62" width="9.5703125" customWidth="1"/>
    <col min="63" max="63" width="10" customWidth="1"/>
    <col min="64" max="64" width="10.140625" customWidth="1"/>
    <col min="65" max="65" width="7.5703125" customWidth="1"/>
    <col min="66" max="66" width="0" hidden="1" customWidth="1"/>
  </cols>
  <sheetData>
    <row r="1" spans="1:66" ht="27" thickBot="1">
      <c r="A1" s="128"/>
      <c r="B1" s="420" t="s">
        <v>36</v>
      </c>
      <c r="C1" s="420"/>
      <c r="D1" s="420"/>
      <c r="E1" s="132"/>
      <c r="F1" s="132"/>
      <c r="G1" s="132"/>
      <c r="H1" s="132"/>
      <c r="I1" s="132"/>
      <c r="J1" s="84"/>
      <c r="K1" s="84"/>
      <c r="L1" s="133" t="s">
        <v>37</v>
      </c>
      <c r="N1" s="443" t="s">
        <v>121</v>
      </c>
      <c r="O1" s="444"/>
      <c r="P1" s="445"/>
      <c r="R1" s="84"/>
      <c r="S1" s="84"/>
      <c r="T1" s="132"/>
      <c r="Y1" s="134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6" ht="18.75">
      <c r="A2" s="128"/>
      <c r="B2" s="29"/>
      <c r="C2" s="29"/>
      <c r="D2" s="80"/>
      <c r="E2" s="80"/>
      <c r="F2" s="128"/>
      <c r="G2" s="128"/>
      <c r="H2" s="23"/>
      <c r="I2" s="25"/>
      <c r="J2" s="128"/>
      <c r="K2" s="128"/>
      <c r="L2" s="128"/>
      <c r="P2" s="23"/>
      <c r="Q2" s="128"/>
      <c r="R2" s="29"/>
      <c r="S2" s="29"/>
      <c r="T2" s="29"/>
      <c r="U2" s="29"/>
      <c r="V2" s="128"/>
      <c r="W2" s="23"/>
      <c r="X2" s="23"/>
      <c r="Y2" s="43"/>
      <c r="Z2" s="23"/>
      <c r="AA2" s="45"/>
      <c r="AB2" s="45"/>
      <c r="AC2" s="45" t="s">
        <v>8</v>
      </c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374" t="s">
        <v>41</v>
      </c>
      <c r="BA2" s="23"/>
      <c r="BB2" s="23"/>
      <c r="BC2" s="23"/>
      <c r="BD2" s="23"/>
      <c r="BE2" s="23"/>
      <c r="BF2" s="23"/>
      <c r="BG2" s="23"/>
      <c r="BH2" s="23"/>
      <c r="BI2" s="23"/>
      <c r="BJ2" s="29"/>
      <c r="BK2" s="29"/>
      <c r="BL2" s="29"/>
      <c r="BM2" s="29"/>
    </row>
    <row r="3" spans="1:66" ht="23.25">
      <c r="A3" s="134"/>
      <c r="B3" s="277" t="s">
        <v>62</v>
      </c>
      <c r="C3" s="29"/>
      <c r="D3" s="276" t="s">
        <v>52</v>
      </c>
      <c r="E3" s="80"/>
      <c r="F3" s="128"/>
      <c r="G3" s="128"/>
      <c r="H3" s="23"/>
      <c r="I3" s="25"/>
      <c r="J3" s="128"/>
      <c r="K3" s="128"/>
      <c r="L3" s="128"/>
      <c r="P3" s="23"/>
      <c r="Q3" s="442" t="s">
        <v>38</v>
      </c>
      <c r="R3" s="442"/>
      <c r="S3" s="442"/>
      <c r="T3" s="29"/>
      <c r="U3" s="134"/>
      <c r="V3" s="134"/>
      <c r="W3" s="134"/>
      <c r="X3" s="134"/>
      <c r="Y3" s="128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9"/>
      <c r="BK3" s="29"/>
      <c r="BL3" s="29"/>
      <c r="BM3" s="29"/>
    </row>
    <row r="4" spans="1:66" ht="24" thickBot="1">
      <c r="A4" s="134"/>
      <c r="B4" s="134"/>
      <c r="C4" s="29"/>
      <c r="D4" s="80"/>
      <c r="E4" s="80"/>
      <c r="F4" s="128"/>
      <c r="G4" s="128"/>
      <c r="H4" s="23"/>
      <c r="I4" s="25"/>
      <c r="J4" s="128"/>
      <c r="K4" s="128"/>
      <c r="L4" s="128"/>
      <c r="P4" s="23"/>
      <c r="Q4" s="128"/>
      <c r="R4" s="156"/>
      <c r="S4" s="156"/>
      <c r="V4" s="134"/>
      <c r="W4" s="134"/>
      <c r="Y4" s="44" t="s">
        <v>22</v>
      </c>
      <c r="Z4" s="45"/>
      <c r="AA4" s="45"/>
      <c r="AB4" s="46"/>
      <c r="AC4" s="47"/>
      <c r="AD4" s="46"/>
      <c r="AE4" s="46"/>
      <c r="AF4" s="45"/>
      <c r="AG4" s="45"/>
      <c r="AH4" s="45"/>
      <c r="AI4" s="45"/>
      <c r="AJ4" s="45"/>
      <c r="AK4" s="45"/>
      <c r="AL4" s="45"/>
      <c r="AM4" s="45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9"/>
      <c r="BI4" s="29"/>
      <c r="BJ4" s="29"/>
      <c r="BK4" s="29"/>
      <c r="BL4" s="29"/>
      <c r="BM4" s="29"/>
    </row>
    <row r="5" spans="1:66" ht="26.25" thickBot="1">
      <c r="A5" s="135">
        <f>+Q5</f>
        <v>45</v>
      </c>
      <c r="B5" s="424" t="s">
        <v>120</v>
      </c>
      <c r="C5" s="425"/>
      <c r="D5" s="426"/>
      <c r="P5" s="84"/>
      <c r="Q5" s="451">
        <v>45</v>
      </c>
      <c r="R5" s="84"/>
      <c r="S5" s="479">
        <f>IF(Q5=8,2,IF($Q$5=9,2,IF($Q$5=10,2,IF($Q$5=11,2,IF($Q$5=12,2,IF($Q$5=13,3,IF(Q5=14,3,IF($Q$5=15,3,IF(Q5=16,3,IF($Q$5=17,3,IF(Q5=18,3,IF($Q$5=19,4,IF(Q5=20,4,IF($Q$5=21,4,IF(Q5=22,4,IF($Q$5=23,4,IF(Q5=24,4,IF($Q$5=25,5,IF(Q5=26,5,IF($Q$5=27,5,IF(Q5=28,5,IF($Q$5=29,5,IF(Q5=30,5,IF($Q$5=31,6,IF(Q5=32,6,IF($Q$5=33,6,IF($Q$5=34,6,IF($Q$5=35,6,IF($Q$5=36,6,IF($Q$5=37,7,IF($Q$5=38,7,IF($Q$5=39,7,IF($Q$5=40,7,IF($Q$5=41,7,IF($Q$5=42,7,IF($Q$5=43,8,IF($Q$5=44,8,IF($Q$5=45,8,IF($Q$5=46,8,IF($Q$5=47,8,IF($Q$5=48,8,IF($Q$5=49,9,IF($Q$5=50,9,IF($Q$5=51,9,IF($Q$5=52,9,IF($Q$5=53,9,IF($Q$5=54,9,0)))))))))))))))))))))))))))))))))))))))))))))))</f>
        <v>8</v>
      </c>
      <c r="T5" s="477" t="s">
        <v>39</v>
      </c>
      <c r="Y5" s="128"/>
      <c r="Z5" s="23"/>
      <c r="AA5" s="23"/>
      <c r="AB5" s="23"/>
      <c r="AC5" s="23"/>
      <c r="AD5" s="23"/>
      <c r="AE5" s="45" t="s">
        <v>23</v>
      </c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9"/>
      <c r="BI5" s="29"/>
      <c r="BJ5" s="29"/>
      <c r="BK5" s="29"/>
      <c r="BL5" s="29"/>
      <c r="BM5" s="29"/>
    </row>
    <row r="6" spans="1:66" ht="19.5" customHeight="1" thickBot="1">
      <c r="P6" s="84"/>
      <c r="Q6" s="452"/>
      <c r="R6" s="84"/>
      <c r="S6" s="480"/>
      <c r="T6" s="478"/>
      <c r="Y6" s="12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50"/>
      <c r="BI6" s="50"/>
      <c r="BJ6" s="50"/>
      <c r="BK6" s="50"/>
      <c r="BL6" s="50"/>
      <c r="BM6" s="50"/>
    </row>
    <row r="7" spans="1:66" ht="29.25" customHeight="1" thickTop="1" thickBot="1">
      <c r="D7" s="440" t="s">
        <v>60</v>
      </c>
      <c r="E7" s="441"/>
      <c r="P7" s="84"/>
      <c r="Q7" s="84"/>
      <c r="R7" s="84"/>
      <c r="S7" s="84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361" t="s">
        <v>0</v>
      </c>
      <c r="AQ7" s="421" t="s">
        <v>1</v>
      </c>
      <c r="AR7" s="422"/>
      <c r="AS7" s="423"/>
      <c r="AT7" s="465" t="s">
        <v>2</v>
      </c>
      <c r="AU7" s="466"/>
      <c r="AV7" s="476"/>
      <c r="AW7" s="470" t="s">
        <v>3</v>
      </c>
      <c r="AX7" s="471"/>
      <c r="AY7" s="472"/>
      <c r="AZ7" s="462" t="s">
        <v>7</v>
      </c>
      <c r="BA7" s="463"/>
      <c r="BB7" s="464"/>
      <c r="BC7" s="359"/>
      <c r="BD7" s="360"/>
      <c r="BE7" s="25"/>
      <c r="BF7" s="25"/>
      <c r="BG7" s="84"/>
      <c r="BH7" s="462" t="s">
        <v>21</v>
      </c>
      <c r="BI7" s="463"/>
      <c r="BJ7" s="463"/>
      <c r="BK7" s="463"/>
      <c r="BL7" s="464"/>
      <c r="BM7" s="84"/>
    </row>
    <row r="8" spans="1:66" ht="21.75" thickTop="1" thickBot="1">
      <c r="A8" s="193"/>
      <c r="D8" s="453" t="s">
        <v>61</v>
      </c>
      <c r="E8" s="454"/>
      <c r="G8" s="194"/>
      <c r="H8" s="195"/>
      <c r="I8" s="194"/>
      <c r="J8" s="194"/>
      <c r="K8" s="194"/>
      <c r="L8" s="194"/>
      <c r="M8" s="194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12" t="s">
        <v>10</v>
      </c>
      <c r="AR8" s="367" t="s">
        <v>11</v>
      </c>
      <c r="AS8" s="366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117" t="s">
        <v>15</v>
      </c>
      <c r="BG8" s="84"/>
      <c r="BH8" s="371" t="s">
        <v>6</v>
      </c>
      <c r="BI8" s="372" t="s">
        <v>16</v>
      </c>
      <c r="BJ8" s="373" t="s">
        <v>17</v>
      </c>
      <c r="BK8" s="122" t="s">
        <v>12</v>
      </c>
      <c r="BL8" s="270" t="s">
        <v>18</v>
      </c>
      <c r="BM8" s="194"/>
      <c r="BN8" s="261" t="s">
        <v>16</v>
      </c>
    </row>
    <row r="9" spans="1:66" ht="2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H9" s="23"/>
      <c r="I9" s="136"/>
      <c r="J9" s="459" t="s">
        <v>40</v>
      </c>
      <c r="K9" s="460"/>
      <c r="L9" s="461"/>
      <c r="M9" s="154"/>
      <c r="N9" s="81"/>
      <c r="O9" s="450" t="s">
        <v>1</v>
      </c>
      <c r="P9" s="450"/>
      <c r="Q9" s="450"/>
      <c r="R9" s="465" t="s">
        <v>2</v>
      </c>
      <c r="S9" s="466"/>
      <c r="T9" s="466"/>
      <c r="U9" s="470" t="s">
        <v>3</v>
      </c>
      <c r="V9" s="471"/>
      <c r="W9" s="472"/>
      <c r="X9" s="23"/>
      <c r="Y9" s="40" t="s">
        <v>30</v>
      </c>
      <c r="Z9" s="26" t="s">
        <v>4</v>
      </c>
      <c r="AA9" s="26" t="s">
        <v>12</v>
      </c>
      <c r="AB9" s="26" t="s">
        <v>10</v>
      </c>
      <c r="AC9" s="26" t="s">
        <v>11</v>
      </c>
      <c r="AD9" s="24"/>
      <c r="AE9" s="26" t="s">
        <v>4</v>
      </c>
      <c r="AF9" s="26" t="s">
        <v>12</v>
      </c>
      <c r="AG9" s="26" t="s">
        <v>10</v>
      </c>
      <c r="AH9" s="26" t="s">
        <v>11</v>
      </c>
      <c r="AI9" s="24"/>
      <c r="AJ9" s="26" t="s">
        <v>4</v>
      </c>
      <c r="AK9" s="26" t="s">
        <v>12</v>
      </c>
      <c r="AL9" s="26" t="s">
        <v>10</v>
      </c>
      <c r="AM9" s="26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3</v>
      </c>
      <c r="AR9" s="217">
        <f>IF(ISNA(VLOOKUP(AP9,$Z$11:$AC$81,4,0))," ",IF(VLOOKUP(AP9,$Z$11:$AC$81,4,0)=0,"0",VLOOKUP(AP9,$Z$11:$AC$81,4,0)))</f>
        <v>3</v>
      </c>
      <c r="AS9" s="94">
        <f>IF(ISNA(VLOOKUP(AP9,$Z$11:$AC$81,2,0))," ",IF(VLOOKUP(AP9,$Z$11:$AC$81,2,0)=0,"0",VLOOKUP(AP9,$Z$11:$AC$81,2,0)))</f>
        <v>9</v>
      </c>
      <c r="AT9" s="91">
        <f>IF(ISNA(VLOOKUP(AP9,$AE$11:$AH$81,3,0))," ",IF(VLOOKUP(AP9,$AE$11:$AH$81,3,0)=0,"0",VLOOKUP(AP9,$AE$11:$AH$81,3,0)))</f>
        <v>1</v>
      </c>
      <c r="AU9" s="38">
        <f>IF(ISNA(VLOOKUP(AP9,$AE$11:$AH$81,4,0))," ",IF(VLOOKUP(AP9,$AE$11:$AH$81,4,0)=0,"0",VLOOKUP(AP9,$AE$11:$AH$81,4,0)))</f>
        <v>-12</v>
      </c>
      <c r="AV9" s="288">
        <f>IF(ISNA(VLOOKUP(AP9,$AE$11:$AH$81,2,0))," ",IF(VLOOKUP(AP9,$AE$11:$AH$81,2,0)=0,"0",VLOOKUP(AP9,$AE$11:$AH$81,2,0)))</f>
        <v>1</v>
      </c>
      <c r="AW9" s="285">
        <f>IF(ISNA(VLOOKUP(AP9,$AJ$11:$AM$81,3,0))," ",IF(VLOOKUP(AP9,$AJ$11:$AM$81,3,0)=0,"0",VLOOKUP(AP9,$AJ$11:$AM$81,3,0)))</f>
        <v>3</v>
      </c>
      <c r="AX9" s="38">
        <f>IF(ISNA(VLOOKUP(AP9,$AJ$11:$AM$81,4,0))," ",IF(VLOOKUP(AP9,$AJ$11:$AM$81,4,0)=0,"0",VLOOKUP(AP9,$AJ$11:$AM$81,4,0)))</f>
        <v>8</v>
      </c>
      <c r="AY9" s="288">
        <f>IF(ISNA(VLOOKUP(AP9,$AJ$11:$AM$81,2,0))," ",IF(VLOOKUP(AP9,$AJ$11:$AM$81,2,0)=0,"0",VLOOKUP(AP9,$AJ$11:$AM$81,2,0)))</f>
        <v>9</v>
      </c>
      <c r="AZ9" s="285">
        <f>SUMIFS(AQ9:AW9,$AQ$8:$AW$8,"Pts",AQ9:AW9,"&lt;&gt;#N/A")</f>
        <v>7</v>
      </c>
      <c r="BA9" s="38">
        <f>SUMIFS(AQ9:AX9,$AQ$8:$AX$8,"GA",AQ9:AX9,"&lt;&gt;#N/A")</f>
        <v>-1</v>
      </c>
      <c r="BB9" s="288">
        <f>SUMIFS(AQ9:AY9,$AQ$8:$AY$8,"Score",AQ9:AY9,"&lt;&gt;#N/A")</f>
        <v>19</v>
      </c>
      <c r="BC9" s="91">
        <f>IF(BA9="","",IF(BA9&lt;0,BA9,0))</f>
        <v>-1</v>
      </c>
      <c r="BD9" s="288">
        <f>IF(BA9="","",IF(BA9&gt;0,BA9,0))</f>
        <v>0</v>
      </c>
      <c r="BE9" s="363">
        <f>IF(OR(AP9="",AZ9="",BA9="",BB9=""),"",RANK(AZ9,$AZ$9:$AZ$62)+SUM(-BA9/100)-(+BB9/10000)+COUNTIF(AP$9:AP$62,"&lt;="&amp;AP9+1)/1000000+ROW()/100000000)</f>
        <v>7.0081000900000001</v>
      </c>
      <c r="BF9" s="99">
        <f>IF(AP9="","",SMALL(BE$9:BE$62,ROWS(AZ$9:AZ9)))</f>
        <v>0.78690016000000007</v>
      </c>
      <c r="BG9" s="88"/>
      <c r="BH9" s="369" t="str">
        <f>IF(OR(AP9="",AZ9=""),"",INDEX($AP$9:$AP$63,MATCH(BF9,$BE$9:BE$62,0)))</f>
        <v>A8</v>
      </c>
      <c r="BI9" s="370">
        <f t="shared" ref="BI9:BI40" si="0">IF(AP9="","",INDEX($AZ$9:$AZ$63,MATCH(BF9,$BE$9:$BE$62,0)))</f>
        <v>9</v>
      </c>
      <c r="BJ9" s="98">
        <f t="shared" ref="BJ9:BJ40" si="1">IF(AP9="","",INDEX($BA$9:$BA$63,MATCH(BF9,$BE$9:$BE$62,0)))</f>
        <v>21</v>
      </c>
      <c r="BK9" s="98">
        <f t="shared" ref="BK9:BK40" si="2">IF(AP9="","",INDEX($BB$9:$BB$63,MATCH(BF9,$BE$9:$BE$62,0)))</f>
        <v>31</v>
      </c>
      <c r="BL9" s="278">
        <f>IF(BF9="","",1)</f>
        <v>1</v>
      </c>
      <c r="BM9" s="29"/>
      <c r="BN9" s="40"/>
    </row>
    <row r="10" spans="1:66" ht="21" thickBot="1">
      <c r="A10" s="130">
        <v>1</v>
      </c>
      <c r="B10" s="392" t="s">
        <v>66</v>
      </c>
      <c r="C10" s="271">
        <f>IF($Q$5&gt;7,1,0)</f>
        <v>1</v>
      </c>
      <c r="D10" s="400" t="s">
        <v>84</v>
      </c>
      <c r="E10" s="271">
        <f>IF($Q$5&gt;7,1,0)</f>
        <v>1</v>
      </c>
      <c r="F10" s="399" t="s">
        <v>102</v>
      </c>
      <c r="G10" s="271">
        <f>IF($Q$5&gt;7,1,0)</f>
        <v>1</v>
      </c>
      <c r="H10" s="23"/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M10" s="155"/>
      <c r="N10" s="82">
        <v>1</v>
      </c>
      <c r="O10" s="138" t="str">
        <f>IF($Q$5&lt;55&gt;7,J10,0)</f>
        <v>A1</v>
      </c>
      <c r="P10" s="139" t="str">
        <f>IF($Q$5&gt;=8,K10,0)</f>
        <v>B1</v>
      </c>
      <c r="Q10" s="140" t="str">
        <f>IF($Q$5&gt;9,L10,IF($Q$5=9,L10,0))</f>
        <v>C1</v>
      </c>
      <c r="R10" s="178" t="str">
        <f>IF($Q$5=8,K12,IF($Q$5=9,O13,IF($Q$5=10,J12,IF($Q$5=11,J10,IF($Q$5=12,J10,IF($Q$5=13,J11,IF($Q$5=14,J11,IF($Q$5=15,J11,IF($Q$5=16,J11,IF($Q$5=17,J10,IF($Q$5=18,J10,IF($Q$5=19,J11,IF($Q$5=20,J10,IF($Q$5=21,J10,IF($Q$5=22,J11,IF($Q$5=23,J11,IF($Q$5=24,J11,IF($Q$5=25,J11,IF($Q$5=26,J11,IF($Q$5=27,J11,IF($Q$5=28,J11,IF($Q$5=29,J11,IF($Q$5=30,J11,IF($Q$5=31,J11,IF($Q$5=32,J11,IF($Q$5=33,J11,IF($Q$5=34,J11,IF($Q$5=35,J11,IF($Q$5=36,J11,IF($Q$5=37,J11,IF($Q$5=38,J11,IF($Q$5=39,J11,IF($Q$5=40,J11,IF($Q$5=41,J11,IF($Q$5=42,J11,IF($Q$5=43,J11,IF($Q$5=44,J11,IF($Q$5=45,J11,IF($Q$5=46,J11,IF($Q$5=47,J11,IF($Q$5=48,J11,IF($Q$5=49,J11,IF($Q$5=50,J11,IF($Q$5=51,J11,IF($Q$5=52,J11,IF($Q$5=53,J11,IF($Q$5=54,J11,0)))))))))))))))))))))))))))))))))))))))))))))))</f>
        <v>A2</v>
      </c>
      <c r="S10" s="157" t="str">
        <f>IF($Q$5=8,L11,IF($Q$5=9,L11,IF($Q$5=10,K10,IF($Q$5=11,K13,IF($Q$5=12,K13,IF($Q$5=13,L10,IF($Q$5=14,K12,IF($Q$5=15,K13,IF($Q$5=16,K12,IF($Q$5=17,K13,IF($Q$5=18,K13,IF($Q$5=19,K13,IF($Q$5=20,P17,IF($Q$5=21,K13,IF($Q$5=22,K13,IF($Q$5=23,K13,IF($Q$5=24,K16,IF($Q$5=25,K13,IF($Q$5=26,K16,IF($Q$5=27,K13,IF($Q$5=28,K13,IF($Q$5=29,K13,IF($Q$5=30,K13,IF($Q$5=31,K13,IF($Q$5=32,K13,IF($Q$5=33,K13,IF($Q$5=34,K13,IF($Q$5=35,K13,IF($Q$5=36,K12,IF($Q$5=37,K12,IF($Q$5=38,K12,IF($Q$5=39,K12,IF($Q$5=40,K12,IF($Q$5=41,K12,IF($Q$5=42,K12,IF($Q$5=43,K12,IF($Q$5=44,K12,IF($Q$5=45,K12,IF($Q$5=46,K12,IF($Q$5=47,K12,IF($Q$5=48,K12,IF($Q$5=49,K12,IF($Q$5=50,K12,IF($Q$5=51,K12,IF($Q$5=52,K12,IF($Q$5=53,K12,IF($Q$5=54,K12,0)))))))))))))))))))))))))))))))))))))))))))))))</f>
        <v>B3</v>
      </c>
      <c r="T10" s="179" t="str">
        <f>IF($Q$5=9,P13,IF($Q$5=10,L12,IF($Q$5=11,L11,IF($Q$5=12,L12,IF($Q$5=13,P15,IF($Q$5=14,P15,IF($Q$5=15,P14,IF($Q$5=16,L13,IF($Q$5=17,L12,IF($Q$5=18,L12,IF($Q$5=19,P17,IF($Q$5=20,L12,IF($Q$5=21,P10,IF($Q$5=22,L12,IF($Q$5=23,L12,IF($Q$5=24,L12,IF($Q$5=25,L12,IF($Q$5=26,L12,IF($Q$5=27,L12,IF($Q$5=28,L12,IF($Q$5=29,L12,IF($Q$5=30,L12,IF($Q$5=31,L12,IF($Q$5=32,L12,IF($Q$5=33,L12,IF($Q$5=34,L12,IF($Q$5=35,L12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)))))))</f>
        <v>C4</v>
      </c>
      <c r="U10" s="191" t="str">
        <f>IF($Q$5=8,J11,IF($Q$5=9,R11,IF($Q$5=10,J13,IF($Q$5=11,J13,IF($Q$5=12,J10,IF($Q$5=13,R12,IF($Q$5=14,R11,IF($Q$5=15,R11,IF($Q$5=16,R15,IF($Q$5=17,R10,IF(Q$5=18,R10,IF($Q$5=19,R13,IF($Q$5=20,R10,IF($Q$5=21,O10,IF($Q$5=22,R17,IF($Q$5=23,R11,IF($Q$5=24,R17,IF($Q$5=25,R19,IF($Q$5=26,R19,IF($Q$5=27,R18,IF($Q$5=28,R19,IF($Q$5=29,R19,IF($Q$5=30,R19,IF($Q$5=31,R20,IF($Q$5=32,R21,IF($Q$5=33,O10,IF($Q$5=34,O10,IF($Q$5=35,R21,IF($Q$5=36,O12,IF($Q$5=37,R11,IF($Q$5=38,R11,IF($Q$5=39,R11,IF($Q$5=40,R11,IF($Q$5=41,R11,IF($Q$5=42,R11,IF($Q$5=43,R11,IF($Q$5=44,R11,IF($Q$5=45,R11,IF($Q$5=46,R11,IF($Q$5=47,R11,IF($Q$5=48,R11,IF($Q$5=49,R11,IF($Q$5=50,R11,IF($Q$5=51,R11,IF($Q$5=52,R11,IF($Q$5=53,R11,IF($Q$5=54,R11,0)))))))))))))))))))))))))))))))))))))))))))))))</f>
        <v>A3</v>
      </c>
      <c r="V10" s="157" t="str">
        <f>IF($Q$5=8,L10,IF($Q$5=9,T10,IF($Q$5=10,K12,IF($Q$5=11,S12,IF($Q$5=12,P12,IF($Q$5=13,S13,IF($Q$5=14,S12,IF($Q$5=15,S14,IF($Q$5=16,S10,IF($Q$5=17,S13,IF($Q$5=18,S13,IF($Q$5=19,S14,IF($Q$5=20,S13,IF($Q$5=21,S13,IF($Q$5=22,S13,IF($Q$5=23,S13,IF($Q$5=24,S13,IF($Q$5=25,S10,IF($Q$5=26,S13,IF($Q$5=27,S13,IF($Q$5=28,S10,IF($Q$5=29,S13,IF($Q$5=30,S13,IF($Q$5=31,S13,IF($Q$5=32,S10,IF($Q$5=33,S10,IF($Q$5=34,S10,IF($Q$5=35,S10,IF($Q$5=36,S12,IF($Q$5=37,S12,IF($Q$5=38,S12,IF($Q$5=39,S12,IF($Q$5=40,S12,IF($Q$5=41,S12,IF($Q$5=42,S12,IF($Q$5=43,S12,IF($Q$5=44,S12,IF($Q$5=45,S12,IF($Q$5=46,S12,IF($Q$5=47,S12,IF($Q$5=48,S12,IF($Q$5=49,S12,IF($Q$5=50,S12,IF($Q$5=51,S12,IF($Q$5=52,S12,IF($Q$5=53,S12,IF($Q$5=54,S12,0)))))))))))))))))))))))))))))))))))))))))))))))</f>
        <v>B5</v>
      </c>
      <c r="W10" s="172" t="str">
        <f>IF($Q$5=9,L11,IF($Q$5=10,L11,IF($Q$5=11,T11,IF($Q$5=12,T11,IF($Q$5=13,S11,IF($Q$5=14,S14,IF($Q$5=15,T12,IF($Q$5=16,T11,IF($Q$5=17,T12,IF($Q$5=18,T12,IF($Q$5=19,T12,IF($Q$5=20,T12,IF($Q$5=21,T12,IF($Q$5=22,T12,IF(Q$5=23,T12,IF($Q$5=24,T12,IF($Q$5=25,T12,IF($Q$5=26,T12,IF($Q$5=27,T12,IF($Q$5=28,T12,IF($Q$5=29,T11,IF($Q$5=30,T12,IF($Q$5=31,T12,IF($Q$5=32,T11,IF($Q$5=33,T11,IF($Q$5=34,T11,IF($Q$5=35,T11,IF($Q$5=36,T13,IF($Q$5=37,T13,IF($Q$5=38,T13,IF($Q$5=39,T13,IF($Q$5=40,T13,IF($Q$5=41,T13,IF($Q$5=42,T13,IF($Q$5=43,T13,IF($Q$5=44,T13,IF($Q$5=45,T13,IF($Q$5=46,T13,IF($Q$5=47,T13,IF($Q$5=48,T13,IF($Q$5=49,T13,IF($Q$5=50,T13,IF($Q$5=51,T13,IF($Q$5=52,T13,IF($Q$5=53,T13,IF($Q$5=54,T13,0))))))))))))))))))))))))))))))))))))))))))))))</f>
        <v>C7</v>
      </c>
      <c r="X10" s="23"/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1</v>
      </c>
      <c r="AR10" s="99">
        <f t="shared" ref="AR10:AR62" si="4">IF(ISNA(VLOOKUP(AP10,$Z$11:$AC$81,4,0))," ",IF(VLOOKUP(AP10,$Z$11:$AC$81,4,0)=0,"0",VLOOKUP(AP10,$Z$11:$AC$81,4,0)))</f>
        <v>-3</v>
      </c>
      <c r="AS10" s="219">
        <f t="shared" ref="AS10:AS62" si="5">IF(ISNA(VLOOKUP(AP10,$Z$11:$AC$81,2,0))," ",IF(VLOOKUP(AP10,$Z$11:$AC$81,2,0)=0,"0",VLOOKUP(AP10,$Z$11:$AC$81,2,0)))</f>
        <v>6</v>
      </c>
      <c r="AT10" s="289">
        <f t="shared" ref="AT10:AT62" si="6">IF(ISNA(VLOOKUP(AP10,$AE$11:$AH$81,3,0))," ",IF(VLOOKUP(AP10,$AE$11:$AH$81,3,0)=0,"0",VLOOKUP(AP10,$AE$11:$AH$81,3,0)))</f>
        <v>1</v>
      </c>
      <c r="AU10" s="99">
        <f t="shared" ref="AU10:AU62" si="7">IF(ISNA(VLOOKUP(AP10,$AE$11:$AH$81,4,0))," ",IF(VLOOKUP(AP10,$AE$11:$AH$81,4,0)=0,"0",VLOOKUP(AP10,$AE$11:$AH$81,4,0)))</f>
        <v>-5</v>
      </c>
      <c r="AV10" s="291">
        <f t="shared" ref="AV10:AV62" si="8">IF(ISNA(VLOOKUP(AP10,$AE$11:$AH$81,2,0))," ",IF(VLOOKUP(AP10,$AE$11:$AH$81,2,0)=0,"0",VLOOKUP(AP10,$AE$11:$AH$81,2,0)))</f>
        <v>5</v>
      </c>
      <c r="AW10" s="286">
        <f t="shared" ref="AW10:AW62" si="9">IF(ISNA(VLOOKUP(AP10,$AJ$11:$AM$81,3,0))," ",IF(VLOOKUP(AP10,$AJ$11:$AM$81,3,0)=0,"0",VLOOKUP(AP10,$AJ$11:$AM$81,3,0)))</f>
        <v>3</v>
      </c>
      <c r="AX10" s="99">
        <f t="shared" ref="AX10:AX62" si="10">IF(ISNA(VLOOKUP(AP10,$AJ$11:$AM$81,4,0))," ",IF(VLOOKUP(AP10,$AJ$11:$AM$81,4,0)=0,"0",VLOOKUP(AP10,$AJ$11:$AM$81,4,0)))</f>
        <v>11</v>
      </c>
      <c r="AY10" s="291">
        <f t="shared" ref="AY10:AY62" si="11">IF(ISNA(VLOOKUP(AP10,$AJ$11:$AM$81,2,0))," ",IF(VLOOKUP(AP10,$AJ$11:$AM$81,2,0)=0,"0",VLOOKUP(AP10,$AJ$11:$AM$81,2,0)))</f>
        <v>13</v>
      </c>
      <c r="AZ10" s="286">
        <f>SUMIFS(AQ10:AW10,$AQ$8:$AW$8,"Pts",AQ10:AW10,"&lt;&gt;#N/A")</f>
        <v>5</v>
      </c>
      <c r="BA10" s="99">
        <f t="shared" ref="BA10:BA62" si="12">SUMIFS(AQ10:AX10,$AQ$8:$AX$8,"GA",AQ10:AX10,"&lt;&gt;#N/A")</f>
        <v>3</v>
      </c>
      <c r="BB10" s="291">
        <f t="shared" ref="BB10:BB62" si="13">SUMIFS(AQ10:AY10,$AQ$8:$AY$8,"Score",AQ10:AY10,"&lt;&gt;#N/A")</f>
        <v>24</v>
      </c>
      <c r="BC10" s="41">
        <f t="shared" ref="BC10:BC62" si="14">IF(BA10="","",IF(BA10&lt;0,BA10,0))</f>
        <v>0</v>
      </c>
      <c r="BD10" s="57">
        <f t="shared" ref="BD10:BD62" si="15">IF(BA10="","",IF(BA10&gt;0,BA10,0))</f>
        <v>3</v>
      </c>
      <c r="BE10" s="363">
        <f t="shared" ref="BE10:BE62" si="16">IF(OR(AP10="",AZ10="",BA10="",BB10=""),"",RANK(AZ10,$AZ$9:$AZ$62)+SUM(-BA10/100)-(+BB10/10000)+COUNTIF(AP$9:AP$62,"&lt;="&amp;AP10+1)/1000000+ROW()/100000000)</f>
        <v>22.967600099999999</v>
      </c>
      <c r="BF10" s="99">
        <f>IF(AP10="","",SMALL(BE$9:BE$62,ROWS(AZ$9:AZ10)))</f>
        <v>0.78710038000000004</v>
      </c>
      <c r="BG10" s="88"/>
      <c r="BH10" s="95" t="str">
        <f>IF(OR(AP10="",AZ10=""),"",INDEX($AP$9:$AP$63,MATCH(BF10,$BE$9:BE$62,0)))</f>
        <v>B12</v>
      </c>
      <c r="BI10" s="294">
        <f t="shared" si="0"/>
        <v>9</v>
      </c>
      <c r="BJ10" s="7">
        <f t="shared" si="1"/>
        <v>21</v>
      </c>
      <c r="BK10" s="7">
        <f t="shared" si="2"/>
        <v>29</v>
      </c>
      <c r="BL10" s="279">
        <f>IF(BF10="","",IF(AND(BI9=BI10,BJ9=BJ10,BK9=BK10),BL9,$BL$9+1))</f>
        <v>2</v>
      </c>
      <c r="BM10" s="29"/>
      <c r="BN10" s="40"/>
    </row>
    <row r="11" spans="1:66" ht="21" thickBot="1">
      <c r="A11" s="131">
        <v>2</v>
      </c>
      <c r="B11" s="393" t="s">
        <v>67</v>
      </c>
      <c r="C11" s="272">
        <f>IF($Q$5&gt;7,2,0)</f>
        <v>2</v>
      </c>
      <c r="D11" s="398" t="s">
        <v>85</v>
      </c>
      <c r="E11" s="272">
        <f>IF($Q$5&gt;7,2,0)</f>
        <v>2</v>
      </c>
      <c r="F11" s="396" t="s">
        <v>103</v>
      </c>
      <c r="G11" s="272">
        <f>IF($Q$5&gt;7,2,0)</f>
        <v>2</v>
      </c>
      <c r="H11" s="23"/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M11" s="155"/>
      <c r="N11" s="52" t="s">
        <v>5</v>
      </c>
      <c r="O11" s="141" t="str">
        <f>IF($Q$5&gt;=8,J11,0)</f>
        <v>A2</v>
      </c>
      <c r="P11" s="144" t="str">
        <f>IF($Q$5&gt;=8,K11,0)</f>
        <v>B2</v>
      </c>
      <c r="Q11" s="152" t="str">
        <f>IF($Q$5=10,L11,IF($Q$5=11,L11,IF($Q$5=12,L11,IF($Q$5=14,L11,IF($Q$5=15,L11,IF($Q$5=16,L11,IF($Q$5=17,L11,IF($Q$5=18,L11,IF($Q$5=19,L11,IF($Q$5=20,L11,IF($Q$5=21,L11,IF($Q$5=22,L11,IF($Q$5=23,L11,IF($Q$5=24,L11,IF($Q$5=25,L11,IF($Q$5=26,L11,IF($Q$5=27,L11,IF($Q$5=28,L11,IF($Q$5=29,L11,IF($Q$5=30,L11,IF($Q$5=31,L11,IF($Q$5=32,L11,IF($Q$5=33,L11,IF($Q$5=34,L11,IF($Q$5=35,L11,IF($Q$5=36,L11,IF($Q$5=37,L11,IF($Q$5=38,L11,IF($Q$5=39,L11,IF($Q$5=40,L11,IF($Q$5=41,L11,IF($Q$5=42,L11,IF($Q$5=43,L11,IF($Q$5=44,L11,IF($Q$5=45,L11,IF($Q$5=46,L11,IF($Q$5=47,L11,IF($Q$5=48,L11,IF($Q$5=49,L11,IF($Q$5=50,L11,IF($Q$5=51,L11,IF($Q$5=52,L11,IF($Q$5=53,L11,IF($Q$5=54,L11,0))))))))))))))))))))))))))))))))))))))))))))</f>
        <v>C2</v>
      </c>
      <c r="R11" s="158" t="str">
        <f>IF($Q$5=8,J10,IF($Q$5=9,O10,IF($Q$5=10,J13,IF($Q$5=11,J12,IF($Q$5=12,J13,IF($Q$5=13,J12,IF($Q$5=14,J12,IF($Q$5=15,J12,IF($Q$5=16,J12,IF($Q$5=17,J12,IF($Q$5=18,J12,IF($Q$5=19,J13,IF($Q$5=20,J12,IF($Q$5=21,J12,IF($Q$5=22,J12,IF($Q$5=23,J12,IF($Q$5=24,J12,IF($Q$5=25,J12,IF($Q$5=26,J12,IF($Q$5=27,J12,IF($Q$5=28,J12,IF($Q$5=29,J12,IF($Q$5=30,J12,IF($Q$5=31,J12,IF($Q$5=32,J12,IF($Q$5=33,J12,IF($Q$5=34,J12,IF($Q$5=35,J12,IF($Q$5=36,J12,IF($Q$5=37,J12,IF($Q$5=38,J12,IF($Q$5=39,J12,IF($Q$5=40,J12,IF($Q$5=41,J12,IF($Q$5=42,J12,IF($Q$5=43,J12,IF($Q$5=44,J12,IF($Q$5=45,J12,IF($Q$5=46,J12,IF($Q$5=47,J12,IF($Q$5=48,J12,IF($Q$5=49,J12,IF($Q$5=50,J12,IF($Q$5=51,J12,IF($Q$5=52,J12,IF($Q$5=53,J12,IF($Q$5=54,J12,0)))))))))))))))))))))))))))))))))))))))))))))))</f>
        <v>A3</v>
      </c>
      <c r="S11" s="159" t="str">
        <f>IF($Q$5=8,L10,IF($Q$5=9,K11,IF($Q$5=10,L11,IF($Q$5=11,K10,IF($Q$5=12,K12,IF($Q$5=13,P13,IF($Q$5=14,K13,IF($Q$5=15,K10,IF($Q$5=16,K13,IF($Q$5=17,K14,IF($Q$5=18,K14,IF($Q$5=19,K14,IF($Q$5=20,K14,IF($Q$5=21,K14,IF($Q$5=22,K14,IF($Q$5=23,K14,IF($Q$5=24,K14,IF($Q$5=25,K14,IF($Q$5=26,K14,IF(Q$5=27,K14,IF($Q$5=28,K14,IF($Q$5=29,K14,IF($Q$5=30,K14,IF($Q$5=31,K14,IF($Q$5=32,K14,IF($Q$5=33,K14,IF($Q$5=34,K14,IF($Q$5=35,K14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T11" s="180" t="str">
        <f>IF($Q$5=10,L10,IF($Q$5=11,L12,IF($Q$5=12,L11,IF($Q$5=14,L10,IF($Q$5=15,P15,IF($Q$5=16,P15,IF($Q$5=17,L11,IF($Q$5=18,L13,IF($Q$5=19,L10,IF($Q$5=20,L11,IF($Q$5=21,P17,IF($Q$5=22,L13,IF($Q$5=23,L13,IF($Q$5=24,L13,IF($Q$5=25,L13,IF($Q$5=26,L13,IF($Q$5=27,L13,IF($Q$5=28,L13,IF($Q$5=29,L10,IF($Q$5=30,L10,IF($Q$5=31,L13,IF($Q$5=32,L11,IF($Q$5=33,L11,IF($Q$5=34,L11,IF($Q$5=35,L11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))))))))</f>
        <v>C5</v>
      </c>
      <c r="U11" s="185" t="str">
        <f>IF($Q$5=8,J12,IF($Q$5=9,R12,IF($Q$5=10,J10,IF($Q$5=11,O11,IF($Q$5=12,O12,IF($Q$5=13,R11,IF($Q$5=14,R12,IF($Q$5=15,O13,IF($Q$5=16,O12,IF($Q$5=17,R12,IF($Q$5=18,R14,IF($Q$5=19,R14,IF($Q$5=20,R13,IF($Q$5=21,O14,IF($Q$5=22,O12,IF(Q$5=23,R13,IF($Q$5=24,O13,IF($Q$5=25,R12,IF($Q$5=26,O13,IF($Q$5=27,O13,IF($Q$5=28,O13,IF($Q$5=29,O13,IF($Q$5=30,O13,IF($Q$5=31,O13,IF($Q$5=32,R12,IF($Q$5=33,O13,IF($Q$5=34,O13,IF($Q$5=35,R12,IF($Q$5=36,O13,IF($Q$5=37,O13,IF($Q$5=38,O13,IF($Q$5=39,O13,IF($Q$5=40,O13,IF($Q$5=41,O13,IF($Q$5=42,R12,IF($Q$5=43,R12,IF($Q$5=44,O13,IF($Q$5=45,O13,IF($Q$5=46,R12,IF($Q$5=47,O13,IF($Q$5=48,O13,IF($Q$5=49,O13,IF($Q$5=50,O13,IF($Q$5=51,O13,IF($Q$5=52,O13,IF($Q$5=53,R12,IF($Q$5=54,O13,0)))))))))))))))))))))))))))))))))))))))))))))))</f>
        <v>A4</v>
      </c>
      <c r="V11" s="163" t="str">
        <f>IF($Q$5=8,K10,IF($Q$5=9,S12,IF($Q$5=10,K10,IF(Q$5=11,S10,IF($Q$5=12,S10,IF($Q$5=13,R15,IF($Q$5=14,S10,IF($Q$5=15,S10,IF($Q$5=16,S11,IF($Q$5=17,S10,IF($Q$5=18,S12,IF($Q$5=19,S10,IF($Q$5=20,S10,IF($Q$5=21,S17,IF($Q$5=22,S10,IF($Q$5=23,S10,IF($Q$5=24,S10,IF($Q$5=25,S13,IF($Q$5=26,S10,IF($Q$5=27,S10,IF($Q$5=28,S13,IF($Q$5=29,S10,IF($Q$5=30,S11,IF($Q$5=31,S10,IF($Q$5=32,S11,IF($Q$5=33,S11,IF($Q$5=34,S11,IF($Q$5=35,S11,IF($Q$5=36,S13,IF($Q$5=37,S13,IF($Q$5=38,S13,IF($Q$5=39,S13,IF($Q$5=40,S13,IF($Q$5=41,S13,IF($Q$5=42,S13,IF($Q$5=43,S13,IF($Q$5=44,S13,IF($Q$5=45,S13,IF($Q$5=46,S13,IF($Q$5=47,S13,IF($Q$5=48,S13,IF($Q$5=49,S13,IF($Q$5=50,S13,IF($Q$5=51,S13,IF($Q$5=52,S13,IF($Q$5=53,S13,IF($Q$5=54,S13,0)))))))))))))))))))))))))))))))))))))))))))))))</f>
        <v>B6</v>
      </c>
      <c r="W11" s="173" t="str">
        <f>IF($Q$5=10,L12,IF($Q$5=11,T10,IF($Q$5=12,Q10,IF(Q$5=14,T11,IF($Q$5=15,T11,IF(Q$5=16,S15,IF($Q$5=17,T13,IF($Q$5=18,T13,IF($Q$5=19,S17,IF($Q$5=20,T11,IF($Q$5=21,T10,IF($Q$5=22,T13,IF($Q$5=23,T13,IF($Q$5=24,T13,IF($Q$5=25,T13,IF($Q$5=26,T13,IF($Q$5=27,T13,IF($Q$5=28,T13,IF($Q$5=29,T13,IF($Q$5=30,T13,IF($Q$5=31,T13,IF($Q$5=32,T10,IF($Q$5=33,T10,IF($Q$5=34,T10,IF($Q$5=35,T10,IF($Q$5=36,T14,IF($Q$5=37,T14,IF($Q$5=38,T14,IF($Q$5=39,T14,IF($Q$5=40,T14,IF($Q$5=41,T14,IF($Q$5=42,T14,IF($Q$5=43,T14,IF($Q$5=44,T14,IF($Q$5=45,T14,IF($Q$5=46,T14,IF($Q$5=47,T14,IF($Q$5=48,T14,IF($Q$5=49,T14,IF($Q$5=50,T14,IF($Q$5=51,T14,IF($Q$5=52,T14,IF($Q$5=53,T14,IF($Q$5=54,T14,0))))))))))))))))))))))))))))))))))))))))))))</f>
        <v>C8</v>
      </c>
      <c r="X11" s="23"/>
      <c r="Y11" s="446">
        <v>1</v>
      </c>
      <c r="Z11" s="12" t="str">
        <f>+O10</f>
        <v>A1</v>
      </c>
      <c r="AA11" s="33">
        <v>9</v>
      </c>
      <c r="AB11" s="48">
        <f>IF(AA11+AA15=0,0,IF(AA11=AA15,2,IF(AA11&gt;AA15,3,1)))</f>
        <v>3</v>
      </c>
      <c r="AC11" s="13">
        <f>AA11-AA15</f>
        <v>3</v>
      </c>
      <c r="AD11" s="9"/>
      <c r="AE11" s="12" t="str">
        <f>+R10</f>
        <v>A2</v>
      </c>
      <c r="AF11" s="126">
        <v>5</v>
      </c>
      <c r="AG11" s="48">
        <f>IF(AF11+AF15=0,0,IF(AF11=AF15,2,IF(AF11&gt;AF15,3,1)))</f>
        <v>1</v>
      </c>
      <c r="AH11" s="13">
        <f>AF11-AF15</f>
        <v>-5</v>
      </c>
      <c r="AI11" s="9"/>
      <c r="AJ11" s="12" t="str">
        <f>+U10</f>
        <v>A3</v>
      </c>
      <c r="AK11" s="36">
        <v>4</v>
      </c>
      <c r="AL11" s="48">
        <f>IF(AK11+AK15=0,0,IF(AK11=AK15,2,IF(AK11&gt;AK15,3,1)))</f>
        <v>1</v>
      </c>
      <c r="AM11" s="13">
        <f>AK11-AK15</f>
        <v>-1</v>
      </c>
      <c r="AN11" s="23"/>
      <c r="AO11" s="54">
        <v>3</v>
      </c>
      <c r="AP11" s="321" t="str">
        <f>+Inscrits!B5</f>
        <v>A3</v>
      </c>
      <c r="AQ11" s="286">
        <f t="shared" si="3"/>
        <v>1</v>
      </c>
      <c r="AR11" s="99">
        <f t="shared" si="4"/>
        <v>-5</v>
      </c>
      <c r="AS11" s="219">
        <f t="shared" si="5"/>
        <v>5</v>
      </c>
      <c r="AT11" s="289">
        <f t="shared" si="6"/>
        <v>3</v>
      </c>
      <c r="AU11" s="99">
        <f t="shared" si="7"/>
        <v>5</v>
      </c>
      <c r="AV11" s="291">
        <f t="shared" si="8"/>
        <v>10</v>
      </c>
      <c r="AW11" s="286">
        <f t="shared" si="9"/>
        <v>1</v>
      </c>
      <c r="AX11" s="99">
        <f t="shared" si="10"/>
        <v>-1</v>
      </c>
      <c r="AY11" s="291">
        <f t="shared" si="11"/>
        <v>4</v>
      </c>
      <c r="AZ11" s="286">
        <f t="shared" ref="AZ11:AZ62" si="17">SUMIFS(AQ11:AW11,$AQ$8:$AW$8,"Pts",AQ11:AW11,"&lt;&gt;#N/A")</f>
        <v>5</v>
      </c>
      <c r="BA11" s="99">
        <f t="shared" si="12"/>
        <v>-1</v>
      </c>
      <c r="BB11" s="291">
        <f t="shared" si="13"/>
        <v>19</v>
      </c>
      <c r="BC11" s="41">
        <f t="shared" si="14"/>
        <v>-1</v>
      </c>
      <c r="BD11" s="57">
        <f t="shared" si="15"/>
        <v>0</v>
      </c>
      <c r="BE11" s="363">
        <f t="shared" si="16"/>
        <v>23.008100110000001</v>
      </c>
      <c r="BF11" s="99">
        <f>IF(AP11="","",SMALL(BE$9:BE$62,ROWS(AZ$9:AZ11)))</f>
        <v>0.79740051999999995</v>
      </c>
      <c r="BG11" s="88"/>
      <c r="BH11" s="95" t="str">
        <f>IF(OR(AP11="",AZ11=""),"",INDEX($AP$9:$AP$63,MATCH(BF11,$BE$9:BE$62,0)))</f>
        <v>C8</v>
      </c>
      <c r="BI11" s="294">
        <f t="shared" si="0"/>
        <v>9</v>
      </c>
      <c r="BJ11" s="7">
        <f t="shared" si="1"/>
        <v>20</v>
      </c>
      <c r="BK11" s="7">
        <f t="shared" si="2"/>
        <v>26</v>
      </c>
      <c r="BL11" s="280">
        <f>IF(BF11="","",IF(AND(BI10=BI11,BJ10=BJ11,BK10=BK11),BL10,$BL$9+2))</f>
        <v>3</v>
      </c>
      <c r="BM11" s="29"/>
      <c r="BN11" s="40"/>
    </row>
    <row r="12" spans="1:66" ht="21" thickBot="1">
      <c r="A12" s="131">
        <v>3</v>
      </c>
      <c r="B12" s="393" t="s">
        <v>68</v>
      </c>
      <c r="C12" s="272">
        <v>3</v>
      </c>
      <c r="D12" s="398" t="s">
        <v>86</v>
      </c>
      <c r="E12" s="272">
        <f>IF($Q$5&gt;7,3,0)</f>
        <v>3</v>
      </c>
      <c r="F12" s="396" t="s">
        <v>104</v>
      </c>
      <c r="G12" s="272">
        <f>IF($Q$5=8,0,3)</f>
        <v>3</v>
      </c>
      <c r="H12" s="23"/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M12" s="155"/>
      <c r="N12" s="82">
        <v>2</v>
      </c>
      <c r="O12" s="138" t="str">
        <f>IF($Q$5&gt;=8,J12,0)</f>
        <v>A3</v>
      </c>
      <c r="P12" s="139" t="str">
        <f>IF($Q$5&gt;=10,K12,IF($Q$5=8,L10,IF($Q$5=9,L11,0)))</f>
        <v>B3</v>
      </c>
      <c r="Q12" s="153" t="str">
        <f>IF($Q$5=11,L12,IF($Q$5=12,L12,IF($Q$5=15,L14,IF($Q$5=16,L12,IF($Q$5=17,L12,IF($Q$5=18,L12,IF($Q$5=19,L12,IF($Q$5=20,L12,IF($Q$5=21,L12,IF($Q$5=22,L12,IF($Q$5=23,L12,IF($Q$5=24,L12,IF($Q$5=25,L12,IF($Q$5=26,L12,IF($Q$5=27,L12,IF($Q$5=28,L12,IF($Q$5=29,L12,IF($Q$5=30,L12,IF($Q$5=31,L12,IF($Q$5=32,L12,IF($Q$5=33,L12,IF($Q$5=34,L12,IF($Q$5=35,L12,IF($Q$5=36,L12,IF($Q$5=37,L12,IF($Q$5=38,L12,IF($Q$5=39,L12,IF($Q$5=40,L12,IF($Q$5=41,L12,IF($Q$5=42,L12,IF($Q$5=43,L12,IF($Q$5=44,L12,IF($Q$5=45,L12,IF($Q$5=46,L12,IF($Q$5=47,L12,IF($Q$5=48,L12,IF($Q$5=49,L12,IF($Q$5=50,L12,IF($Q$5=51,L12,IF($Q$5=52,L12,IF($Q$5=53,L12,IF($Q$5=54,L12,0))))))))))))))))))))))))))))))))))))))))))</f>
        <v>C3</v>
      </c>
      <c r="R12" s="160" t="str">
        <f>IF($Q$5=8,J11,IF($Q$5=9,O11,IF($Q$5=10,J10,IF($Q$5=11,J11,IF(Q$5=12,J12,IF($Q$5=13,J10,IF($Q$5=14,J13,IF($Q$5=15,J13,IF($Q$5=16,J13,IF($Q$5=17,J14,IF($Q$5=18,J14,IF($Q$5=19,J12,IF($Q$5=20,J11,IF($Q$5=21,J11,IF($Q$5=22,J13,IF($Q$5=23,J13,IF($Q$5=24,J13,IF($Q$5=25,J13,IF($Q$5=26,J13,IF($Q$5=27,J13,IF($Q$5=28,J13,IF($Q$5=29,J13,IF($Q$5=30,J13,IF($Q$5=31,J13,IF($Q$5=32,J13,IF($Q$5=33,J13,IF($Q$5=34,J13,IF($Q$5=35,J13,IF($Q$5=36,J13,IF($Q$5=37,J13,IF($Q$5=38,J13,IF($Q$5=39,J13,IF($Q$5=40,J13,IF($Q$5=41,J13,IF($Q$5=42,J13,IF($Q$5=43,J13,IF($Q$5=44,J13,IF($Q$5=45,J13,IF($Q$5=46,J13,IF($Q$5=47,J13,IF($Q$5=48,J13,IF($Q$5=49,J13,IF($Q$5=50,C13,IF($Q$5=51,C13,IF($Q$5=52,C13,IF($Q$5=53,O13,IF($Q$5=54,O13,0)))))))))))))))))))))))))))))))))))))))))))))))</f>
        <v>A4</v>
      </c>
      <c r="S12" s="157" t="str">
        <f>IF($Q$5=8,K11,IF($Q$5=9,P10,IF($Q$5=10,K11,IF($Q$5=11,K11,IF($Q$5=12,K11,IF($Q$5=13,K11,IF($Q$5=14,K10,IF($Q$5=15,K11,IF($Q$5=16,K14,IF($Q$5=17,K11,IF($Q$5=18,K11,IF($Q$5=19,K11,IF($Q$5=20,K10,IF($Q$5=21,K11,IF($Q$5=22,K11,IF($Q$5=23,K15,IF($Q$5=24,K10,IF($Q$5=25,K11,IF($Q$5=26,K11,IF($Q$5=27,K11,IF($Q$5=28,K11,IF($Q$5=29,K11,IF($Q$5=30,K11,IF($Q$5=31,K10,IF($Q$5=32,K11,IF($Q$5=33,K11,IF($Q$5=34,K11,IF($Q$5=35,K11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)))))</f>
        <v>B5</v>
      </c>
      <c r="T12" s="179" t="str">
        <f>IF($Q$5=11,L10,IF($Q$5=12,L10,IF($Q$5=15,Q12,IF($Q$5=16,L10,IF($Q$5=17,L13,IF($Q$5=18,L15,IF($Q$5=19,P15,IF($Q$5=20,L13,IF($Q$5=21,L13,IF($Q$5=22,L14,IF($Q$5=23,L11,IF($Q$5=24,L11,IF($Q$5=25,P19,IF($Q$5=26,P19,IF($Q$5=27,P19,IF($Q$5=28,L10,IF($Q$5=29,L13,IF($Q$5=30,L14,IF($Q$5=31,L14,IF($Q$5=32,L14,IF($Q$5=33,L14,IF($Q$5=34,L14,IF($Q$5=35,L14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)))))))))</f>
        <v>C6</v>
      </c>
      <c r="U12" s="165" t="str">
        <f>IF($Q$5=8,J10,IF($Q$5=9,O12,IF($Q$5=10,J11,IF($Q$5=11,O10,IF($Q$5=12,O11,IF($Q$5=13,R14,IF(Q$5=14,R13,IF($Q$5=15,R13,IF(Q$5=16,O14,IF($Q$5=17,O13,IF($Q$5=18,R11,IF($Q$5=19,R12,IF($Q$5=20,R12,IF($Q$5=21,O13,IF($Q$5=22,R10,IF($Q$5=23,O13,IF($Q$5=24,O12,IF($Q$5=25,O12,IF($Q$5=26,O12,IF($Q$5=27,O12,IF($Q$5=28,O12,IF($Q$5=29,O12,IF($Q$5=30,O12,IF($Q$5=31,O12,IF($Q$5=32,O12,IF($Q$5=33,O12,IF($Q$5=34,O12,IF($Q$5=35,R11,IF($Q$5=36,O14,IF($Q$5=37,O14,IF($Q$5=38,O14,IF($Q$5=39,O14,IF($Q$5=40,O14,IF($Q$5=41,O14,IF($Q$5=42,O14,IF($Q$5=43,O14,IF($Q$5=44,O14,IF($Q$5=45,O14,IF($Q$5=46,O14,IF($Q$5=47,O14,IF($Q$5=48,O14,IF($Q$5=49,R13,IF($Q$5=50,O14,IF($Q$5=51,O14,IF($Q$5=52,O14,IF($Q$5=53,O14,IF($Q$5=54,O14,0)))))))))))))))))))))))))))))))))))))))))))))))</f>
        <v>A5</v>
      </c>
      <c r="V12" s="157" t="str">
        <f>IF($Q$5=8,L11,IF($Q$5=9,Q10,IF($Q$5=10,L10,IF($Q$5=11,S13,IF($Q$5=12,P10,IF($Q$5=13,S10,IF($Q$5=14,S13,IF($Q$5=15,S11,IF($Q$5=16,S14,IF($Q$5=17,S11,IF($Q$5=18,S11,IF($Q$5=19,S11,IF($Q$5=20,S11,IF($Q$5=21,S11,IF($Q$5=22,S11,IF($Q$5=23,S11,IF($Q$5=24,S11,IF($Q$5=25,S11,IF($Q$5=26,S11,IF($Q$5=27,S11,IF($Q$5=28,S11,IF($Q$5=29,S11,IF($Q$5=30,S10,IF($Q$5=31,S11,IF($Q$5=32,S16,IF($Q$5=33,S16,IF($Q$5=34,S16,IF($Q$5=35,S16,IF($Q$5=36,S14,IF($Q$5=37,S14,IF($Q$5=38,S14,IF($Q$5=39,S14,IF($Q$5=40,S14,IF($Q$5=41,S14,IF($Q$5=42,S14,IF($Q$5=43,S14,IF($Q$5=44,S14,IF($Q$5=45,S14,IF($Q$5=46,S14,IF($Q$5=47,S14,IF($Q$5=48,S14,IF($Q$5=49,S14,IF($Q$5=50,S14,IF($Q$5=51,S14,IF($Q$5=52,S14,IF($Q$5=53,S14,IF($Q$5=54,S14,0)))))))))))))))))))))))))))))))))))))))))))))))</f>
        <v>B7</v>
      </c>
      <c r="W12" s="172" t="str">
        <f>IF($Q$5=11,T12,IF($Q$5=12,T13,IF($Q$5=14,T14,IF($Q$5=15,S15,IF(Q$5=16,T10,IF($Q$5=17,T14,IF($Q$5=18,T14,IF($Q$5=19,S16,IF($Q$5=20,S16,IF($Q$5=21,T14,IF($Q$5=22,T14,IF($Q$5=23,T14,IF($Q$5=24,T14,IF($Q$5=25,S19,IF($Q$5=26,T14,IF($Q$5=27,T14,IF($Q$5=28,T14,IF($Q$5=29,T14,IF($Q$5=30,T14,IF($Q$5=31,T14,IF($Q$5=32,T12,IF($Q$5=33,T12,IF($Q$5=34,T12,IF($Q$5=35,T12,IF($Q$5=36,T15,IF($Q$5=37,T15,IF($Q$5=38,T15,IF($Q$5=39,T15,IF($Q$5=40,T15,IF($Q$5=41,T15,IF($Q$5=42,T15,IF($Q$5=43,T15,IF($Q$5=44,T15,IF($Q$5=45,T15,IF($Q$5=46,T15,IF($Q$5=47,T15,IF($Q$5=48,T15,IF($Q$5=49,T15,IF($Q$5=50,T15,IF($Q$5=51,T15,IF($Q$5=52,T15,IF($Q$5=53,T15,IF($Q$5=54,T15,0)))))))))))))))))))))))))))))))))))))))))))</f>
        <v>C9</v>
      </c>
      <c r="X12" s="23"/>
      <c r="Y12" s="447"/>
      <c r="Z12" s="14" t="str">
        <f>+P10</f>
        <v>B1</v>
      </c>
      <c r="AA12" s="59">
        <f>IF(ISTEXT(Z12),AA11,0)</f>
        <v>9</v>
      </c>
      <c r="AB12" s="59">
        <f>IF(ISTEXT(Z12),AB11,0)</f>
        <v>3</v>
      </c>
      <c r="AC12" s="60">
        <f>IF(ISTEXT(Z12),AC11,0)</f>
        <v>3</v>
      </c>
      <c r="AD12" s="11"/>
      <c r="AE12" s="14" t="str">
        <f>+S10</f>
        <v>B3</v>
      </c>
      <c r="AF12" s="59">
        <f>IF(ISTEXT(AE12),AF11,0)</f>
        <v>5</v>
      </c>
      <c r="AG12" s="59">
        <f>IF(ISTEXT(AE12),AG11,0)</f>
        <v>1</v>
      </c>
      <c r="AH12" s="61">
        <f>IF(ISTEXT(AE12),AH11,0)</f>
        <v>-5</v>
      </c>
      <c r="AI12" s="11"/>
      <c r="AJ12" s="14" t="str">
        <f>+V10</f>
        <v>B5</v>
      </c>
      <c r="AK12" s="18">
        <f>IF(ISTEXT(AJ12),AK11,0)</f>
        <v>4</v>
      </c>
      <c r="AL12" s="59">
        <f>IF(ISTEXT(AJ12),AL11,0)</f>
        <v>1</v>
      </c>
      <c r="AM12" s="62">
        <f>IF(ISTEXT(AJ12),AM11,0)</f>
        <v>-1</v>
      </c>
      <c r="AN12" s="23"/>
      <c r="AO12" s="54">
        <v>4</v>
      </c>
      <c r="AP12" s="321" t="str">
        <f>+Inscrits!B6</f>
        <v>A4</v>
      </c>
      <c r="AQ12" s="286">
        <f t="shared" si="3"/>
        <v>3</v>
      </c>
      <c r="AR12" s="99">
        <f t="shared" si="4"/>
        <v>5</v>
      </c>
      <c r="AS12" s="219">
        <f t="shared" si="5"/>
        <v>10</v>
      </c>
      <c r="AT12" s="289">
        <f t="shared" si="6"/>
        <v>1</v>
      </c>
      <c r="AU12" s="99">
        <f t="shared" si="7"/>
        <v>-7</v>
      </c>
      <c r="AV12" s="291">
        <f t="shared" si="8"/>
        <v>5</v>
      </c>
      <c r="AW12" s="286">
        <f t="shared" si="9"/>
        <v>3</v>
      </c>
      <c r="AX12" s="99">
        <f t="shared" si="10"/>
        <v>1</v>
      </c>
      <c r="AY12" s="291">
        <f t="shared" si="11"/>
        <v>5</v>
      </c>
      <c r="AZ12" s="286">
        <f t="shared" si="17"/>
        <v>7</v>
      </c>
      <c r="BA12" s="99">
        <f t="shared" si="12"/>
        <v>-1</v>
      </c>
      <c r="BB12" s="291">
        <f t="shared" si="13"/>
        <v>20</v>
      </c>
      <c r="BC12" s="41">
        <f t="shared" si="14"/>
        <v>-1</v>
      </c>
      <c r="BD12" s="57">
        <f t="shared" si="15"/>
        <v>0</v>
      </c>
      <c r="BE12" s="363">
        <f t="shared" si="16"/>
        <v>7.0080001200000002</v>
      </c>
      <c r="BF12" s="99">
        <f>IF(AP12="","",SMALL(BE$9:BE$62,ROWS(AZ$9:AZ12)))</f>
        <v>0.80740040000000002</v>
      </c>
      <c r="BG12" s="88"/>
      <c r="BH12" s="95" t="str">
        <f>IF(OR(AP12="",AZ12=""),"",INDEX($AP$9:$AP$63,MATCH(BF12,$BE$9:BE$62,0)))</f>
        <v>B14</v>
      </c>
      <c r="BI12" s="294">
        <f t="shared" si="0"/>
        <v>9</v>
      </c>
      <c r="BJ12" s="7">
        <f t="shared" si="1"/>
        <v>19</v>
      </c>
      <c r="BK12" s="7">
        <f t="shared" si="2"/>
        <v>26</v>
      </c>
      <c r="BL12" s="280">
        <f>IF(BF12="","",IF(AND(BI11=BI12,BJ11=BJ12,BK11=BK12),BL11,$BL$9+3))</f>
        <v>4</v>
      </c>
      <c r="BM12" s="29"/>
      <c r="BN12" s="40"/>
    </row>
    <row r="13" spans="1:66" ht="21" thickBot="1">
      <c r="A13" s="131">
        <v>4</v>
      </c>
      <c r="B13" s="393" t="s">
        <v>69</v>
      </c>
      <c r="C13" s="273">
        <f>IF($Q$5=8,0,IF($Q$5=9,0,4))</f>
        <v>4</v>
      </c>
      <c r="D13" s="398" t="s">
        <v>87</v>
      </c>
      <c r="E13" s="272">
        <f>IF($Q$5&gt;=11,4,0)</f>
        <v>4</v>
      </c>
      <c r="F13" s="396" t="s">
        <v>105</v>
      </c>
      <c r="G13" s="272">
        <f>IF($Q$5&gt;=12,4,0)</f>
        <v>4</v>
      </c>
      <c r="H13" s="23"/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M13" s="155"/>
      <c r="N13" s="52" t="s">
        <v>5</v>
      </c>
      <c r="O13" s="208" t="str">
        <f>IF($Q$5&gt;=10,J13,IF($Q$5=8,K12,IF($Q$5=9,K12,0)))</f>
        <v>A4</v>
      </c>
      <c r="P13" s="142" t="str">
        <f>IF($Q$5=8,L11,IF($Q$5=9,L12,IF($Q$5=10,L12,IF($Q$5=11,K13,IF($Q$5=12,K13,IF($Q$5=13,L11,IF($Q$5=14,K13,IF($Q$5=15,K13,IF($Q$5=16,K13,IF($Q$5=17,K13,IF($Q$5=18,K13,IF($Q$5=19,K13,IF($Q$5=20,K13,IF($Q$5=21,K13,IF(Q$5=22,K13,IF($Q$5=23,K13,IF($Q$5=24,K13,IF($Q$5=25,K13,IF($Q$5=26,K13,IF($Q$5=27,K13,IF($Q$5=28,K13,IF($Q$5=29,K13,IF($Q$5=30,K13,IF($Q$5=31,K13,IF($Q$5=32,K13,IF($Q$5=33,K13,IF($Q$5=34,K13,IF($Q$5=35,K13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Q13" s="152" t="str">
        <f>IF($Q$5=12,L13,IF($Q$5=16,L13,IF($Q$5=17,L13,IF($Q$5=18,L13,IF($Q$5=20,L13,IF($Q$5=21,L13,IF($Q$5=22,L13,IF($Q$5=23,L13,IF($Q$5=24,L13,IF($Q$5=25,L13,IF($Q$5=26,L13,IF($Q$5=27,L13,IF($Q$5=28,L13,IF($Q$5=29,L13,IF($Q$5=30,L13,IF($Q$5=31,L13,IF($Q$5=32,L13,IF($Q$5=33,L13,IF($Q$5=34,L13,IF($Q$5=35,L13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</f>
        <v>C4</v>
      </c>
      <c r="R13" s="161" t="str">
        <f>IF($Q$5=8,J12,IF($Q$5=9,O12,IF($Q$5=10,J11,IF($Q$5=11,J13,IF($Q$5=12,J11,IF($Q$5=13,J14,IF($Q$5=14,J14,IF($Q$5=15,J14,IF($Q$5=16,J14,IF($Q$5=17,J13,IF($Q$5=18,J11,IF($Q$5=19,J10,IF($Q$5=20,J13,IF($Q$5=21,J14,IF($Q$5=22,J14,IF($Q$5=23,J14,IF($Q$5=24,J14,IF($Q$5=25,J14,IF($Q$5=26,J14,IF($Q$5=27,J14,IF($Q$5=28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))))</f>
        <v>A5</v>
      </c>
      <c r="S13" s="162" t="str">
        <f>IF($Q$5=8,K10,IF($Q$5=9,Q10,IF($Q$5=10,K12,IF($Q$5=11,K12,IF($Q$5=12,K10,IF($Q$5=13,K12,IF($Q$5=14,K11,IF($Q$5=15,P12,IF($Q$5=16,K10,IF($Q$5=17,K12,IF($Q$5=18,K12,IF($Q$5=19,K12,IF($Q$5=20,K12,IF($Q$5=21,K12,IF($Q$5=22,K12,IF($Q$5=23,K16,IF($Q$5=24,K12,IF($Q$5=25,K12,IF($Q$5=26,K12,IF($Q$5=27,K12,IF($Q$5=28,K12,IF($Q$5=29,K12,IF($Q$5=30,K12,IF($Q$5=31,K12,IF($Q$5=32,K12,IF($Q$5=33,K12,IF($Q$5=34,K12,IF($Q$5=35,K12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)))))</f>
        <v>B6</v>
      </c>
      <c r="T13" s="181" t="str">
        <f>IF($Q$5=12,L13,IF($Q$5=16,L11,IF($Q$5=17,L14,IF($Q$5=18,L14,IF($Q$5=19,0,IF($Q$5=20,P16,IF($Q$5=21,L14,IF($Q$5=22,L15,IF($Q$5=23,L16,IF($Q$5=24,L15,IF($Q$5=25,L14,IF($Q$5=26,L14,IF($Q$5=27,L14,IF($Q$5=28,L14,IF($Q$5=29,L14,IF($Q$5=30,L15,IF($Q$5=31,L11,IF($Q$5=32,L13,IF($Q$5=33,L13,IF($Q$5=34,L13,IF($Q$5=35,L13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))))))))))</f>
        <v>C7</v>
      </c>
      <c r="U13" s="184" t="str">
        <f>IF($Q$5=8,K12,IF($Q$5=9,R10,IF($Q$5=10,J12,IF($Q$5=11,O12,IF($Q$5=12,O13,IF($Q$5=13,R13,IF($Q$5=14,R14,IF($Q$5=15,R14,IF(Q$5=16,O15,IF($Q$5=17,R11,IF($Q$5=18,O14,IF($Q$5=19,R11,IF($Q$5=20,R11,IF($Q$5=21,R12,IF($Q$5=22,O13,IF($Q$5=23,R14,IF($Q$5=24,O14,IF($Q$5=25,R13,IF($Q$5=26,O14,IF($Q$5=27,O14,IF($Q$5=28,O14,IF($Q$5=29,O14,IF($Q$5=30,O14,IF($Q$5=31,O14,IF($Q$5=32,O14,IF($Q$5=33,O14,IF($Q$5=34,O14,IF($Q$5=35,R13,IF($Q$5=36,O15,IF($Q$5=37,O15,IF($Q$5=38,O15,IF($Q$5=39,O15,IF($Q$5=40,O15,IF($Q$5=41,O15,IF($Q$5=42,O15,IF($Q$5=43,O15,IF($Q$5=44,O15,IF($Q$5=45,O15,IF($Q$5=46,O15,IF($Q$5=47,O15,IF($Q$5=48,O15,IF($Q$5=49,R14,IF($Q$5=50,O15,IF($Q$5=51,O15,IF($Q$5=52,O15,IF($Q$5=53,O15,IF($Q$5=54,O15,0)))))))))))))))))))))))))))))))))))))))))))))))</f>
        <v>A6</v>
      </c>
      <c r="V13" s="162" t="str">
        <f>IF($Q$5=8,K11,IF($Q$5=9,S11,IF($Q$5=10,K11,IF($Q$5=11,S11,IF($Q$5=12,S12,IF($Q$5=13,S14,IF($Q$5=14,S11,IF($Q$5=15,S12,IF($Q$5=16,S13,IF($Q$5=17,S14,IF($Q$5=18,S14,IF($Q$5=19,S12,IF($Q$5=20,S14,IF($Q$5=21,S14,IF($Q$5=22,S14,IF($Q$5=23,S14,IF($Q$5=24,S14,IF($Q$5=25,S14,IF($Q$5=26,S14,IF($Q$5=27,S14,IF($Q$5=28,S14,IF($Q$5=29,S16,IF($Q$5=30,S14,IF($Q$5=31,S14,IF($Q$5=32,S17,IF($Q$5=33,S17,IF($Q$5=34,S17,IF($Q$5=35,S17,IF($Q$5=36,S15,IF($Q$5=37,S15,IF($Q$5=38,S15,IF($Q$5=39,S15,IF($Q$5=40,S15,IF($Q$5=41,S15,IF($Q$5=42,S15,IF($Q$5=43,S15,IF($Q$5=44,S15,IF($Q$5=45,S15,IF($Q$5=46,S15,IF($Q$5=47,S15,IF($Q$5=48,S15,IF($Q$5=49,S15,IF($Q$5=50,S15,IF($Q$5=51,S15,IF($Q$5=52,S15,IF($Q$5=53,S15,IF($Q$5=54,S15,0)))))))))))))))))))))))))))))))))))))))))))))))</f>
        <v>B8</v>
      </c>
      <c r="W13" s="174" t="str">
        <f>IF($Q$5=12,T10,IF($Q$5=16,T13,IF($Q$5=17,T11,IF($Q$5=18,T15,IF($Q$5=20,T13,IF($Q$5=21,T11,IF($Q$5=22,T15,IF($Q$5=23,T15,IF($Q$5=24,T15,IF($Q$5=25,T14,IF($Q$5=26,T15,IF($Q$5=27,T15,IF($Q$5=28,T15,IF($Q$5=29,T15,IF($Q$5=30,T15,IF($Q$5=31,T15,IF($Q$5=32,T14,IF($Q$5=33,T14,IF($Q$5=34,T14,IF($Q$5=35,T14,IF($Q$5=36,T16,IF($Q$5=37,T16,IF($Q$5=38,T16,IF($Q$5=39,T16,IF($Q$5=40,T16,IF($Q$5=41,T16,IF($Q$5=42,T16,IF($Q$5=43,T16,IF($Q$5=44,T16,IF($Q$5=45,T16,IF($Q$5=46,T16,IF($Q$5=47,T16,IF($Q$5=48,T16,IF($Q$5=49,T16,IF($Q$5=50,T16,IF($Q$5=51,T16,IF($Q$5=52,T16,IF($Q$5=53,T16,IF($Q$5=54,T16,0)))))))))))))))))))))))))))))))))))))))</f>
        <v>C10</v>
      </c>
      <c r="X13" s="23"/>
      <c r="Y13" s="447"/>
      <c r="Z13" s="14" t="str">
        <f>+Q10</f>
        <v>C1</v>
      </c>
      <c r="AA13" s="63">
        <f>IF(ISTEXT(Z13),AA11,0)</f>
        <v>9</v>
      </c>
      <c r="AB13" s="64">
        <f>IF(ISTEXT(Z13),AB11,0)</f>
        <v>3</v>
      </c>
      <c r="AC13" s="65">
        <f>IF(ISTEXT(Z13),AC11,0)</f>
        <v>3</v>
      </c>
      <c r="AD13" s="11"/>
      <c r="AE13" s="14" t="str">
        <f>+T10</f>
        <v>C4</v>
      </c>
      <c r="AF13" s="63">
        <f>IF(ISTEXT(AE13),AF11,0)</f>
        <v>5</v>
      </c>
      <c r="AG13" s="64">
        <f>IF(ISTEXT(AE13),AG11,0)</f>
        <v>1</v>
      </c>
      <c r="AH13" s="66">
        <f>IF(ISTEXT(AE13),AH11,0)</f>
        <v>-5</v>
      </c>
      <c r="AI13" s="11"/>
      <c r="AJ13" s="14" t="str">
        <f>+W10</f>
        <v>C7</v>
      </c>
      <c r="AK13" s="67">
        <f>IF(ISTEXT(AJ13),AK11,0)</f>
        <v>4</v>
      </c>
      <c r="AL13" s="64">
        <f>IF(ISTEXT(AJ13),AL11,0)</f>
        <v>1</v>
      </c>
      <c r="AM13" s="68">
        <f>IF(ISTEXT(AJ13),AM11,0)</f>
        <v>-1</v>
      </c>
      <c r="AN13" s="23"/>
      <c r="AO13" s="54">
        <v>5</v>
      </c>
      <c r="AP13" s="321" t="str">
        <f>+Inscrits!B7</f>
        <v>A5</v>
      </c>
      <c r="AQ13" s="286">
        <f t="shared" si="3"/>
        <v>1</v>
      </c>
      <c r="AR13" s="99">
        <f t="shared" si="4"/>
        <v>-7</v>
      </c>
      <c r="AS13" s="219">
        <f t="shared" si="5"/>
        <v>2</v>
      </c>
      <c r="AT13" s="289">
        <f t="shared" si="6"/>
        <v>3</v>
      </c>
      <c r="AU13" s="99">
        <f t="shared" si="7"/>
        <v>7</v>
      </c>
      <c r="AV13" s="291">
        <f t="shared" si="8"/>
        <v>12</v>
      </c>
      <c r="AW13" s="286">
        <f t="shared" si="9"/>
        <v>3</v>
      </c>
      <c r="AX13" s="99">
        <f t="shared" si="10"/>
        <v>4</v>
      </c>
      <c r="AY13" s="291">
        <f t="shared" si="11"/>
        <v>13</v>
      </c>
      <c r="AZ13" s="286">
        <f t="shared" si="17"/>
        <v>7</v>
      </c>
      <c r="BA13" s="99">
        <f t="shared" si="12"/>
        <v>4</v>
      </c>
      <c r="BB13" s="291">
        <f t="shared" si="13"/>
        <v>27</v>
      </c>
      <c r="BC13" s="41">
        <f t="shared" si="14"/>
        <v>0</v>
      </c>
      <c r="BD13" s="57">
        <f t="shared" si="15"/>
        <v>4</v>
      </c>
      <c r="BE13" s="363">
        <f t="shared" si="16"/>
        <v>6.9573001300000001</v>
      </c>
      <c r="BF13" s="99">
        <f>IF(AP13="","",SMALL(BE$9:BE$62,ROWS(AZ$9:AZ13)))</f>
        <v>0.82710026999999997</v>
      </c>
      <c r="BG13" s="88"/>
      <c r="BH13" s="95" t="str">
        <f>IF(OR(AP13="",AZ13=""),"",INDEX($AP$9:$AP$63,MATCH(BF13,$BE$9:BE$62,0)))</f>
        <v>B1</v>
      </c>
      <c r="BI13" s="294">
        <f t="shared" si="0"/>
        <v>9</v>
      </c>
      <c r="BJ13" s="7">
        <f t="shared" si="1"/>
        <v>17</v>
      </c>
      <c r="BK13" s="7">
        <f t="shared" si="2"/>
        <v>29</v>
      </c>
      <c r="BL13" s="280">
        <f>IF(BF13="","",IF(AND(BI12=BI13,BJ12=BJ13,BK12=BK13),BL12,$BL$9+4))</f>
        <v>5</v>
      </c>
      <c r="BM13" s="29"/>
      <c r="BN13" s="40"/>
    </row>
    <row r="14" spans="1:66" ht="20.25">
      <c r="A14" s="131">
        <v>5</v>
      </c>
      <c r="B14" s="393" t="s">
        <v>70</v>
      </c>
      <c r="C14" s="272">
        <f>IF($Q$5&gt;=13,5,0)</f>
        <v>5</v>
      </c>
      <c r="D14" s="398" t="s">
        <v>88</v>
      </c>
      <c r="E14" s="272">
        <f>IF($Q$5&gt;=14,5,0)</f>
        <v>5</v>
      </c>
      <c r="F14" s="396" t="s">
        <v>106</v>
      </c>
      <c r="G14" s="272">
        <f>IF($Q$5&gt;=15,5,0)</f>
        <v>5</v>
      </c>
      <c r="H14" s="23"/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M14" s="155"/>
      <c r="N14" s="82">
        <v>3</v>
      </c>
      <c r="O14" s="138" t="str">
        <f>IF($Q$5=13,J14,IF($Q$5=14,J14,IF($Q$5=15,J14,IF($Q$5=16,J14,IF($Q$5=17,J14,IF($Q$5=18,J14,IF($Q$5=19,J14,IF($Q$5=20,J14,IF($Q$5=21,J14,IF($Q$5=22,J14,IF($Q$5=23,J14,IF($Q$5=24,J14,IF($Q$5=25,J14,IF($Q$5=26,J14,IF($Q$5=27,J14,IF($Q$5=28,J14,IF($Q$5=29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</f>
        <v>A5</v>
      </c>
      <c r="P14" s="139" t="str">
        <f>IF($Q$5=13,L12,IF($Q$5=14,L12,IF($Q$5=15,L12,IF($Q$5=16,K14,IF($Q$5=17,K14,IF($Q$5=18,K14,IF($Q$5=19,K14,IF($Q$5=20,K14,IF($Q$5=21,K14,IF($Q$5=22,K14,IF($Q$5=23,K14,IF($Q$5=24,K14,IF($Q$5=25,K14,IF($Q$5=26,K14,IF($Q$5=27,K14,IF($Q$5=28,K14,IF($Q$5=29,K14,IF($Q$5=30,K14,IF($Q$5=31,K14,IF($Q$5=32,K14,IF($Q$5=33,K14,IF($Q$5=34,K14,IF($Q$5=35,K14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</f>
        <v>B5</v>
      </c>
      <c r="Q14" s="153" t="str">
        <f>IF($Q$5=17,L14,IF($Q$5=18,L14,IF($Q$5=21,L14,IF($Q$5=22,L14,IF($Q$5=23,L14,IF($Q$5=24,L14,IF($Q$5=25,L14,IF($Q$5=26,L14,IF($Q$5=27,L14,IF($Q$5=28,L14,IF($Q$5=29,L14,IF($Q$5=30,L14,IF($Q$5=31,L14,IF($Q$5=32,L14,IF($Q$5=33,L14,IF($Q$5=34,L14,IF($Q$5=35,L14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</f>
        <v>C5</v>
      </c>
      <c r="R14" s="160" t="str">
        <f>IF($Q$5=13,J13,IF($Q$5=14,J10,IF($Q$5=15,J10,IF($Q$5=16,J15,IF($Q$5=17,J11,IF($Q$5=18,J13,IF($Q$5=19,J14,IF($Q$5=20,J14,IF($Q$5=21,J13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S14" s="163" t="str">
        <f>IF($Q$5=13,P14,IF($Q$5=14,L11,IF($Q$5=15,L10,IF($Q$5=16,K11,IF($Q$5=17,K15,IF($Q$5=18,K15,IF($Q$5=19,P10,IF($Q$5=20,K11,IF($Q$5=21,K15,IF($Q$5=22,K15,IF($Q$5=23,D17,IF($Q$5=24,K17,IF($Q$5=25,K16,IF($Q$5=26,K17,IF($Q$5=27,K15,IF($Q$5=28,K17,IF($Q$5=29,K15,IF($Q$5=30,K15,IF($Q$5=31,K17,IF($Q$5=32,K17,IF($Q$5=33,K17,IF($Q$5=34,K17,IF($Q$5=35,K17,IF($Q$5=36,K16,IF($Q$5=37,K16,IF($Q$5=38,K16,IF($Q$5=39,K16,IF($Q$5=40,K16,IF($Q$5=41,K16,IF($Q$5=42,K16,IF($Q$5=43,K16,IF($Q$5=44,K16,IF($Q$5=45,K16,IF($Q$5=46,K16,IF($Q$5=47,K16,IF($Q$5=48,K16,IF($Q$5=49,K16,IF($Q$5=50,K16,IF($Q$5=51,K16,IF($Q$5=52,K16,IF($Q$5=53,K16,IF($Q$5=54,K16,0))))))))))))))))))))))))))))))))))))))))))</f>
        <v>B7</v>
      </c>
      <c r="T14" s="182" t="str">
        <f>IF($Q$5=17,L10,IF($Q$5=18,L11,IF($Q$5=20,0,IF($Q$5=21,P16,IF($Q$5=22,P17,IF($Q$5=23,L15,IF($Q$5=24,L14,IF($Q$5=25,P17,IF($Q$5=26,L15,IF($Q$5=27,L15,IF($Q$5=28,L15,IF($Q$5=29,L15,IF($Q$5=30,L11,IF($Q$5=31,L16,IF($Q$5=32,L16,IF($Q$5=33,L16,IF($Q$5=34,L16,IF($Q$5=35,L16,IF($Q$5=36,L17,IF($Q$5=37,L17,IF($Q$5=38,L17,IF($Q$5=39,L17,IF($Q$5=40,L17,IF($Q$5=41,L17,IF($Q$5=42,L17,IF($Q$5=43,L17,IF($Q$5=44,L17,IF($Q$5=45,L17,IF($Q$5=46,L17,IF($Q$5=47,L17,IF($Q$5=48,L17,IF($Q$5=49,L17,IF($Q$5=50,L17,IF($Q$5=51,L17,IF($Q$5=52,L17,IF($Q$5=53,L17,IF($Q$5=54,L17,0)))))))))))))))))))))))))))))))))))))</f>
        <v>C8</v>
      </c>
      <c r="U14" s="160" t="str">
        <f>IF($Q$5=13,R10,IF($Q$5=14,R10,IF($Q$5=15,O11,IF($Q$5=16,O13,IF($Q$5=17,O11,IF($Q$5=18,R13,IF($Q$5=19,R10,IF($Q$5=20,R14,IF($Q$5=21,R11,IF($Q$5=22,O14,IF($Q$5=23,R17,IF($Q$5=24,R10,IF($Q$5=25,R10,IF($Q$5=26,O11,IF($Q$5=27,O11,IF($Q$5=28,R10,IF($Q$5=29,O11,IF($Q$5=30,R10,IF($Q$5=31,O15,IF($Q$5=32,O15,IF($Q$5=33,O15,IF($Q$5=34,O15,IF($Q$5=35,O15,IF($Q$5=36,O16,IF($Q$5=37,O16,IF($Q$5=38,O16,IF($Q$5=39,O16,IF($Q$5=40,O16,IF($Q$5=41,O16,IF($Q$5=42,O16,IF($Q$5=43,O16,IF($Q$5=44,O16,IF($Q$5=45,O16,IF($Q$5=46,O16,IF($Q$5=47,O16,IF($Q$5=48,O16,IF($Q$5=49,R15,IF($Q$5=50,O16,IF($Q$5=51,O16,IF($Q$5=52,O16,IF($Q$5=53,O16,IF($Q$5=54,O16,0))))))))))))))))))))))))))))))))))))))))))</f>
        <v>A7</v>
      </c>
      <c r="V14" s="157" t="str">
        <f>IF($Q$5=13,T10,IF($Q$5=14,P14,IF($Q$5=15,S13,IF($Q$5=16,S12,IF($Q$5=17,S15,IF($Q$5=18,S15,IF($Q$5=19,S13,IF($Q$5=20,S15,IF($Q$5=21,S10,IF($Q$5=22,S15,IF($Q$5=23,S17,IF($Q$5=24,S15,IF($Q$5=25,S15,IF($Q$5=26,S15,IF($Q$5=27,S15,IF($Q$5=28,S15,IF($Q$5=29,S15,IF($Q$5=30,S15,IF($Q$5=31,T11,IF($Q$5=32,S15,IF($Q$5=33,S15,IF($Q$5=34,S15,IF($Q$5=35,S15,IF($Q$5=36,S16,IF($Q$5=37,S16,IF($Q$5=38,S16,IF($Q$5=39,S16,IF($Q$5=40,S16,IF($Q$5=41,S16,IF($Q$5=42,S16,IF($Q$5=43,S16,IF($Q$5=44,S16,IF($Q$5=45,S16,IF($Q$5=46,S16,IF($Q$5=47,S16,IF($Q$5=48,S16,IF($Q$5=49,S16,IF($Q$5=50,S16,IF($Q$5=51,S16,IF($Q$5=52,S16,IF($Q$5=53,S16,IF($Q$5=54,S16,0))))))))))))))))))))))))))))))))))))))))))</f>
        <v>B9</v>
      </c>
      <c r="W14" s="172" t="str">
        <f>IF($Q$5=17,T10,IF($Q$5=18,T11,IF($Q$5=21,T13,IF($Q$5=22,T11,IF($Q$5=23,T11,IF($Q$5=24,T16,IF($Q$5=25,S17,IF($Q$5=26,S17,IF($Q$5=27,T16,IF($Q$5=28,T16,IF($Q$5=29,T16,IF($Q$5=30,T16,IF($Q$5=31,S19,IF($Q$5=32,T15,IF($Q$5=33,T15,IF($Q$5=34,T18,IF($Q$5=35,T20,IF($Q$5=36,T17,IF($Q$5=37,T17,IF($Q$5=38,T17,IF($Q$5=39,T17,IF($Q$5=40,T17,IF($Q$5=41,T17,IF($Q$5=42,T17,IF($Q$5=43,T17,IF($Q$5=44,T17,IF($Q$5=45,T17,IF($Q$5=46,T17,IF($Q$5=47,T17,IF($Q$5=48,T17,IF($Q$5=49,T17,IF($Q$5=50,T17,IF($Q$5=51,T17,IF($Q$5=52,T17,IF($Q$5=53,T17,IF($Q$5=54,T17,0))))))))))))))))))))))))))))))))))))</f>
        <v>C11</v>
      </c>
      <c r="X14" s="23"/>
      <c r="Y14" s="447"/>
      <c r="Z14" s="32"/>
      <c r="AA14" s="21" t="s">
        <v>5</v>
      </c>
      <c r="AB14" s="21"/>
      <c r="AC14" s="22"/>
      <c r="AD14" s="1"/>
      <c r="AE14" s="32"/>
      <c r="AF14" s="21" t="s">
        <v>5</v>
      </c>
      <c r="AG14" s="21"/>
      <c r="AH14" s="22"/>
      <c r="AI14" s="1"/>
      <c r="AJ14" s="32"/>
      <c r="AK14" s="21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>
        <f t="shared" si="3"/>
        <v>3</v>
      </c>
      <c r="AR14" s="99">
        <f t="shared" si="4"/>
        <v>7</v>
      </c>
      <c r="AS14" s="219">
        <f t="shared" si="5"/>
        <v>9</v>
      </c>
      <c r="AT14" s="289">
        <f t="shared" si="6"/>
        <v>3</v>
      </c>
      <c r="AU14" s="99">
        <f t="shared" si="7"/>
        <v>8</v>
      </c>
      <c r="AV14" s="291">
        <f t="shared" si="8"/>
        <v>9</v>
      </c>
      <c r="AW14" s="286">
        <f t="shared" si="9"/>
        <v>1</v>
      </c>
      <c r="AX14" s="99">
        <f t="shared" si="10"/>
        <v>-4</v>
      </c>
      <c r="AY14" s="291">
        <f t="shared" si="11"/>
        <v>9</v>
      </c>
      <c r="AZ14" s="286">
        <f t="shared" si="17"/>
        <v>7</v>
      </c>
      <c r="BA14" s="99">
        <f t="shared" si="12"/>
        <v>11</v>
      </c>
      <c r="BB14" s="291">
        <f t="shared" si="13"/>
        <v>27</v>
      </c>
      <c r="BC14" s="41">
        <f t="shared" si="14"/>
        <v>0</v>
      </c>
      <c r="BD14" s="57">
        <f t="shared" si="15"/>
        <v>11</v>
      </c>
      <c r="BE14" s="363">
        <f t="shared" si="16"/>
        <v>6.8873001399999998</v>
      </c>
      <c r="BF14" s="99">
        <f>IF(AP14="","",SMALL(BE$9:BE$62,ROWS(AZ$9:AZ14)))</f>
        <v>0.84740031999999998</v>
      </c>
      <c r="BG14" s="88"/>
      <c r="BH14" s="95" t="str">
        <f>IF(OR(AP14="",AZ14=""),"",INDEX($AP$9:$AP$63,MATCH(BF14,$BE$9:BE$62,0)))</f>
        <v>B6</v>
      </c>
      <c r="BI14" s="294">
        <f t="shared" si="0"/>
        <v>9</v>
      </c>
      <c r="BJ14" s="7">
        <f t="shared" si="1"/>
        <v>15</v>
      </c>
      <c r="BK14" s="7">
        <f t="shared" si="2"/>
        <v>26</v>
      </c>
      <c r="BL14" s="280">
        <f>IF(BF14="","",IF(AND(BI13=BI14,BJ13=BJ14,BK13=BK14),BL13,$BL$9+5))</f>
        <v>6</v>
      </c>
      <c r="BM14" s="29"/>
      <c r="BN14" s="40"/>
    </row>
    <row r="15" spans="1:66" ht="21" thickBot="1">
      <c r="A15" s="131">
        <v>6</v>
      </c>
      <c r="B15" s="393" t="s">
        <v>71</v>
      </c>
      <c r="C15" s="272">
        <f>IF($Q$5&gt;=16,6,0)</f>
        <v>6</v>
      </c>
      <c r="D15" s="398" t="s">
        <v>89</v>
      </c>
      <c r="E15" s="272">
        <f>IF($Q$5&gt;=17,6,0)</f>
        <v>6</v>
      </c>
      <c r="F15" s="396" t="s">
        <v>107</v>
      </c>
      <c r="G15" s="272">
        <f>IF($Q$5&gt;=18,6,0)</f>
        <v>6</v>
      </c>
      <c r="H15" s="23"/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M15" s="155"/>
      <c r="N15" s="52" t="s">
        <v>5</v>
      </c>
      <c r="O15" s="141" t="str">
        <f>IF($Q$5=13,K13,IF($Q$5=14,K14,IF($Q$5=15,K14,IF($Q$5=16,J15,IF($Q$5=17,J15,IF($Q5=18,J15,IF($Q$5=19,J15,IF($Q$5=20,J15,IF($Q$5=21,J15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P15" s="142" t="str">
        <f>IF($Q$5=13,L13,IF($Q$5=14,L13,IF($Q$5=15,L13,IF($Q$5=16,L14,IF($Q$5=17,K15,IF($Q$5=18,K15,IF($Q$5=19,L13,IF($Q$5=20,K15,IF($Q$5=21,K15,IF($Q$5=22,K15,IF($Q$5=23,K15,IF($Q$5=24,K15,IF($Q$5=25,K15,IF($Q$5=26,K15,IF($Q$5=27,K15,IF($Q$5=28,K15,IF($Q$5=29,K15,IF($Q$5=30,K15,IF($Q$5=31,K15,IF($Q$5=32,K15,IF($Q$5=33,K15,IF($Q$5=34,K15,IF($Q$5=35,K15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</f>
        <v>B6</v>
      </c>
      <c r="Q15" s="152" t="str">
        <f>IF($Q$5=18,L15,IF($Q$5=22,L15,IF($Q$5=23,L15,IF(Q$5=24,L15,IF($Q$5=26,L15,IF($Q$5=27,L15,IF($Q$5=28,L15,IF($Q$5=29,L15,IF($Q$5=30,L15,IF($Q$5=31,L15,IF($Q$5=32,L15,IF($Q$5=33,L15,IF($Q$5=34,L15,IF($Q$5=35,L15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</f>
        <v>C6</v>
      </c>
      <c r="R15" s="164" t="str">
        <f>IF($Q$5=13,K10,IF($Q$5=14,O15,IF($Q$5=15,O15,IF($Q$5=16,J10,IF($Q$5=17,J15,IF($Q$5=18,J15,IF($Q$5=19,J15,IF($Q$5=20,J15,IF($Q$5=21,J15,IF($Q$5=22,J16,IF($Q$5=23,J16,IF($Q$5=24,J16,IF($Q$5=25,J16,IF($Q$5=26,J16,IF($Q$5=27,J16,IF($Q$5=28,J16,IF($Q$5=29,O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))))))</f>
        <v>A7</v>
      </c>
      <c r="S15" s="159" t="str">
        <f>IF($Q$5=13,O15,IF($Q$5=14,P14,IF($Q$5=15,L11,IF($Q$5=16,L12,IF(Q$5=17,P10,IF($Q$5=18,K10,IF($Q$5=19,L11,IF($Q$5=20,K13,IF($Q$5=21,L10,IF($Q$5=22,K16,IF($Q$5=23,D10,IF($Q$5=24,K13,IF($Q$5=25,K15,IF($Q$5=26,K13,IF($Q$5=27,K16,IF($Q$5=28,K16,IF($Q$5=29,K16,IF($Q$5=30,K16,IF($Q$5=31,K15,IF($Q$5=32,K18,IF($Q$5=33,K18,IF($Q$5=34,K18,IF($Q$5=35,K18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))))))</f>
        <v>B8</v>
      </c>
      <c r="T15" s="183" t="str">
        <f>IF($Q$5=17,0,IF($Q$5=18,L10,IF($Q$5=21,0,IF($Q$5=22,L10,IF($Q$5=23,L14,IF($Q$5=24,L16,IF($Q$5=25,0,IF($Q$5=26,P18,IF($Q$5=27,L16,IF($Q$5=28,L16,IF($Q$5=29,L16,IF($Q$5=30,L16,IF($Q$5=31,L10,IF($Q$5=32,L15,IF($Q$5=33,L15,IF($Q$5=34,L15,IF($Q$5=35,L15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))))))))))))</f>
        <v>C9</v>
      </c>
      <c r="U15" s="185" t="str">
        <f>IF($Q$5=13,O15,IF($Q$5=14,R15,IF($Q$5=15,R15,IF($Q$5=16,R10,IF($Q$5=17,R15,IF($Q$5=18,R15,IF($Q$5=19,R15,IF($Q$5=20,R15,IF($Q$5=21,R15,IF($Q$5=22,R15,IF($Q$5=23,R15,IF($Q$5=24,O16,IF($Q$5=25,R15,IF($Q$5=26,R15,IF($Q$5=27,O16,IF($Q$5=28,O16,IF($Q$5=29,O16,IF($Q$5=30,O16,IF($Q$5=31,R15,IF($Q$5=32,O17,IF($Q$5=33,O17,IF($Q$5=34,R16,IF($Q$5=35,R16,IF($Q$5=36,O17,IF($Q$5=37,O17,IF($Q$5=38,O17,IF($Q$5=39,O17,IF($Q$5=40,O17,IF($Q$5=41,O17,IF($Q$5=42,O17,IF($Q$5=43,O17,IF($Q$5=44,O17,IF($Q$5=45,O17,IF($Q$5=46,O17,IF($Q$5=47,O17,IF($Q$5=48,O17,IF($Q$5=49,R16,IF($Q$5=50,O17,IF($Q$5=51,O17,IF($Q$5=52,O17,IF($Q$5=53,O17,IF($Q$5=54,O17,0))))))))))))))))))))))))))))))))))))))))))</f>
        <v>A8</v>
      </c>
      <c r="V15" s="162" t="str">
        <f>IF($Q$5=13,S12,IF($Q$5=14,L13,IF($Q$5=15,T10,IF($Q$5=16,T12,IF($Q$5=17,S12,IF($Q$5=18,S10,IF($Q$5=19,T11,IF($Q$5=20,S12,IF($Q$5=21,S12,IF($Q$5=22,S16,IF($Q$5=23,S16,IF($Q$5=24,S16,IF($Q$5=25,S18,IF($Q$5=26,S16,IF($Q$5=27,S16,IF($Q$5=28,S16,IF($Q$5=29,S14,IF($Q$5=30,S16,IF($Q$5=31,S16,IF($Q$5=32,S21,IF($Q$5=33,S19,IF($Q$5=34,S19,IF($Q$5=35,S19,IF($Q$5=36,S17,IF($Q$5=37,S17,IF($Q$5=38,S17,IF($Q$5=39,S17,IF($Q$5=40,S17,IF($Q$5=41,S17,IF($Q$5=42,S17,IF($Q$5=43,S17,IF($Q$5=44,S17,IF($Q$5=45,S17,IF($Q$5=46,S17,IF($Q$5=47,S17,IF($Q$5=48,S17,IF($Q$5=49,S17,IF($Q$5=50,S17,IF($Q$5=51,S17,IF($Q$5=52,S17,IF($Q$5=53,S17,IF($Q$5=54,S17,0))))))))))))))))))))))))))))))))))))))))))</f>
        <v>B10</v>
      </c>
      <c r="W15" s="174" t="str">
        <f>IF($Q$5=18,T10,IF($Q$5=22,S17,IF($Q$5=23,T16,IF($Q$5=24,T17,IF($Q$5=25,0,IF($Q$5=26,T11,IF($Q$5=27,S17,IF($Q$5=28,T17,IF($Q$5=29,T17,IF($Q$5=30,T17,IF($Q$5=31,S20,IF($Q$5=32,T13,IF($Q$5=33,T13,IF($Q$5=34,T13,IF($Q$5=35,T13,IF($Q$5=36,T18,IF($Q$5=37,T18,IF($Q$5=38,T18,IF($Q$5=39,S23,IF($Q$5=40,T18,IF($Q$5=41,T18,IF($Q$5=42,T18,IF($Q$5=43,T18,IF($Q$5=44,T18,IF($Q$5=45,T18,IF($Q$5=46,T18,IF($Q$5=47,T18,IF($Q$5=48,T18,IF($Q$5=49,T18,IF($Q$5=50,T18,IF($Q$5=51,T18,IF($Q$5=52,T18,IF($Q$5=53,T18,IF($Q$5=54,T18,0))))))))))))))))))))))))))))))))))</f>
        <v>C12</v>
      </c>
      <c r="X15" s="23"/>
      <c r="Y15" s="447"/>
      <c r="Z15" s="14" t="str">
        <f>+O11</f>
        <v>A2</v>
      </c>
      <c r="AA15" s="34">
        <v>6</v>
      </c>
      <c r="AB15" s="30">
        <f>IF(AA11+AA15=0,0,IF(AA11=AA15,2,IF(AA11&lt;AA15,3,1)))</f>
        <v>1</v>
      </c>
      <c r="AC15" s="15">
        <f>AA15-AA11</f>
        <v>-3</v>
      </c>
      <c r="AD15" s="9"/>
      <c r="AE15" s="14" t="str">
        <f>+R11</f>
        <v>A3</v>
      </c>
      <c r="AF15" s="127">
        <v>10</v>
      </c>
      <c r="AG15" s="30">
        <f>IF(AF11+AF15=0,0,IF(AF11=AF15,2,IF(AF11&lt;AF15,3,1)))</f>
        <v>3</v>
      </c>
      <c r="AH15" s="15">
        <f>AF15-AF11</f>
        <v>5</v>
      </c>
      <c r="AI15" s="9"/>
      <c r="AJ15" s="14" t="str">
        <f>+U11</f>
        <v>A4</v>
      </c>
      <c r="AK15" s="37">
        <v>5</v>
      </c>
      <c r="AL15" s="30">
        <f>IF(AK11+AK15=0,0,IF(AK11=AK15,2,IF(AK11&lt;AK15,3,1)))</f>
        <v>3</v>
      </c>
      <c r="AM15" s="15">
        <f>AK15-AK11</f>
        <v>1</v>
      </c>
      <c r="AN15" s="23"/>
      <c r="AO15" s="54">
        <v>7</v>
      </c>
      <c r="AP15" s="321" t="str">
        <f>+Inscrits!B9</f>
        <v>A7</v>
      </c>
      <c r="AQ15" s="286">
        <f t="shared" si="3"/>
        <v>1</v>
      </c>
      <c r="AR15" s="99">
        <f t="shared" si="4"/>
        <v>-11</v>
      </c>
      <c r="AS15" s="219">
        <f t="shared" si="5"/>
        <v>1</v>
      </c>
      <c r="AT15" s="289">
        <f t="shared" si="6"/>
        <v>1</v>
      </c>
      <c r="AU15" s="99">
        <f t="shared" si="7"/>
        <v>-8</v>
      </c>
      <c r="AV15" s="291">
        <f t="shared" si="8"/>
        <v>1</v>
      </c>
      <c r="AW15" s="286">
        <f t="shared" si="9"/>
        <v>1</v>
      </c>
      <c r="AX15" s="99">
        <f t="shared" si="10"/>
        <v>-1</v>
      </c>
      <c r="AY15" s="291">
        <f t="shared" si="11"/>
        <v>5</v>
      </c>
      <c r="AZ15" s="286">
        <f t="shared" si="17"/>
        <v>3</v>
      </c>
      <c r="BA15" s="99">
        <f t="shared" si="12"/>
        <v>-20</v>
      </c>
      <c r="BB15" s="291">
        <f t="shared" si="13"/>
        <v>7</v>
      </c>
      <c r="BC15" s="41">
        <f t="shared" si="14"/>
        <v>-20</v>
      </c>
      <c r="BD15" s="57">
        <f t="shared" si="15"/>
        <v>0</v>
      </c>
      <c r="BE15" s="363">
        <f t="shared" si="16"/>
        <v>39.199300149999999</v>
      </c>
      <c r="BF15" s="99">
        <f>IF(AP15="","",SMALL(BE$9:BE$62,ROWS(AZ$9:AZ15)))</f>
        <v>6.8777005899999999</v>
      </c>
      <c r="BG15" s="88"/>
      <c r="BH15" s="95" t="str">
        <f>IF(OR(AP15="",AZ15=""),"",INDEX($AP$9:$AP$63,MATCH(BF15,$BE$9:BE$62,0)))</f>
        <v>C15</v>
      </c>
      <c r="BI15" s="294">
        <f t="shared" si="0"/>
        <v>7</v>
      </c>
      <c r="BJ15" s="7">
        <f t="shared" si="1"/>
        <v>12</v>
      </c>
      <c r="BK15" s="7">
        <f t="shared" si="2"/>
        <v>23</v>
      </c>
      <c r="BL15" s="280">
        <f>IF(BF15="","",IF(AND(BI14=BI15,BJ14=BJ15,BK14=BK15),BL14,$BL$9+6))</f>
        <v>7</v>
      </c>
      <c r="BM15" s="29"/>
      <c r="BN15" s="40"/>
    </row>
    <row r="16" spans="1:66" ht="21" thickBot="1">
      <c r="A16" s="131">
        <v>7</v>
      </c>
      <c r="B16" s="393" t="s">
        <v>72</v>
      </c>
      <c r="C16" s="272">
        <f>IF($Q$5&gt;=19,7,0)</f>
        <v>7</v>
      </c>
      <c r="D16" s="398" t="s">
        <v>90</v>
      </c>
      <c r="E16" s="272">
        <f>IF($Q$5&gt;=20,7,0)</f>
        <v>7</v>
      </c>
      <c r="F16" s="396" t="s">
        <v>108</v>
      </c>
      <c r="G16" s="272">
        <f>IF($Q$5&gt;=21,7,0)</f>
        <v>7</v>
      </c>
      <c r="H16" s="23"/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M16" s="155"/>
      <c r="N16" s="82">
        <v>4</v>
      </c>
      <c r="O16" s="138" t="str">
        <f>IF($Q$5=19,J16,IF($Q$5=20,J16,IF($Q$5=21,J16,IF($Q$5=22,J16,IF($Q$5=23,J16,IF(Q$5=24,J16,IF($Q$5=25,J16,IF($Q$5=26,J16,IF(Q$5=27,J16,IF($Q$5=28,J16,IF($Q$5=29,J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</f>
        <v>A7</v>
      </c>
      <c r="P16" s="139" t="str">
        <f>IF($Q$5=19,L15,IF($Q$5=20,L14,IF($Q$5=21,L15,IF($Q$5=22,K16,IF($Q$5=23,K16,IF($Q$5=24,K16,IF($Q$5=25,K16,IF($Q$5=26,K16,IF($Q$5=27,K16,IF($Q$5=28,K16,IF($Q$5=29,K16,IF($Q$5=30,K16,IF($Q$5=31,K16,IF($Q$5=32,K16,IF($Q$5=33,K16,IF($Q$5=34,K16,IF($Q$5=35,K16,IF($Q$5=36,K16,IF($Q$5=37,K16,IF($Q$5=38,K16,IF($Q$5=39,K16,IF($Q$5=40,K16,IF($Q$5=41,K16,IF($Q$5=42,K16,IF($Q$5=43,K16,IF($Q$5=44,K16,IF($Q$5=45,K16,IF($Q$5=46,K16,IF($Q$5=47,K16,IF($Q$5=48,K16,IF($Q$5=49,K16,IF($Q$5=50,K16,IF($Q$5=51,K16,IF($Q$5=52,I16,IF($Q$5=53,K16,IF($Q$5=54,K16,0))))))))))))))))))))))))))))))))))))</f>
        <v>B7</v>
      </c>
      <c r="Q16" s="153" t="str">
        <f>IF($Q$5=23,L16,IF($Q$5=24,L16,IF($Q$5=27,L16,IF($Q$5=28,L16,IF($Q$5=29,L16,IF($Q$5=30,L16,IF($Q$5=31,L16,IF($Q$5=32,L16,IF($Q$5=33,L16,IF($Q$5=34,L16,IF($Q$5=35,L16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</f>
        <v>C7</v>
      </c>
      <c r="R16" s="165" t="str">
        <f>IF($Q$5=19,J16,IF($Q$5=20,J16,IF($Q$5=21,J16,IF($Q$5=22,J17,IF($Q$5=23,J17,IF($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S16" s="157" t="str">
        <f>IF($Q$5=19,P16,IF($Q$5=20,L10,IF($Q$5=21,L11,IF($Q$5=22,K10,IF($Q$5=23,D11,IF($Q$5=24,K15,IF($Q$5=25,K10,IF($Q$5=26,K15,IF($Q$5=27,K17,IF(Q$5=28,K15,IF($Q$5=29,K17,IF($Q$5=30,K17,IF($Q$5=31,P18,IF($Q$5=32,K15,IF($Q$5=33,K15,IF($Q$5=34,K15,IF($Q$5=35,K15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))))))</f>
        <v>B9</v>
      </c>
      <c r="T16" s="179" t="str">
        <f>IF($Q$5=22,0,IF($Q$5=23,L10,IF($Q$5=24,L10,IF($Q$5=26,0,IF($Q$5=27,P18,IF($Q$5=28,L17,IF($Q$5=29,L17,IF($Q$5=30,L17,IF($Q$5=31,L15,IF($Q$5=32,L10,IF($Q$5=33,L10,IF($Q$5=34,L10,IF($Q$5=35,L10,IF($Q$5=36,L19,IF($Q$5=37,P23,IF($Q$5=38,L19,IF($Q$5=39,L19,IF($Q$5=40,L19,IF($Q$5=41,L19,IF($Q$5=42,L19,IF($Q$5=43,L19,IF($Q$5=44,L19,IF($Q$5=45,L19,IF($Q$5=46,L19,IF($Q$5=47,L19,IF($Q$5=48,L19,IF($Q$5=49,L19,IF($Q$5=50,L19,IF($Q$5=51,L19,IF($Q$5=52,L19,IF($Q$5=53,L19,IF($Q$5=54,L19,0))))))))))))))))))))))))))))))))</f>
        <v>C10</v>
      </c>
      <c r="U16" s="165" t="str">
        <f>IF($Q$5=19,R16,IF($Q$5=20,R16,IF($Q$5=21,R16,IF($Q$5=22,R14,IF($Q$5=23,R16,IF($Q$5=24,R14,IF($Q$5=25,R14,IF($Q$5=26,R14,IF($Q$5=27,R14,IF($Q$5=28,R14,IF($Q$5=29,O15,IF($Q$5=30,O15,IF($Q$5=31,R16,IF($Q$5=32,R15,IF($Q$5=33,O16,IF($Q$5=34,O16,IF($Q$5=35,R15,IF($Q$5=36,O18,IF($Q$5=37,O18,IF($Q$5=38,O18,IF($Q$5=39,R17,IF($Q$5=40,O18,IF($Q$5=41,O18,IF($Q$5=42,O18,IF($Q$5=43,O18,IF($Q$5=44,O18,IF($Q$5=45,O18,IF($Q$5=46,O18,IF($Q$5=47,O18,IF($Q$5=48,O18,IF($Q$5=49,R17,IF($Q$5=50,O18,IF($Q$5=51,O18,IF($Q$5=52,O18,IF($Q$5=53,O18,IF($Q$5=54,O18,0))))))))))))))))))))))))))))))))))))</f>
        <v>A9</v>
      </c>
      <c r="V16" s="163" t="str">
        <f>IF($Q$5=19,S15,IF($Q$5=20,S17,IF($Q$5=21,S15,IF($Q$5=22,S12,IF($Q$5=23,S15,IF($Q$5=24,S12,IF($Q$5=25,S16,IF($Q$5=26,S19,IF($Q$5=27,T11,IF($Q$5=28,S19,IF($Q$5=29,S19,IF($Q$5=30,S19,IF($Q$5=31,R21,IF($Q$5=32,S20,IF($Q$5=33,S18,IF($Q$5=34,S18,IF($Q$5=35,S18,IF($Q$5=36,S18,IF($Q$5=37,S18,IF($Q$5=38,S18,IF($Q$5=39,S18,IF($Q$5=40,S18,IF($Q$5=41,S18,IF($Q$5=42,S18,IF($Q$5=43,S18,IF($Q$5=44,S18,IF($Q$5=45,S18,IF($Q$5=46,S18,IF($Q$5=47,S18,IF($Q$5=48,S18,IF($Q$5=49,S18,IF($Q$5=50,S18,IF($Q$5=51,S18,IF($Q$5=52,S18,IF($Q$5=53,S18,IF($Q$5=54,S18,0))))))))))))))))))))))))))))))))))))</f>
        <v>B11</v>
      </c>
      <c r="W16" s="173" t="str">
        <f>IF($Q$5=23,T10,IF($Q$5=24,T11,IF($Q$5=27,S18,IF($Q$5=28,T11,IF($Q$5=29,T12,IF($Q$5=30,T11,IF($Q$5=31,S18,IF($Q$5=32,T16,IF($Q$5=33,T16,IF($Q$5=34,T16,IF($Q$5=35,T19,IF($Q$5=36,T19,IF($Q$5=37,S21,IF($Q$5=38,T19,IF($Q$5=39,S22,IF($Q$5=40,T19,IF($Q$5=41,T19,IF($Q$5=42,T19,IF($Q$5=43,T19,IF($Q$5=44,T19,IF($Q$5=45,T19,IF($Q$5=46,T19,IF($Q$5=47,T19,IF($Q$5=48,T19,IF($Q$5=49,T19,IF($Q$5=50,T19,IF($Q$5=51,T19,IF($Q$5=52,T19,IF($Q$5=53,T19,IF($Q$5=54,T19,0))))))))))))))))))))))))))))))</f>
        <v>C13</v>
      </c>
      <c r="X16" s="23"/>
      <c r="Y16" s="447"/>
      <c r="Z16" s="14" t="str">
        <f>+P11</f>
        <v>B2</v>
      </c>
      <c r="AA16" s="69">
        <f>IF(ISTEXT(Z16),AA15,0)</f>
        <v>6</v>
      </c>
      <c r="AB16" s="18">
        <f>IF(ISTEXT(Z16),AB15,0)</f>
        <v>1</v>
      </c>
      <c r="AC16" s="62">
        <f>IF(ISTEXT(Z16),AC15,0)</f>
        <v>-3</v>
      </c>
      <c r="AD16" s="11"/>
      <c r="AE16" s="14" t="str">
        <f>+S11</f>
        <v>B4</v>
      </c>
      <c r="AF16" s="18">
        <f>IF(ISTEXT(AE16),AF15,0)</f>
        <v>10</v>
      </c>
      <c r="AG16" s="18">
        <f>IF(ISTEXT(AE16),AG15,0)</f>
        <v>3</v>
      </c>
      <c r="AH16" s="62">
        <f>IF(ISTEXT(AE16),AH15,0)</f>
        <v>5</v>
      </c>
      <c r="AI16" s="11"/>
      <c r="AJ16" s="14" t="str">
        <f>+V11</f>
        <v>B6</v>
      </c>
      <c r="AK16" s="18">
        <f>IF(ISTEXT(AJ16),AK15,0)</f>
        <v>5</v>
      </c>
      <c r="AL16" s="18">
        <f>IF(ISTEXT(AJ16),AL15,0)</f>
        <v>3</v>
      </c>
      <c r="AM16" s="62">
        <f>IF(ISTEXT(AJ16),AM15,0)</f>
        <v>1</v>
      </c>
      <c r="AN16" s="23"/>
      <c r="AO16" s="54">
        <v>8</v>
      </c>
      <c r="AP16" s="321" t="str">
        <f>+Inscrits!B10</f>
        <v>A8</v>
      </c>
      <c r="AQ16" s="286">
        <f t="shared" si="3"/>
        <v>3</v>
      </c>
      <c r="AR16" s="99">
        <f t="shared" si="4"/>
        <v>11</v>
      </c>
      <c r="AS16" s="219">
        <f t="shared" si="5"/>
        <v>12</v>
      </c>
      <c r="AT16" s="289">
        <f t="shared" si="6"/>
        <v>3</v>
      </c>
      <c r="AU16" s="99">
        <f t="shared" si="7"/>
        <v>9</v>
      </c>
      <c r="AV16" s="291">
        <f t="shared" si="8"/>
        <v>13</v>
      </c>
      <c r="AW16" s="286">
        <f t="shared" si="9"/>
        <v>3</v>
      </c>
      <c r="AX16" s="99">
        <f t="shared" si="10"/>
        <v>1</v>
      </c>
      <c r="AY16" s="291">
        <f t="shared" si="11"/>
        <v>6</v>
      </c>
      <c r="AZ16" s="286">
        <f t="shared" si="17"/>
        <v>9</v>
      </c>
      <c r="BA16" s="99">
        <f t="shared" si="12"/>
        <v>21</v>
      </c>
      <c r="BB16" s="291">
        <f t="shared" si="13"/>
        <v>31</v>
      </c>
      <c r="BC16" s="41">
        <f t="shared" si="14"/>
        <v>0</v>
      </c>
      <c r="BD16" s="57">
        <f t="shared" si="15"/>
        <v>21</v>
      </c>
      <c r="BE16" s="363">
        <f t="shared" si="16"/>
        <v>0.78690016000000007</v>
      </c>
      <c r="BF16" s="99">
        <f>IF(AP16="","",SMALL(BE$9:BE$62,ROWS(AZ$9:AZ16)))</f>
        <v>6.8873001399999998</v>
      </c>
      <c r="BG16" s="88"/>
      <c r="BH16" s="95" t="str">
        <f>IF(OR(AP16="",AZ16=""),"",INDEX($AP$9:$AP$63,MATCH(BF16,$BE$9:BE$62,0)))</f>
        <v>A6</v>
      </c>
      <c r="BI16" s="294">
        <f t="shared" si="0"/>
        <v>7</v>
      </c>
      <c r="BJ16" s="7">
        <f t="shared" si="1"/>
        <v>11</v>
      </c>
      <c r="BK16" s="7">
        <f t="shared" si="2"/>
        <v>27</v>
      </c>
      <c r="BL16" s="280">
        <f>IF(BF16="","",IF(AND(BI15=BI16,BJ15=BJ16,BK15=BK16),BL15,$BL$9+7))</f>
        <v>8</v>
      </c>
      <c r="BM16" s="29"/>
      <c r="BN16" s="40"/>
    </row>
    <row r="17" spans="1:66" ht="21" thickBot="1">
      <c r="A17" s="131">
        <v>8</v>
      </c>
      <c r="B17" s="393" t="s">
        <v>73</v>
      </c>
      <c r="C17" s="272">
        <f>IF($Q$5&gt;=22,8,0)</f>
        <v>8</v>
      </c>
      <c r="D17" s="398" t="s">
        <v>91</v>
      </c>
      <c r="E17" s="272">
        <f>IF($Q$5&gt;=23,8,0)</f>
        <v>8</v>
      </c>
      <c r="F17" s="396" t="s">
        <v>109</v>
      </c>
      <c r="G17" s="272">
        <f>IF($Q$5&gt;=24,8,0)</f>
        <v>8</v>
      </c>
      <c r="H17" s="23"/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M17" s="155"/>
      <c r="N17" s="52" t="s">
        <v>5</v>
      </c>
      <c r="O17" s="145" t="str">
        <f>IF($Q$5=19,K15,IF($Q$5=20,K16,IF($Q$5=21,K16,IF($Q$5=22,J17,IF($Q$5=23,J17,IF(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P17" s="149" t="str">
        <f>IF($Q$5=19,L14,IF($Q$5=20,L15,IF($Q$5=21,L16,IF(Q$5=22,L16,IF($Q$5=23,K17,IF($Q$5=24,K17,IF($Q$5=25,L15,IF($Q$5=26,K17,IF($Q$5=27,K17,IF($Q$5=28,K17,IF($Q$5=29,K17,IF($Q$5=30,K17,IF($Q$5=31,K17,IF($Q$5=32,K17,IF($Q$5=33,K17,IF($Q$5=34,K17,IF($Q$5=35,K17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</f>
        <v>B8</v>
      </c>
      <c r="Q17" s="152" t="str">
        <f>IF($Q$5=24,L17,IF($Q$5=28,L17,IF($Q$5=29,L17,IF($Q$5=30,L17,IF($Q$5=31,0,IF($Q$5=32,L17,IF($Q$5=33,L17,IF($Q$5=34,L17,IF($Q$5=35,L17,IF($Q$5=36,L17,IF($Q$5=37,L17,IF($Q$5=38,L17,IF($Q$5=39,L17,IF(Q$5=40,L17,IF($Q$5=41,L17,IF($Q$5=42,L17,IF($Q$5=43,L17,IF($Q$5=44,L17,IF($Q$5=45,L17,IF($Q$5=46,L17,IF($Q$5=47,L17,IF($Q$5=48,L17,IF($Q$5=49,L17,IF($Q$5=50,L17,IF($Q$5=51,L17,IF($Q$5=52,L17,IF($Q$5=53,L17,IF($Q$5=54,L17,0))))))))))))))))))))))))))))</f>
        <v>C8</v>
      </c>
      <c r="R17" s="166" t="str">
        <f>IF($Q$5=19,K15,IF($Q$5=20,O17,IF($Q$5=21,O17,IF($Q$5=22,J10,IF($Q$5=23,J10,IF($Q$5=24,J10,IF($Q$5=25,J18,IF($Q$5=26,J18,IF($Q$5=27,J18,IF($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))))))</f>
        <v>A9</v>
      </c>
      <c r="S17" s="162" t="str">
        <f>IF($Q$5=19,L12,IF($Q$5=20,K15,IF($Q$5=21,L12,IF($Q$5=22,L11,IF($Q$5=23,K12,IF($Q$5=24,K11,IF($Q$5=25,L10,IF($Q$5=26,L10,IF($Q$5=27,L10,IF($Q$5=28,K10,IF($Q$5=29,K19,IF($Q$5=30,K19,IF(Q$5=31,P16,IF($Q$5=32,K16,IF($Q$5=33,K16,IF($Q$5=34,K16,IF($Q$5=35,K16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))))))</f>
        <v>B10</v>
      </c>
      <c r="T17" s="181" t="str">
        <f>IF($Q$5=24,L17,IF($Q$5=27,0,IF($Q$5=28,P19,IF($Q$6=29,L18,IF($Q$5=29,L18,IF($Q$5=30,L18,IF($Q$5=32,L17,IF($Q$5=33,L17,IF($Q$5=34,L17,IF($Q$5=35,L17,IF($Q$5=36,L20,IF($Q$5=37,P22,IF($Q$5=38,P22,IF($Q$5=39,L20,IF($Q$5=40,L20,IF($Q$5=41,L20,IF($Q$5=42,L20,IF($Q$5=43,L20,IF($Q$5=44,L20,IF($Q$5=45,L20,IF($Q$5=46,L20,IF($Q$5=47,L20,IF($Q$5=48,L20,IF($Q$5=49,L20,IF($Q$5=50,L20,IF($Q$5=51,L20,IF($Q$5=52,L20,IF($Q$5=53,L20,IF($Q$5=54,L20,0)))))))))))))))))))))))))))))</f>
        <v>C11</v>
      </c>
      <c r="U17" s="209" t="str">
        <f>IF($Q$5=19,R17,IF($Q$5=20,R17,IF($Q$5=21,K16,IF($Q$5=22,R16,IF($Q$5=23,R10,IF($Q$5=24,R16,IF($Q$5=25,R16,IF($Q$5=26,R16,IF($Q$5=27,R16,IF($Q$5=28,R17,IF($Q$5=29,O18,IF($Q$5=30,O18,IF($Q$5=31,R17,IF($Q$5=32,O18,IF($Q$5=33,R17,IF($Q$5=34,O18,IF($Q$5=35,R17,IF($Q$5=36,R18,IF($Q$5=37,O19,IF($Q$5=38,O19,IF($Q$5=39,O19,IF($Q$5=40,R18,IF($Q$5=41,O19,IF($Q$5=42,R18,IF($Q$5=43,R18,IF($Q$5=44,O19,IF($Q$5=45,R18,IF($Q$5=46,R18,IF($Q$5=47,R18,IF($Q$5=48,R18,IF($Q$5=49,R18,IF($Q$5=50,R18,IF($Q$5=51,R18:R18,IF($Q$5=52,R18,IF($Q$5=53,R18,IF($Q$5=54,O19,0))))))))))))))))))))))))))))))))))))</f>
        <v>A10</v>
      </c>
      <c r="V17" s="159" t="str">
        <f>IF($Q$5=19,T10,IF($Q$5=20,T10,IF($Q$5=21,S16,IF($Q$5=22,T10,IF($Q$5=23,S12,IF($Q$5=24,S17,IF($Q$5=25,T10,IF($Q$5=26,S12,IF($Q$5=27,S12,IF($Q$5=28,S17,IF($Q$5=29,S18,IF($Q$5=30,S17,IF($Q$5=31,S17,IF($Q$5=32,S12,IF($Q$5=33,S12,IF($Q$5=34,S12,IF($Q$5=35,S12,IF($Q$5=36,S19,IF($Q$5=37,S19,IF($Q$5=38,S19,IF($Q$5=39,S19,IF($Q$5=40,S19,IF($Q$5=41,S19,IF($Q$5=42,S19,IF($Q$5=43,S19,IF($Q$5=44,S19,IF($Q$5=45,S19,IF($Q$5=46,S19,IF($Q$5=47,S19,IF($Q$5=48,S19,IF($Q$5=49,S19,IF($Q$5=50,S19,IF($Q$5=51,S19,IF($Q$5=52,S19,IF($Q$5=53,S19,IF($Q$5=54,S19,0))))))))))))))))))))))))))))))))))))</f>
        <v>B12</v>
      </c>
      <c r="W17" s="175" t="str">
        <f>IF($Q$5=24,T10,IF($Q$5=27,0,IF($Q$5=28,S18,IF($Q$5=29,T18,IF($Q$5=30,T18,IF($Q$5=32,T17,IF($Q$5=33,T17,IF($Q$5=34,T17,IF($Q$5=35,T17,IF($Q$5=36,T20,IF($Q$5=37,S22,IF($Q$5=38,S22,IF($Q$5=39,T18,IF($Q$5=40,T20,IF($Q$5=41,T20,IF($Q$5=42,T20,IF($Q$5=43,T20,IF($Q$5=44,T20,IF($Q$5=45,T20,IF($Q$5=46,T20,IF($Q$5=47,T20,IF($Q$5=48,T20,IF($Q$5=49,T20,IF($Q$5=50,T20,IF($Q$5=51,T20,IF($Q$5=52,T20,IF($Q$5=53,T20,IF($Q$5=54,T20,0))))))))))))))))))))))))))))</f>
        <v>C14</v>
      </c>
      <c r="X17" s="23"/>
      <c r="Y17" s="448"/>
      <c r="Z17" s="16" t="str">
        <f>+Q11</f>
        <v>C2</v>
      </c>
      <c r="AA17" s="69">
        <f>IF(ISTEXT(Z17),AA15,0)</f>
        <v>6</v>
      </c>
      <c r="AB17" s="18">
        <f>IF(ISTEXT(Z17),AB15,0)</f>
        <v>1</v>
      </c>
      <c r="AC17" s="62">
        <f>IF(ISTEXT(Z17),AC15,0)</f>
        <v>-3</v>
      </c>
      <c r="AD17" s="11"/>
      <c r="AE17" s="16" t="str">
        <f>+T11</f>
        <v>C5</v>
      </c>
      <c r="AF17" s="18">
        <f>IF(ISTEXT(AE17),AF15,0)</f>
        <v>10</v>
      </c>
      <c r="AG17" s="18">
        <f>IF(ISTEXT(AE17),AG15,0)</f>
        <v>3</v>
      </c>
      <c r="AH17" s="62">
        <f>IF(ISTEXT(AE17),AH15,0)</f>
        <v>5</v>
      </c>
      <c r="AI17" s="11"/>
      <c r="AJ17" s="16" t="str">
        <f>+W11</f>
        <v>C8</v>
      </c>
      <c r="AK17" s="18">
        <f>IF(ISTEXT(AJ17),AK15,0)</f>
        <v>5</v>
      </c>
      <c r="AL17" s="18">
        <f>IF(ISTEXT(AJ17),AL15,0)</f>
        <v>3</v>
      </c>
      <c r="AM17" s="62">
        <f>IF(ISTEXT(AJ17),AM15,0)</f>
        <v>1</v>
      </c>
      <c r="AN17" s="23"/>
      <c r="AO17" s="54">
        <v>9</v>
      </c>
      <c r="AP17" s="321" t="str">
        <f>+Inscrits!B11</f>
        <v>A9</v>
      </c>
      <c r="AQ17" s="286">
        <f t="shared" si="3"/>
        <v>3</v>
      </c>
      <c r="AR17" s="99">
        <f t="shared" si="4"/>
        <v>2</v>
      </c>
      <c r="AS17" s="219">
        <f t="shared" si="5"/>
        <v>10</v>
      </c>
      <c r="AT17" s="289">
        <f t="shared" si="6"/>
        <v>1</v>
      </c>
      <c r="AU17" s="99">
        <f t="shared" si="7"/>
        <v>-9</v>
      </c>
      <c r="AV17" s="291">
        <f t="shared" si="8"/>
        <v>4</v>
      </c>
      <c r="AW17" s="286">
        <f t="shared" si="9"/>
        <v>1</v>
      </c>
      <c r="AX17" s="99">
        <f t="shared" si="10"/>
        <v>-8</v>
      </c>
      <c r="AY17" s="291">
        <f t="shared" si="11"/>
        <v>1</v>
      </c>
      <c r="AZ17" s="286">
        <f t="shared" si="17"/>
        <v>5</v>
      </c>
      <c r="BA17" s="99">
        <f t="shared" si="12"/>
        <v>-15</v>
      </c>
      <c r="BB17" s="291">
        <f t="shared" si="13"/>
        <v>15</v>
      </c>
      <c r="BC17" s="41">
        <f t="shared" si="14"/>
        <v>-15</v>
      </c>
      <c r="BD17" s="57">
        <f t="shared" si="15"/>
        <v>0</v>
      </c>
      <c r="BE17" s="363">
        <f t="shared" si="16"/>
        <v>23.148500169999998</v>
      </c>
      <c r="BF17" s="99">
        <f>IF(AP17="","",SMALL(BE$9:BE$62,ROWS(AZ$9:AZ17)))</f>
        <v>6.8874004099999997</v>
      </c>
      <c r="BG17" s="88"/>
      <c r="BH17" s="95" t="str">
        <f>IF(OR(AP17="",AZ17=""),"",INDEX($AP$9:$AP$63,MATCH(BF17,$BE$9:BE$62,0)))</f>
        <v>B15</v>
      </c>
      <c r="BI17" s="294">
        <f t="shared" si="0"/>
        <v>7</v>
      </c>
      <c r="BJ17" s="7">
        <f t="shared" si="1"/>
        <v>11</v>
      </c>
      <c r="BK17" s="7">
        <f t="shared" si="2"/>
        <v>26</v>
      </c>
      <c r="BL17" s="280">
        <f>IF(BF17="","",IF(AND(BI16=BI17,BJ16=BJ17,BK16=BK17),BL16,$BL$9+8))</f>
        <v>9</v>
      </c>
      <c r="BM17" s="29"/>
      <c r="BN17" s="264"/>
    </row>
    <row r="18" spans="1:66" ht="21" thickBot="1">
      <c r="A18" s="131">
        <v>9</v>
      </c>
      <c r="B18" s="393" t="s">
        <v>74</v>
      </c>
      <c r="C18" s="272">
        <f>IF($Q$5&gt;=25,9,0)</f>
        <v>9</v>
      </c>
      <c r="D18" s="398" t="s">
        <v>92</v>
      </c>
      <c r="E18" s="272">
        <f>IF($Q$5&gt;=26,9,0)</f>
        <v>9</v>
      </c>
      <c r="F18" s="396" t="s">
        <v>110</v>
      </c>
      <c r="G18" s="272">
        <f>IF($Q$5&gt;=27,9,0)</f>
        <v>9</v>
      </c>
      <c r="H18" s="23"/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M18" s="155"/>
      <c r="N18" s="82">
        <v>5</v>
      </c>
      <c r="O18" s="138" t="str">
        <f>IF($Q$5=25,J18,IF($Q$5=26,J18,IF($Q$5=27,J18,IF(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</f>
        <v>A9</v>
      </c>
      <c r="P18" s="150" t="str">
        <f>IF($Q$5=25,L16,IF($Q$5=26,L16,IF($Q$5=27,L17,IF($Q$5=28,K18,IF($Q$5=29,K18,IF($Q$5=30,K18,IF($Q$5=31,K18,IF($Q$5=32,K19,IF($Q$5=33,K18,IF($Q$5=34,K18,IF($Q$5=35,K18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</f>
        <v>B9</v>
      </c>
      <c r="Q18" s="153" t="str">
        <f>IF($Q$5=29,L18,IF($Q$5=30,L18,IF($Q$5=33,L18,IF($Q$5=34,L18,IF($Q$5=35,L18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</f>
        <v>C9</v>
      </c>
      <c r="R18" s="167" t="str">
        <f>IF($Q$5=25,O19,IF($Q$5=26,O19,IF($Q$5=27,J10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S18" s="163" t="str">
        <f>IF($Q$5=25,L11,IF($Q$5=26,L11,IF(Q$5=27,Q11,IF($Q$5=28,L11,IF($Q$5=29,K10,IF($Q$5=30,K10,IF($Q$5=31,P21,IF($Q$5=32,P20,IF($Q$5=33,K10,IF($Q$5=34,K10,IF($Q$5=35,K10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))))))</f>
        <v>B11</v>
      </c>
      <c r="T18" s="182" t="str">
        <f>IF($Q$5=27,0,IF($Q$5=29,L11,IF($Q$5=30,L13,IF(J$5=32,0,IF($Q$5=33,L18,IF($Q$5=34,P21,IF($Q$5=35,L20,IF($Q$5=36,L21,IF($Q$5=37,P21,IF($Q$5=38,P23,IF($Q$5=39,L10,IF($Q$5=40,L21,IF($Q$5=41,L21,IF($Q$5=42,L21,IF($Q$5=43,P25,IF($Q$5=44,L21,IF($Q$5=45,L21,IF($Q$5=46,L21,IF($Q$5=47,L21,IF($Q$5=48,L21,IF($Q$5=49,L21,IF($Q$5=50,L21,IF($Q$5=51,L21,IF($Q$5=52,L21,IF($Q$5=53,L21,IF($Q$5=54,L21,0))))))))))))))))))))))))))</f>
        <v>C12</v>
      </c>
      <c r="U18" s="160" t="str">
        <f>IF($Q$5=25,R17,IF($Q$5=26,R17,IF($Q$5=27,R17,IF($Q$5=28,O17,IF($Q$5=29,O17,IF($Q$5=30,O17,IF($Q$5=31,R10,IF($Q$5=32,O19,IF($Q$5=33,O19,IF($Q$5=34,O20,IF($Q$5=35,R19,IF($Q$5=36,O20,IF($Q$5=37,R19,IF($Q$5=38,R19,IF($Q$5=39,O20,IF($Q$5=40,O20,IF($Q$5=41,O20,IF($Q$5=42,O20,IF($Q$5=43,O20,IF($Q$5=44,O20,IF($Q$5=45,O20,IF($Q$5=46,O20,IF($Q$5=47,O20,IF($Q$5=48,O20,IF($Q$5=49,O20,IF($Q$5=50,O20,IF($Q$5=51,O20,IF($Q$5=52,O20,IF($Q$5=53,O20,IF($Q$5=54,O20,0))))))))))))))))))))))))))))))</f>
        <v>A11</v>
      </c>
      <c r="V18" s="157" t="str">
        <f>IF($Q$5=25,T11,IF($Q$5=26,S18,IF($Q$5=27,R19,IF($Q$5=28,S12,IF($Q$5=29,S17,IF($Q$5=30,S18,IF($Q$5=31,S12,IF($Q$5=32,S13,IF($Q$5=33,S13,IF($Q$5=34,S13,IF($Q$5=35,S13,IF($Q$5=36,S20,IF($Q$5=37,S20,IF($Q$5=38,S20,IF($Q$5=39,S11,IF($Q$5=40,S20,IF($Q$5=41,S20,IF($Q$5=42,S20,IF($Q$5=43,S20,IF($Q$5=44,S20,IF($Q$5=45,S20,IF($Q$5=46,S20,IF($Q$5=47,S20,IF($Q$5=48,S20,IF($Q$5=49,S20,IF($Q$5=50,S20,IF($Q$5=51,S20,IF($Q$5=52,S20,IF($Q$5=53,S20,IF($Q$5=54,S20,0))))))))))))))))))))))))))))))</f>
        <v>B13</v>
      </c>
      <c r="W18" s="172" t="str">
        <f>IF($Q$5=29,T10,IF($Q$5=30,Q19,IF($Q$5=32,0,IF($Q$5=33,S20,IF($Q$5=34,T15,IF($Q$5=35,T15,IF($Q$5=36,T21,IF($Q$5=37,S23,IF($Q$5=38,S23,IF($Q$5=39,T19,IF($Q$5=40,T21,IF($Q$5=41,T21,IF($Q$5=42,T21,IF($Q$5=43,S25,IF($Q$5=44,T21,IF($Q$5=45,T21,IF($Q$5=46,T21,IF($Q$5=47,T21,IF($Q$5=48,T21,IF($Q$5=49,T21,IF($Q$5=50,T21,IF($Q$5=51,T21,IF($Q$5=52,T21,IF($Q$5=53,T21,IF($Q$5=54,T21,0)))))))))))))))))))))))))</f>
        <v>C15</v>
      </c>
      <c r="X18" s="23"/>
      <c r="Y18" s="128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23"/>
      <c r="AO18" s="54">
        <v>10</v>
      </c>
      <c r="AP18" s="321" t="str">
        <f>+Inscrits!B12</f>
        <v>A10</v>
      </c>
      <c r="AQ18" s="286">
        <f t="shared" si="3"/>
        <v>1</v>
      </c>
      <c r="AR18" s="99">
        <f t="shared" si="4"/>
        <v>-2</v>
      </c>
      <c r="AS18" s="219">
        <f t="shared" si="5"/>
        <v>8</v>
      </c>
      <c r="AT18" s="289">
        <f t="shared" si="6"/>
        <v>1</v>
      </c>
      <c r="AU18" s="99">
        <f t="shared" si="7"/>
        <v>-4</v>
      </c>
      <c r="AV18" s="291">
        <f t="shared" si="8"/>
        <v>6</v>
      </c>
      <c r="AW18" s="286">
        <f t="shared" si="9"/>
        <v>3</v>
      </c>
      <c r="AX18" s="99">
        <f t="shared" si="10"/>
        <v>8</v>
      </c>
      <c r="AY18" s="291">
        <f t="shared" si="11"/>
        <v>9</v>
      </c>
      <c r="AZ18" s="286">
        <f t="shared" si="17"/>
        <v>5</v>
      </c>
      <c r="BA18" s="99">
        <f t="shared" si="12"/>
        <v>2</v>
      </c>
      <c r="BB18" s="291">
        <f t="shared" si="13"/>
        <v>23</v>
      </c>
      <c r="BC18" s="41">
        <f t="shared" si="14"/>
        <v>0</v>
      </c>
      <c r="BD18" s="57">
        <f t="shared" si="15"/>
        <v>2</v>
      </c>
      <c r="BE18" s="363">
        <f t="shared" si="16"/>
        <v>22.977700179999999</v>
      </c>
      <c r="BF18" s="99">
        <f>IF(AP18="","",SMALL(BE$9:BE$62,ROWS(AZ$9:AZ18)))</f>
        <v>6.8972003500000003</v>
      </c>
      <c r="BG18" s="88"/>
      <c r="BH18" s="95" t="str">
        <f>IF(OR(AP18="",AZ18=""),"",INDEX($AP$9:$AP$63,MATCH(BF18,$BE$9:BE$62,0)))</f>
        <v>B9</v>
      </c>
      <c r="BI18" s="294">
        <f t="shared" si="0"/>
        <v>7</v>
      </c>
      <c r="BJ18" s="7">
        <f t="shared" si="1"/>
        <v>10</v>
      </c>
      <c r="BK18" s="7">
        <f t="shared" si="2"/>
        <v>28</v>
      </c>
      <c r="BL18" s="280">
        <f>IF(BF18="","",IF(AND(BI17=BI18,BJ17=BJ18,BK17=BK18),BL17,$BL$9+9))</f>
        <v>10</v>
      </c>
      <c r="BM18" s="29"/>
      <c r="BN18" s="264"/>
    </row>
    <row r="19" spans="1:66" ht="21" thickBot="1">
      <c r="A19" s="131">
        <v>10</v>
      </c>
      <c r="B19" s="393" t="s">
        <v>75</v>
      </c>
      <c r="C19" s="272">
        <f>IF($Q$5&gt;=28,10,0)</f>
        <v>10</v>
      </c>
      <c r="D19" s="398" t="s">
        <v>93</v>
      </c>
      <c r="E19" s="272">
        <f>IF($Q$5&gt;=29,10,0)</f>
        <v>10</v>
      </c>
      <c r="F19" s="396" t="s">
        <v>111</v>
      </c>
      <c r="G19" s="272">
        <f>IF($Q$5&gt;=30,10,0)</f>
        <v>10</v>
      </c>
      <c r="H19" s="23"/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M19" s="155"/>
      <c r="N19" s="3" t="s">
        <v>5</v>
      </c>
      <c r="O19" s="141" t="str">
        <f>IF($Q$5=25,K17,IF($Q$5=26,K18,IF($Q$5=27,K18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P19" s="149" t="str">
        <f>IF($Q$5=25,L17,IF($Q$5=26,L17,IF($Q$5=27,L18,IF($Q$5=28,L18,IF($Q$5=29,K19,IF($Q$5=30,K19,IF($Q$5=31,L17,IF($Q$5=32,K18,IF($Q$5=33,K19,IF($Q$5=34,K19,IF($Q$5=35,K19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</f>
        <v>B10</v>
      </c>
      <c r="Q19" s="152" t="str">
        <f>IF($Q$5=30,L19,IF($Q$5=34,L19,IF($Q$5=35,L19,IF($Q$5=36,L19,IF($Q$5=38,L19,IF($Q$5=39,L19,IF($Q$5=40,L19,IF($Q$5=41,L19,IF($Q$5=42,L19,IF($Q$5=43,L19,IF($Q$5=44,L19,IF($Q$5=45,L19,IF($Q$5=46,L19,IF($Q$5=47,L19,IF($Q$5=48,L19,IF($Q$5=49,L19,IF($Q$5=50,L19,IF($Q$5=51,L19,IF($Q$5=52,L19,IF($Q$5=53,L19,IF($Q$5=54,L19,0)))))))))))))))))))))</f>
        <v>C10</v>
      </c>
      <c r="R19" s="168" t="str">
        <f>IF($Q$5=25,J10,IF($Q$5=26,J10,IF($Q$5=27,K10,IF($Q$5=28,J10,IF($Q$5=29,J10,IF($Q$5=30,J10,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))))))</f>
        <v>A11</v>
      </c>
      <c r="S19" s="159" t="str">
        <f>IF($Q$5=25,P18,IF($Q$5=26,K10,IF($Q$5=27,O19,IF($Q$5=28,K18,IF($Q$5=29,K18,IF($Q$5=30,K18,IF($Q$5=31,P19,IF($Q$5=32,P21,IF($Q$5=33,K19,IF($Q$5=34,K19,IF($Q$5=35,K19,IF($Q$5=36,K21,IF($Q$5=37,P11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))))))</f>
        <v>B12</v>
      </c>
      <c r="T19" s="183" t="str">
        <f>IF($Q$5=30,L19,IF($Q$5=34,L18,IF($Q$5=35,L18,IF($Q$5=36,L10,IF($Q$5=38,L10,IF($Q$5=39,L11,IF($Q$5=40,P23,IF($Q$5=41,L22,IF($Q$5=42,L22,IF($Q$5=43,P23,IF($Q$5=44,P24,IF($Q$5=45,L22,IF($Q$5=46,L22,IF($Q$5=47,L22,IF($Q$5=48,L22,IF($Q$5=49,L22,IF($Q$5=50,L22,IF($Q$5=51,L22,IF($Q$5=52,L22,IF($Q$5=53,L22,IF($Q$5=54,L22,0)))))))))))))))))))))</f>
        <v>C13</v>
      </c>
      <c r="U19" s="185" t="str">
        <f>IF($Q$5=25,O19,IF($Q$5=26,R18,IF($Q$5=27,S19,IF($Q$5=28,R18,IF($Q$5=29,O19,IF($Q$5=30,O19,IF($Q$5=31,R18,IF($Q$5=32,R10,IF($Q$5=33,O11,IF($Q$5=34,R10,IF($Q$5=35,R10,IF($Q$5=36,O21,IF($Q$5=37,R20,IF($Q$5=38,R20,IF($Q$5=39,O21,IF($Q$5=40,O21,IF($Q$5=41,O21,IF($Q$5=42,O21,IF($Q$5=43,R20,IF($Q$5=44,O21,IF($Q$5=45,R20,IF($Q$5=46,O21,IF($Q$5=47,O21,IF($Q$5=48,O21,IF($Q$5=49,O21,IF($Q$5=50,O21,IF($Q$5=51,O21,IF($Q$5=52,O21,IF($Q$5=53,O21,IF($Q$5=54,O21,0))))))))))))))))))))))))))))))</f>
        <v>A12</v>
      </c>
      <c r="V19" s="162" t="str">
        <f>IF($Q$5=25,S12,IF($Q$5=26,T10,IF($Q$5=27,T10,IF($Q$5=28,T10,IF($Q$5=29,S12,IF($Q$5=30,S12,IF($Q$5=31,T16,IF($Q$5=32,S14,IF($Q$5=33,S14,IF($Q$5=34,S20,IF($Q$5=35,S20,IF($Q$5=36,S21,IF($Q$5=37,S11,IF($Q$5=38,S21,IF($Q$5=39,S20,IF($Q$5=40,S21,IF($Q$5=41,S21,IF($Q$5=42,S21,IF($Q$5=43,S11,IF($Q$5=44,S21,IF($Q$5=45,S21,IF($Q$5=46,S21,IF($Q$5=47,S21,IF($Q$5=48,S21,IF($Q$5=49,S21,IF($Q$5=50,S21,IF($Q$5=51,S21,IF($Q$5=52,S21,IF($Q$5=53,S21,IF($Q$5=54,S21,0))))))))))))))))))))))))))))))</f>
        <v>B14</v>
      </c>
      <c r="W19" s="174" t="str">
        <f>IF($Q$5=30,T10,IF($Q$5=35,T16,IF($Q$5=36,T10,IF($Q$5=38,T10,IF($Q$5=39,T20,IF($Q$5=34,S21,IF($Q$5=40,S23,IF($Q$5=41,T22,IF($Q$5=42,T22,IF($Q$5=43,S23,IF($Q$5=44,S23,IF($Q$5=45,T22,IF($Q$5=46,T22,IF($Q$5=47,T22,IF($Q$5=48,T22,IF($Q$5=49,T22,IF($Q$5=50,T22,IF($Q$5=51,S27,IF($Q$5=52,T22,IF($Q$5=53,T22,IF($Q$5=54,T22,0)))))))))))))))))))))</f>
        <v>C1</v>
      </c>
      <c r="X19" s="23"/>
      <c r="Y19" s="446">
        <v>2</v>
      </c>
      <c r="Z19" s="12" t="str">
        <f>+O12</f>
        <v>A3</v>
      </c>
      <c r="AA19" s="33">
        <v>5</v>
      </c>
      <c r="AB19" s="48">
        <f>IF(AA19+AA23=0,0,IF(AA19=AA23,2,IF(AA19&gt;AA23,3,1)))</f>
        <v>1</v>
      </c>
      <c r="AC19" s="13">
        <f>AA19-AA23</f>
        <v>-5</v>
      </c>
      <c r="AD19" s="9"/>
      <c r="AE19" s="12" t="str">
        <f>+R12</f>
        <v>A4</v>
      </c>
      <c r="AF19" s="126">
        <v>5</v>
      </c>
      <c r="AG19" s="48">
        <f>IF(AF19+AF23=0,0,IF(AF19=AF23,2,IF(AF19&gt;AF23,3,1)))</f>
        <v>1</v>
      </c>
      <c r="AH19" s="13">
        <f>AF19-AF23</f>
        <v>-7</v>
      </c>
      <c r="AI19" s="9"/>
      <c r="AJ19" s="12" t="str">
        <f>+U12</f>
        <v>A5</v>
      </c>
      <c r="AK19" s="36">
        <v>13</v>
      </c>
      <c r="AL19" s="48">
        <f>IF(AK19+AK23=0,0,IF(AK19=AK23,2,IF(AK19&gt;AK23,3,1)))</f>
        <v>3</v>
      </c>
      <c r="AM19" s="13">
        <f>AK19-AK23</f>
        <v>4</v>
      </c>
      <c r="AN19" s="23"/>
      <c r="AO19" s="54">
        <v>11</v>
      </c>
      <c r="AP19" s="321" t="str">
        <f>+Inscrits!B13</f>
        <v>A11</v>
      </c>
      <c r="AQ19" s="286">
        <f t="shared" si="3"/>
        <v>1</v>
      </c>
      <c r="AR19" s="99">
        <f t="shared" si="4"/>
        <v>-9</v>
      </c>
      <c r="AS19" s="219">
        <f t="shared" si="5"/>
        <v>1</v>
      </c>
      <c r="AT19" s="289">
        <f t="shared" si="6"/>
        <v>3</v>
      </c>
      <c r="AU19" s="99">
        <f t="shared" si="7"/>
        <v>4</v>
      </c>
      <c r="AV19" s="291">
        <f t="shared" si="8"/>
        <v>10</v>
      </c>
      <c r="AW19" s="286">
        <f t="shared" si="9"/>
        <v>1</v>
      </c>
      <c r="AX19" s="99">
        <f t="shared" si="10"/>
        <v>-4</v>
      </c>
      <c r="AY19" s="291">
        <f t="shared" si="11"/>
        <v>5</v>
      </c>
      <c r="AZ19" s="286">
        <f t="shared" si="17"/>
        <v>5</v>
      </c>
      <c r="BA19" s="99">
        <f t="shared" si="12"/>
        <v>-9</v>
      </c>
      <c r="BB19" s="291">
        <f t="shared" si="13"/>
        <v>16</v>
      </c>
      <c r="BC19" s="41">
        <f t="shared" si="14"/>
        <v>-9</v>
      </c>
      <c r="BD19" s="57">
        <f t="shared" si="15"/>
        <v>0</v>
      </c>
      <c r="BE19" s="363">
        <f t="shared" si="16"/>
        <v>23.088400190000002</v>
      </c>
      <c r="BF19" s="99">
        <f>IF(AP19="","",SMALL(BE$9:BE$62,ROWS(AZ$9:AZ19)))</f>
        <v>6.89740047</v>
      </c>
      <c r="BG19" s="88"/>
      <c r="BH19" s="95" t="str">
        <f>IF(OR(AP19="",AZ19=""),"",INDEX($AP$9:$AP$63,MATCH(BF19,$BE$9:BE$62,0)))</f>
        <v>C3</v>
      </c>
      <c r="BI19" s="294">
        <f t="shared" si="0"/>
        <v>7</v>
      </c>
      <c r="BJ19" s="7">
        <f t="shared" si="1"/>
        <v>10</v>
      </c>
      <c r="BK19" s="7">
        <f t="shared" si="2"/>
        <v>26</v>
      </c>
      <c r="BL19" s="280">
        <f>IF(BF19="","",IF(AND(BI18=BI19,BJ18=BJ19,BK18=BK19),BL18,$BL$9+10))</f>
        <v>11</v>
      </c>
      <c r="BM19" s="29"/>
      <c r="BN19" s="262"/>
    </row>
    <row r="20" spans="1:66" ht="21" thickBot="1">
      <c r="A20" s="131">
        <v>11</v>
      </c>
      <c r="B20" s="393" t="s">
        <v>76</v>
      </c>
      <c r="C20" s="272">
        <f>IF($Q$5&gt;=31,11,0)</f>
        <v>11</v>
      </c>
      <c r="D20" s="398" t="s">
        <v>94</v>
      </c>
      <c r="E20" s="272">
        <f>IF($Q$5&gt;=32,11,0)</f>
        <v>11</v>
      </c>
      <c r="F20" s="396" t="s">
        <v>112</v>
      </c>
      <c r="G20" s="272">
        <f>IF($Q$5&gt;=33,11,0)</f>
        <v>11</v>
      </c>
      <c r="H20" s="23"/>
      <c r="I20" s="196">
        <v>11</v>
      </c>
      <c r="J20" s="204" t="str">
        <f>IF(ISNA(MATCH(I20,$C$10:$C$27,0)),"",INDEX(B$10:$B$27,MATCH(I20,$C$10:$C$27,0)))</f>
        <v>A11</v>
      </c>
      <c r="K20" s="137" t="str">
        <f>IF(ISNA(MATCH(I20,$E$10:$E$27,0)),"",INDEX($D$10:D$27,MATCH(I20,$E$10:$E$27,0)))</f>
        <v>B11</v>
      </c>
      <c r="L20" s="188" t="str">
        <f>IF(ISNA(MATCH(I20,$G$10:$G$27,0)),"",INDEX($F$10:F$27,MATCH(I20,$G$10:$G$27,0)))</f>
        <v>C11</v>
      </c>
      <c r="M20" s="155"/>
      <c r="N20" s="3">
        <v>6</v>
      </c>
      <c r="O20" s="138" t="str">
        <f>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</f>
        <v>A11</v>
      </c>
      <c r="P20" s="150" t="str">
        <f>IF($Q$5=31,L18,IF($Q$5=32,L18,IF($Q$5=33,L19,IF($Q$5=34,K20,IF($Q$5=35,K20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</f>
        <v>B11</v>
      </c>
      <c r="Q20" s="153" t="str">
        <f>IF($Q$5=35,L20,IF($Q$5=36,L20,IF($Q$5=39,L20,IF($Q$5=40,L20,IF($Q$5=41,L20,IF($Q$5=42,L20,IF($Q$5=43,L20,IF($Q$5=44,L20,IF($Q$5=45,L20,IF($Q$5=46,L20,IF($Q$5=47,L20,IF($Q$5=48,L20,IF($Q$5=49,L20,IF($Q$5=50,L20,IF($Q$5=51,L20,IF($Q$5=52,L20,IF($Q$5=53,L20,IF($Q$5=54,L20,0))))))))))))))))))</f>
        <v>C11</v>
      </c>
      <c r="R20" s="165" t="str">
        <f>IF($Q$5=31,J10,IF($Q$5=32,K20,IF($Q$5=33,J10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S20" s="157" t="str">
        <f>IF($Q$5=31,P20,IF($Q$5=32,K10,IF($Q$5=33,P21,IF($Q$5=34,K20,IF($Q$5=35,K20,IF($Q$5=36,K10,IF($Q$5=37,K10,IF($Q$5=38,P11,IF($Q$5=39,K10,IF($Q$5=40,K22,IF($Q$5=41,K22,IF($Q$5=42,K22,IF($Q$5=43,K22,IF($Q$5=44,K22,IF($Q$5=45,K22,IF($Q$5=46,K22,IF($Q$5=47,K22,IF($Q$5=48,K22,IF($Q$5=49,K22,IF($Q$5=50,K22,IF($Q$5=51,K22,IF($Q$5=52,K22,IF($Q$5=53,K22,IF($Q$5=54,K22,0))))))))))))))))))))))))</f>
        <v>B13</v>
      </c>
      <c r="T20" s="179" t="str">
        <f>IF($Q$5=35,L19,IF($Q$5=36,L11,IF($Q$5=39,L12,IF($Q$5=40,L10,IF($Q$5=41,L10,IF($Q$5=42,L23,IF($Q$5=43,P24,IF($Q$5=44,P25,IF($Q$5=45,P24,IF($Q$5=46,L23,IF($Q$5=47,L23,IF($Q$5=48,L23,IF($Q$5=49,L10,IF($Q$5=50,L23,IF($Q$5=51,L23,IF($Q$5=52,L23,IF($Q$5=53,L23,IF($Q$5=54,L23,0))))))))))))))))))</f>
        <v>C14</v>
      </c>
      <c r="U20" s="165" t="str">
        <f>IF($Q$5=30,0,IF($Q$5=31,R19,IF($Q$5=32,R19,IF($Q$5=33,R19,IF($Q$5=34,R18,IF($Q$5=35,R18,IF($Q$5=36,O10,IF($Q$5=37,R21,IF($Q$5=38,R21,IF($Q$5=39,O22,IF($Q$5=40,R21,IF($Q$5=41,O22,IF($Q$5=42,O22,IF($Q$5=43,R21,IF($Q$5=44,R21,IF($Q$5=45,O22,IF($Q$5=46,O22,IF($Q$5=47,O22,IF($Q$5=48,O22,IF($Q$5=49,O22,IF($Q$5=50,O22,IF($Q$5=51,R21,IF($Q$5=52,O22,IF($Q$5=53,O22,IF($Q$5=54,O22,0)))))))))))))))))))))))))</f>
        <v>A13</v>
      </c>
      <c r="V20" s="163" t="str">
        <f>IF($Q$5=31,T10,IF($Q$5=32,S18,IF($Q$5=33,T18,IF($Q$5=34,S14,IF($Q$5=35,S21,IF($Q$5=36,S10,IF($Q$5=37,S10,IF($Q$5=38,S11,IF($Q$5=39,S21,IF($Q$5=40,S22,IF($Q$5=41,S22,IF($Q$5=42,S22,IF($Q$5=43,S22,IF($Q$5=44,S22,IF($Q$5=45,S22,IF($Q$5=46,S22,IF($Q$5=47,S22,IF($Q$5=48,S22,IF($Q$5=49,S22,IF($Q$5=50,S22,IF($Q$5=51,S22,IF($Q$5=52,S22,IF($Q$5=53,S22,IF($Q$5=54,S22,0))))))))))))))))))))))))</f>
        <v>B2</v>
      </c>
      <c r="W20" s="173" t="str">
        <f>IF($Q$5=35,T18,IF($Q$5=36,T11,IF($Q$5=39,T10,IF($Q$5=40,T10,IF($Q$5=41,T10,IF($Q$5=42,T23,IF($Q$5=43,S24,IF($Q$5=44,S24,IF($Q$5=45,S24,IF($Q$5=46,T23,IF($Q$5=47,T23,IF($Q$5=48,T23,IF($Q$5=49,T10,IF($Q$5=50,T23,IF($Q$5=51,S26,IF($Q$5=52,S27,IF($Q$5=53,T23,IF($Q$5=54,T23,0))))))))))))))))))</f>
        <v>C2</v>
      </c>
      <c r="X20" s="23"/>
      <c r="Y20" s="447"/>
      <c r="Z20" s="14" t="str">
        <f>+P12</f>
        <v>B3</v>
      </c>
      <c r="AA20" s="18">
        <f>IF(ISTEXT(Z20),AA19,0)</f>
        <v>5</v>
      </c>
      <c r="AB20" s="18">
        <f>IF(ISTEXT(Z20),AB19,0)</f>
        <v>1</v>
      </c>
      <c r="AC20" s="62">
        <f>IF(ISTEXT(Z20),AC19,0)</f>
        <v>-5</v>
      </c>
      <c r="AD20" s="11"/>
      <c r="AE20" s="14" t="str">
        <f>+S12</f>
        <v>B5</v>
      </c>
      <c r="AF20" s="18">
        <f>IF(ISTEXT(AE20),AF19,0)</f>
        <v>5</v>
      </c>
      <c r="AG20" s="59">
        <f>IF(ISTEXT(AE20),AG19,0)</f>
        <v>1</v>
      </c>
      <c r="AH20" s="62">
        <f>IF(ISTEXT(AE20),AH19,0)</f>
        <v>-7</v>
      </c>
      <c r="AI20" s="11"/>
      <c r="AJ20" s="14" t="str">
        <f>+V12</f>
        <v>B7</v>
      </c>
      <c r="AK20" s="18">
        <f>IF(ISTEXT(AJ20),AK19,0)</f>
        <v>13</v>
      </c>
      <c r="AL20" s="59">
        <f>IF(ISTEXT(AJ20),AL19,0)</f>
        <v>3</v>
      </c>
      <c r="AM20" s="62">
        <f>IF(ISTEXT(AJ20),AM19,0)</f>
        <v>4</v>
      </c>
      <c r="AN20" s="23"/>
      <c r="AO20" s="54">
        <v>12</v>
      </c>
      <c r="AP20" s="321" t="str">
        <f>+Inscrits!B14</f>
        <v>A12</v>
      </c>
      <c r="AQ20" s="286">
        <f t="shared" si="3"/>
        <v>3</v>
      </c>
      <c r="AR20" s="99">
        <f t="shared" si="4"/>
        <v>9</v>
      </c>
      <c r="AS20" s="219">
        <f t="shared" si="5"/>
        <v>10</v>
      </c>
      <c r="AT20" s="289">
        <f t="shared" si="6"/>
        <v>1</v>
      </c>
      <c r="AU20" s="99">
        <f t="shared" si="7"/>
        <v>-6</v>
      </c>
      <c r="AV20" s="291">
        <f t="shared" si="8"/>
        <v>1</v>
      </c>
      <c r="AW20" s="286">
        <f t="shared" si="9"/>
        <v>3</v>
      </c>
      <c r="AX20" s="99">
        <f t="shared" si="10"/>
        <v>4</v>
      </c>
      <c r="AY20" s="291">
        <f t="shared" si="11"/>
        <v>9</v>
      </c>
      <c r="AZ20" s="286">
        <f t="shared" si="17"/>
        <v>7</v>
      </c>
      <c r="BA20" s="99">
        <f t="shared" si="12"/>
        <v>7</v>
      </c>
      <c r="BB20" s="291">
        <f t="shared" si="13"/>
        <v>20</v>
      </c>
      <c r="BC20" s="41">
        <f t="shared" si="14"/>
        <v>0</v>
      </c>
      <c r="BD20" s="57">
        <f t="shared" si="15"/>
        <v>7</v>
      </c>
      <c r="BE20" s="363">
        <f t="shared" si="16"/>
        <v>6.9280001999999996</v>
      </c>
      <c r="BF20" s="99">
        <f>IF(AP20="","",SMALL(BE$9:BE$62,ROWS(AZ$9:AZ20)))</f>
        <v>6.9075004899999994</v>
      </c>
      <c r="BG20" s="88"/>
      <c r="BH20" s="95" t="str">
        <f>IF(OR(AP20="",AZ20=""),"",INDEX($AP$9:$AP$63,MATCH(BF20,$BE$9:BE$62,0)))</f>
        <v>C5</v>
      </c>
      <c r="BI20" s="294">
        <f t="shared" si="0"/>
        <v>7</v>
      </c>
      <c r="BJ20" s="7">
        <f t="shared" si="1"/>
        <v>9</v>
      </c>
      <c r="BK20" s="7">
        <f t="shared" si="2"/>
        <v>25</v>
      </c>
      <c r="BL20" s="280">
        <f>IF(BF20="","",IF(AND(BI19=BI20,BJ19=BJ20,BK19=BK20),BL19,$BL$9+11))</f>
        <v>12</v>
      </c>
      <c r="BM20" s="29"/>
      <c r="BN20" s="262"/>
    </row>
    <row r="21" spans="1:66" ht="21" thickBot="1">
      <c r="A21" s="131">
        <v>12</v>
      </c>
      <c r="B21" s="393" t="s">
        <v>77</v>
      </c>
      <c r="C21" s="272">
        <f>IF($Q$5&gt;=34,12,0)</f>
        <v>12</v>
      </c>
      <c r="D21" s="398" t="s">
        <v>95</v>
      </c>
      <c r="E21" s="272">
        <f>IF($Q$5&gt;=35,12,0)</f>
        <v>12</v>
      </c>
      <c r="F21" s="396" t="s">
        <v>113</v>
      </c>
      <c r="G21" s="272">
        <f>IF($Q$5&gt;=36,12,0)</f>
        <v>12</v>
      </c>
      <c r="H21" s="23"/>
      <c r="I21" s="196">
        <v>12</v>
      </c>
      <c r="J21" s="204" t="str">
        <f>IF(ISNA(MATCH(I21,$C$10:$C$27,0)),"",INDEX(B$10:$B$27,MATCH(I21,$C$10:$C$27,0)))</f>
        <v>A12</v>
      </c>
      <c r="K21" s="137" t="str">
        <f>IF(ISNA(MATCH(I21,$E$10:$E$27,0)),"",INDEX($D$10:D$27,MATCH(I21,$E$10:$E$27,0)))</f>
        <v>B12</v>
      </c>
      <c r="L21" s="188" t="str">
        <f>IF(ISNA(MATCH(I21,$G$10:$G$27,0)),"",INDEX($F$10:F$27,MATCH(I21,$G$10:$G$27,0)))</f>
        <v>C12</v>
      </c>
      <c r="M21" s="155"/>
      <c r="N21" s="52" t="s">
        <v>5</v>
      </c>
      <c r="O21" s="141" t="str">
        <f>IF($Q$5=31,K19,IF($Q$5=32,K20,IF($Q$5=33,K20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P21" s="149" t="str">
        <f>IF($Q$5=31,L19,IF($Q$5=32,L19,IF($Q$5=33,L20,IF($Q$5=34,L20,IF($Q$5=35,K21,IF($Q$5=36,K21,IF($Q$5=37,L21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</f>
        <v>B12</v>
      </c>
      <c r="Q21" s="152" t="str">
        <f>IF($Q$5=36,L21,IF($Q$5=40,L21,IF($Q$5=41,L21,IF($Q$5=42,L21,IF($Q$5=43,0,IF($Q$5=44,L21,IF($Q$5=45,L21,IF($Q$5=46,L21,IF($Q$5=47,L21,IF($Q$5=48,L21,IF($Q$5=49,L21,IF($Q$5=50,L21,IF($Q$5=51,L21,IF($Q$5=52,L21,IF($Q$5=53,L21,IF($Q$5=54,L21,0))))))))))))))))</f>
        <v>C12</v>
      </c>
      <c r="R21" s="169" t="str">
        <f>IF($Q$5=31,K11,IF($Q$5=32,J10,IF($Q$5=33,O21,IF($Q$5=34,J10,IF($Q$5=35,J10,IF($Q$5=36,J10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)))))</f>
        <v>A13</v>
      </c>
      <c r="S21" s="162" t="str">
        <f>IF($Q$5=31,O21,IF($Q$5=32,P18,IF($Q$5=33,P20,IF($Q$5=34,L19,IF($Q$5=35,K21,IF($Q$5=36,K11,IF($Q$5=37,L10,IF($Q$5=38,K10,IF($Q$5=39,K11,IF($Q$5=40,K10,IF($Q$5=41,K23,IF($Q$5=42,K23,IF($Q$5=43,P11,IF($Q$5=44,K23,IF($Q$5=45,K23,IF($Q$5=46,K23,IF($Q$5=47,K23,IF($Q$5=48,K23,IF($Q$5=49,K23,IF($Q$5=50,K23,IF($Q$5=51,K23,IF($Q$5=52,K23,IF($Q$5=53,K23,IF($Q$5=54,K23,0))))))))))))))))))))))))</f>
        <v>B14</v>
      </c>
      <c r="T21" s="181" t="str">
        <f>IF($Q$5=36,L12,IF($Q$5=40,L11,IF($Q$5=41,L11,IF($Q$5=42,L10,IF($Q$5=43,0,IF($Q$5=44,L10,IF($Q$5=45,P25,IF($Q$5=46,P25,IF($Q$5=47,L24,IF($Q$5=48,L24,IF($Q$5=49,L11,IF($Q$5=50,P26,IF($Q$5=51,L24,IF($Q$5=52,L24,IF($Q$5=53,L24,IF($Q$5=54,L24,0))))))))))))))))</f>
        <v>C15</v>
      </c>
      <c r="U21" s="184" t="str">
        <f>IF($Q$5=31,S21,IF($Q$5=32,R20,IF($Q$5=33,R21,IF($Q$5=34,R20,IF($Q$5=35,R20,IF($Q$5=36,O11,IF($Q$5=37,R22,IF($Q$5=38,R22,IF($Q$5=39,O10,IF($Q$5=40,R22,IF($Q$5=41,R22,IF($Q$5=42,O23,IF($Q$5=43,R22,IF($Q$5=44,O23,IF($Q$5=45,R22,IF($Q$5=46,O23,IF($Q$5=47,O23,IF($Q$5=48,R22,IF($Q$5=49,R22,IF($Q$5=50,O23,IF($Q$5=51,R22,IF($Q$5=52,R22,IF($Q$5=53,O23,IF($Q$5=54,O23,0))))))))))))))))))))))))</f>
        <v>A14</v>
      </c>
      <c r="V21" s="162" t="str">
        <f>IF($Q$5=31,S15,IF($Q$5=32,S19,IF($Q$5=33,S21,IF($Q$5=34,T19,IF($Q$5=35,S14,IF($Q$5=36,S11,IF($Q$5=37,T10,IF($Q$5=38,S10,IF($Q$5=39,S10,IF($Q$5=40,S10,IF($Q$5=41,S23,IF($Q$5=42,S23,IF($Q$5=43,S21,IF($Q$5=44,S11,IF($Q$5=45,S23,IF($Q$5=46,S23,IF($Q$5=47,S23,IF($Q$5=48,S23,IF($Q$5=49,S23,IF($Q$5=50,S23,IF($Q$5=51,S23,IF($Q$5=52,S23,IF($Q$5=53,S23,IF($Q$5=54,S23,0))))))))))))))))))))))))</f>
        <v>B1</v>
      </c>
      <c r="W21" s="174" t="str">
        <f>IF($Q$5=36,T12,IF($Q$5=39,0,IF($Q$5=40,T11,IF($Q$5=41,T11,IF($Q$5=42,T10,IF($Q$5=43,0,IF($Q$5=44,T10,IF($Q$5=45,S25,IF($Q$5=46,S25,IF($Q$5=47,T24,IF($Q$5=48,T24,IF($Q$5=49,T11,IF($Q$5=50,S26,IF($Q$5=51,T22,IF($Q$5=52,T23,IF($Q$5=53,T24,IF($Q$5=54,T24,0)))))))))))))))))</f>
        <v>C3</v>
      </c>
      <c r="X21" s="23"/>
      <c r="Y21" s="447"/>
      <c r="Z21" s="14" t="str">
        <f>+Q12</f>
        <v>C3</v>
      </c>
      <c r="AA21" s="67">
        <f>IF(ISTEXT(Z21),AA19,0)</f>
        <v>5</v>
      </c>
      <c r="AB21" s="67">
        <f>IF(ISTEXT(Z21),AB19,0)</f>
        <v>1</v>
      </c>
      <c r="AC21" s="68">
        <f>IF(ISTEXT(Z21),AC19,0)</f>
        <v>-5</v>
      </c>
      <c r="AD21" s="11"/>
      <c r="AE21" s="14" t="str">
        <f>+T12</f>
        <v>C6</v>
      </c>
      <c r="AF21" s="67">
        <f>IF(ISTEXT(AE21),AF19,0)</f>
        <v>5</v>
      </c>
      <c r="AG21" s="64">
        <f>IF(ISTEXT(AE21),AG19,0)</f>
        <v>1</v>
      </c>
      <c r="AH21" s="68">
        <f>IF(ISTEXT(AE21),AH19,0)</f>
        <v>-7</v>
      </c>
      <c r="AI21" s="11"/>
      <c r="AJ21" s="14" t="str">
        <f>+W12</f>
        <v>C9</v>
      </c>
      <c r="AK21" s="67">
        <f>IF(ISTEXT(AJ21),AK19,0)</f>
        <v>13</v>
      </c>
      <c r="AL21" s="64">
        <f>IF(ISTEXT(AJ21),AL19,0)</f>
        <v>3</v>
      </c>
      <c r="AM21" s="68">
        <f>IF(ISTEXT(AJ21),AM19,0)</f>
        <v>4</v>
      </c>
      <c r="AN21" s="23"/>
      <c r="AO21" s="54">
        <v>13</v>
      </c>
      <c r="AP21" s="321" t="str">
        <f>+Inscrits!B15</f>
        <v>A13</v>
      </c>
      <c r="AQ21" s="286">
        <f t="shared" si="3"/>
        <v>1</v>
      </c>
      <c r="AR21" s="99">
        <f t="shared" si="4"/>
        <v>-9</v>
      </c>
      <c r="AS21" s="219">
        <f t="shared" si="5"/>
        <v>1</v>
      </c>
      <c r="AT21" s="289">
        <f t="shared" si="6"/>
        <v>3</v>
      </c>
      <c r="AU21" s="99">
        <f t="shared" si="7"/>
        <v>6</v>
      </c>
      <c r="AV21" s="291">
        <f t="shared" si="8"/>
        <v>7</v>
      </c>
      <c r="AW21" s="286">
        <f t="shared" si="9"/>
        <v>1</v>
      </c>
      <c r="AX21" s="99">
        <f t="shared" si="10"/>
        <v>-3</v>
      </c>
      <c r="AY21" s="291">
        <f t="shared" si="11"/>
        <v>5</v>
      </c>
      <c r="AZ21" s="286">
        <f t="shared" si="17"/>
        <v>5</v>
      </c>
      <c r="BA21" s="99">
        <f t="shared" si="12"/>
        <v>-6</v>
      </c>
      <c r="BB21" s="291">
        <f t="shared" si="13"/>
        <v>13</v>
      </c>
      <c r="BC21" s="41">
        <f t="shared" si="14"/>
        <v>-6</v>
      </c>
      <c r="BD21" s="57">
        <f t="shared" si="15"/>
        <v>0</v>
      </c>
      <c r="BE21" s="363">
        <f t="shared" si="16"/>
        <v>23.058700209999998</v>
      </c>
      <c r="BF21" s="99">
        <f>IF(AP21="","",SMALL(BE$9:BE$62,ROWS(AZ$9:AZ21)))</f>
        <v>6.9280001999999996</v>
      </c>
      <c r="BG21" s="88"/>
      <c r="BH21" s="95" t="str">
        <f>IF(OR(AP21="",AZ21=""),"",INDEX($AP$9:$AP$63,MATCH(BF21,$BE$9:BE$62,0)))</f>
        <v>A12</v>
      </c>
      <c r="BI21" s="294">
        <f t="shared" si="0"/>
        <v>7</v>
      </c>
      <c r="BJ21" s="7">
        <f t="shared" si="1"/>
        <v>7</v>
      </c>
      <c r="BK21" s="7">
        <f t="shared" si="2"/>
        <v>20</v>
      </c>
      <c r="BL21" s="280">
        <f>IF(BF21="","",IF(AND(BI20=BI21,BJ20=BJ21,BK20=BK21),BL20,$BL$9+12))</f>
        <v>13</v>
      </c>
      <c r="BM21" s="29"/>
      <c r="BN21" s="262"/>
    </row>
    <row r="22" spans="1:66" ht="20.25">
      <c r="A22" s="131">
        <v>13</v>
      </c>
      <c r="B22" s="393" t="s">
        <v>78</v>
      </c>
      <c r="C22" s="272">
        <f>IF($Q$5&gt;=37,13,0)</f>
        <v>13</v>
      </c>
      <c r="D22" s="398" t="s">
        <v>96</v>
      </c>
      <c r="E22" s="272">
        <f>IF($Q$5&gt;=38,13,0)</f>
        <v>13</v>
      </c>
      <c r="F22" s="396" t="s">
        <v>114</v>
      </c>
      <c r="G22" s="272">
        <f>IF($Q$5&gt;=39,13,0)</f>
        <v>13</v>
      </c>
      <c r="H22" s="23"/>
      <c r="I22" s="196">
        <v>13</v>
      </c>
      <c r="J22" s="204" t="str">
        <f>IF(ISNA(MATCH(I22,$C$10:$C$27,0)),"",INDEX(B$10:$B$27,MATCH(I22,$C$10:$C$27,0)))</f>
        <v>A13</v>
      </c>
      <c r="K22" s="137" t="str">
        <f>IF(ISNA(MATCH(I22,$E$10:$E$27,0)),"",INDEX($D$10:D$27,MATCH(I22,$E$10:$E$27,0)))</f>
        <v>B13</v>
      </c>
      <c r="L22" s="188" t="str">
        <f>IF(ISNA(MATCH(I22,$G$10:$G$27,0)),"",INDEX($F$10:F$27,MATCH(I22,$G$10:$G$27,0)))</f>
        <v>C13</v>
      </c>
      <c r="M22" s="155"/>
      <c r="N22" s="82">
        <v>7</v>
      </c>
      <c r="O22" s="147" t="str">
        <f>IF($Q$5=36,0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</f>
        <v>A13</v>
      </c>
      <c r="P22" s="151" t="str">
        <f>IF($Q$5=36,0,IF($Q$5=37,L20,IF($Q$5=38,L20,IF($Q$5=39,L21,IF($Q$5=40,K22,IF($Q$5=41,K22,IF($Q$5=42,K22,IF($Q$5=43,K22,IF($Q$5=44,K22,IF($Q$5=45,K22,IF($Q$5=46,K22,IF($Q$5=47,K22,IF($Q$5=48,K22,IF($Q$5=49,K22,IF($Q$5=50,K22,IF($Q$5=51,K22,IF($Q$5=52,K22,IF($Q$5=53,K22,IF($Q$5=54,K22,0)))))))))))))))))))</f>
        <v>B13</v>
      </c>
      <c r="Q22" s="148" t="str">
        <f>IF($Q$5=39,0,IF($Q$5=40,0,IF($Q$5=41,L22,IF($Q$5=42,L22,IF($Q$5=43,0,IF($Q$5=44,0,IF($Q$5=45,L22,IF($Q$5=46,L22,IF($Q$5=47,L22,IF($Q$5=48,L22,IF($Q$5=49,L22,IF($Q$5=50,L22,IF($Q$5=51,L22,IF($Q$5=52,L22,IF($Q$5=53,L22,IF($Q$5=54,L22,0))))))))))))))))</f>
        <v>C13</v>
      </c>
      <c r="R22" s="165" t="str">
        <f>IF($Q$5=33,0,IF($Q$5=34,0,IF($Q$5=35,0,IF($Q$5=36,0,IF($Q$5=37,J10,IF($Q$5=38,J10,IF($Q$5=39,J10,IF($Q$5=40,J23,IF($Q$5=41,J23,IF($Q$5=42,J23,IF($Q$5=43,J23,IF($Q$5=44,J23,IF($Q$5=45,J23,IF($Q$5=46,J23,IF($Q$5=47,J23,IF($Q$5=48,J23,IF($Q$5=49,J23,IF($Q$5=50,J23,IF($Q$5=51,J23,IF($Q$5=52,J23,IF($Q$5=53,J23,IF($Q$5=54,J23,0))))))))))))))))))))))</f>
        <v>A14</v>
      </c>
      <c r="S22" s="157" t="str">
        <f>IF($Q$5=37,L11,IF($Q$5=38,L11,IF($Q$5=39,P23,IF($Q$5=40,K11,IF($Q$5=41,K10,IF($Q$5=42,K10,IF($Q$5=43,K10,IF($Q$5=44,P10,IF($Q$5=45,P11,IF($Q$5=46,K24,IF($Q$5=47,K24,IF($Q$5=48,K24,IF($Q$5=49,K24,IF($Q$5=50,K24,IF($Q$5=51,K24,IF($Q$5=52,K24,IF($Q$5=53,K24,IF($Q$5=54,K24,0))))))))))))))))))</f>
        <v>B2</v>
      </c>
      <c r="T22" s="179" t="str">
        <f>IF($Q$5=41,L12,IF($Q$5=42,L11,IF($Q$5=43,0,IF($Q$5=44,0,IF($Q$5=45,L10,IF($Q$5=46,L10,IF($Q$5=47,L10,IF($Q$5=48,L25,IF($Q$5=49,L12,IF($Q$5=50,P27,IF($Q$5=51,L10,IF($Q$5=52,L25,IF($Q$5=53,L25,IF($Q$5=54,L25,0))))))))))))))</f>
        <v>C1</v>
      </c>
      <c r="U22" s="167" t="str">
        <f>IF($Q$5=37,O11,IF($Q$5=38,R10,IF($Q$5=39,R10,IF($Q$5=40,R23,IF($Q$5=41,R23,IF($Q$5=42,R23,IF($Q$5=43,R23,IF($Q$5=44,O24,IF($Q$5=45,R23,IF($Q$5=46,R23,IF($Q$5=47,R23,IF($Q$5=48,R23,IF($Q$5=49,R23,IF($Q$5=50,R23,IF($Q$5=51,R23,IF($Q$5=52,R23,IF($Q$5=53,R23,IF($Q$5=54,O24,0))))))))))))))))))</f>
        <v>A15</v>
      </c>
      <c r="V22" s="163" t="str">
        <f>IF($Q$5=37,T11,IF($Q$5=38,T12,IF($Q$5=39,T11,IF($Q$5=40,S11,IF($Q$5=41,S10,IF($Q$5=42,S10,IF($Q$5=43,S10,IF($Q$5=44,S25,IF($Q$5=45,S11,IF($Q$5=46,S24,IF($Q$5=47,S24,IF($Q$5=48,S24,IF($Q$5=49,S24,IF($Q$5=50,S11,IF($Q$5=51,S11,IF($Q$5=52,S24,IF($Q$5=53,S24,IF($Q$5=54,S24,0))))))))))))))))))</f>
        <v>B4</v>
      </c>
      <c r="W22" s="173" t="str">
        <f>IF($Q$5=41,T12,IF($Q$5=42,T11,IF($Q$5=43,0,IF($Q$5=44,0,IF($Q$5=45,T10,IF($Q$5=46,T10,IF($Q$5=47,T10,IF($Q$5=48,T25,IF($Q$5=49,T12,IF($Q$5=50,S27,IF($Q$5=51,T23,IF($Q$5=52,T24,IF($Q$5=53,T25,IF($Q$5=54,T25,0))))))))))))))</f>
        <v>C4</v>
      </c>
      <c r="X22" s="23"/>
      <c r="Y22" s="447"/>
      <c r="Z22" s="32"/>
      <c r="AA22" s="21" t="s">
        <v>5</v>
      </c>
      <c r="AB22" s="21"/>
      <c r="AC22" s="22"/>
      <c r="AD22" s="1"/>
      <c r="AE22" s="32"/>
      <c r="AF22" s="21" t="s">
        <v>5</v>
      </c>
      <c r="AG22" s="21"/>
      <c r="AH22" s="22"/>
      <c r="AI22" s="1"/>
      <c r="AJ22" s="32"/>
      <c r="AK22" s="21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>
        <f t="shared" si="3"/>
        <v>3</v>
      </c>
      <c r="AR22" s="99">
        <f t="shared" si="4"/>
        <v>9</v>
      </c>
      <c r="AS22" s="219">
        <f t="shared" si="5"/>
        <v>10</v>
      </c>
      <c r="AT22" s="289">
        <f t="shared" si="6"/>
        <v>1</v>
      </c>
      <c r="AU22" s="99">
        <f t="shared" si="7"/>
        <v>-11</v>
      </c>
      <c r="AV22" s="291">
        <f t="shared" si="8"/>
        <v>1</v>
      </c>
      <c r="AW22" s="286">
        <f t="shared" si="9"/>
        <v>3</v>
      </c>
      <c r="AX22" s="99">
        <f t="shared" si="10"/>
        <v>3</v>
      </c>
      <c r="AY22" s="291">
        <f t="shared" si="11"/>
        <v>8</v>
      </c>
      <c r="AZ22" s="286">
        <f t="shared" si="17"/>
        <v>7</v>
      </c>
      <c r="BA22" s="99">
        <f t="shared" si="12"/>
        <v>1</v>
      </c>
      <c r="BB22" s="291">
        <f t="shared" si="13"/>
        <v>19</v>
      </c>
      <c r="BC22" s="41">
        <f t="shared" si="14"/>
        <v>0</v>
      </c>
      <c r="BD22" s="57">
        <f t="shared" si="15"/>
        <v>1</v>
      </c>
      <c r="BE22" s="363">
        <f t="shared" si="16"/>
        <v>6.9881002200000006</v>
      </c>
      <c r="BF22" s="99">
        <f>IF(AP22="","",SMALL(BE$9:BE$62,ROWS(AZ$9:AZ22)))</f>
        <v>6.9378005600000003</v>
      </c>
      <c r="BG22" s="88"/>
      <c r="BH22" s="95" t="str">
        <f>IF(OR(AP22="",AZ22=""),"",INDEX($AP$9:$AP$63,MATCH(BF22,$BE$9:BE$62,0)))</f>
        <v>C12</v>
      </c>
      <c r="BI22" s="294">
        <f t="shared" si="0"/>
        <v>7</v>
      </c>
      <c r="BJ22" s="7">
        <f t="shared" si="1"/>
        <v>6</v>
      </c>
      <c r="BK22" s="7">
        <f t="shared" si="2"/>
        <v>22</v>
      </c>
      <c r="BL22" s="280">
        <f>IF(BF22="","",IF(AND(BI21=BI22,BJ21=BJ22,BK21=BK22),BL21,$BL$9+13))</f>
        <v>14</v>
      </c>
      <c r="BM22" s="29"/>
      <c r="BN22" s="262"/>
    </row>
    <row r="23" spans="1:66" ht="21" thickBot="1">
      <c r="A23" s="131">
        <v>14</v>
      </c>
      <c r="B23" s="393" t="s">
        <v>79</v>
      </c>
      <c r="C23" s="274">
        <f>IF($Q$5&gt;=40,14,0)</f>
        <v>14</v>
      </c>
      <c r="D23" s="398" t="s">
        <v>97</v>
      </c>
      <c r="E23" s="274">
        <f>IF($Q$5&gt;=41,14,0)</f>
        <v>14</v>
      </c>
      <c r="F23" s="396" t="s">
        <v>115</v>
      </c>
      <c r="G23" s="274">
        <f>IF($Q$5&gt;=42,14,0)</f>
        <v>14</v>
      </c>
      <c r="H23" s="23"/>
      <c r="I23" s="196">
        <v>14</v>
      </c>
      <c r="J23" s="204" t="str">
        <f>IF(ISNA(MATCH(I23,$C$10:$C$27,0)),"",INDEX(B$10:$B$27,MATCH(I23,$C$10:$C$27,0)))</f>
        <v>A14</v>
      </c>
      <c r="K23" s="137" t="str">
        <f>IF(ISNA(MATCH(I23,$E$10:$E$27,0)),"",INDEX($D$10:D$27,MATCH(I23,$E$10:$E$27,0)))</f>
        <v>B14</v>
      </c>
      <c r="L23" s="188" t="str">
        <f>IF(ISNA(MATCH(I23,$G$10:$G$27,0)),"",INDEX($F$10:F$27,MATCH(I23,$G$10:$G$27,0)))</f>
        <v>C14</v>
      </c>
      <c r="M23" s="155"/>
      <c r="N23" s="52" t="s">
        <v>5</v>
      </c>
      <c r="O23" s="141" t="str">
        <f>IF($Q$5=36,0,IF($Q$5=37,K21,IF($Q$5=38,K22,IF($Q$5=39,K22,IF($Q$5=40,J23,IF($Q$5=41,J23,IF($Q$5=42,J23,IF($Q$5=43,J23,IF($Q$5=44,J23,IF($Q$5=45,J23,IF($Q$5=46,J23,IF($Q$5=47,J23,IF($Q$5=48,J23,IF($Q$5=49,J23,IF($Q$5=50,J23,IF($Q$5=51,J23,IF($Q$5=52,J23,IF($Q$5=53,J23,IF($Q$5=54,J23,0)))))))))))))))))))</f>
        <v>A14</v>
      </c>
      <c r="P23" s="149" t="str">
        <f>IF($Q$5=36,0,IF($Q$5=37,L19,IF($Q$5=38,L21,IF($Q$5=39,L22,IF($Q$5=40,L22,IF($Q$5=41,K23,IF($Q$5=42,K23,IF($Q$5=43,L22,IF($Q$5=44,K23,IF($Q$5=45,K23,IF($Q$5=46,K2:K23,IF($Q$5=47,K23,IF($Q$5=48,K23,IF($Q$5=49,K23,IF($Q$5=50,K23,IF($Q$5=51,K23,IF($Q$5=52,K23,IF($Q$5=53,K23,IF($Q$5=54,K23,0)))))))))))))))))))</f>
        <v>B14</v>
      </c>
      <c r="Q23" s="143">
        <f>IF($Q$5=40,0,IF($Q$5=41,0,IF($Q$5=42,L23,IF($Q$5=43,0,IF($Q$5=44,0,IF($Q$5=45,0,IF($Q$5=46,L23,IF($Q$5=47,L23,IF($Q$5=48,L23,IF($Q$5=49,0,IF($Q$5=50,L23,IF($Q$5=51,L23,IF($Q$5=52,L23,IF($Q$5=53,L23,IF($Q$5=54,L23,0)))))))))))))))</f>
        <v>0</v>
      </c>
      <c r="R23" s="170" t="str">
        <f>IF($Q$5=37,O23,IF($Q$5=38,O23,IF($Q$5=39,O23,IF($Q$5=40,J10,IF($Q$5=41,J10,IF($Q$5=42,J10,IF($Q$5=43,J24,IF($Q$5=44,J24,IF($Q$5=45,J24,IF($Q$5=46,J24,IF($Q$5=47,J24,IF($Q$5=48,J24,IF($Q$5=49,J24,IF($Q$5=50,J24,IF($Q$5=51,J24,IF($Q$5=52,J24,IF($Q$5=53,J24,IF($Q$5=54,J24,0))))))))))))))))))</f>
        <v>A15</v>
      </c>
      <c r="S23" s="171" t="str">
        <f>IF($Q$5=37,L12,IF($Q$5=38,L12,IF($Q$5=39,P22,IF($Q$5=40,L12,IF($Q$5=41,K11,IF($Q$5=42,K11,IF($Q$5=43,L11,IF($Q$5=44,L11,IF($Q$5=45,K10,IF($Q$5=46,K10,IF($Q$5=47,K25,IF($Q$5=48,K25,IF($Q$5=49,P11,IF($Q$5=50,K25,IF($Q$5=51,K25,IF($Q$5=52,K25,IF($Q$5=53,K25,IF($Q$5=54,K25,0))))))))))))))))))</f>
        <v>B1</v>
      </c>
      <c r="T23" s="181">
        <f>IF($Q$5=42,L12,IF($Q$5=46,L11,IF($Q$5=47,L11,IF($Q$5=48,L10,IF($Q$5=49,0,IF($Q$5=50,L10,IF($Q$5=51,L11,IF($Q$5=52,L10,IF($Q$5=53,L26,IF($Q$5=54,L26,0))))))))))</f>
        <v>0</v>
      </c>
      <c r="U23" s="210" t="str">
        <f>IF($Q$5=32,0,IF($Q$5=33,0,IF($Q$5=34,0,IF($Q$5=35,0,IF($Q$5=36,0,IF($Q$5=37,R23,IF($Q$5=38,R23,IF($Q$5=39,R23,IF($Q$5=40,R10,IF($Q$5=41,R10,IF($Q$5=42,R10,IF($Q$5=43,R24,IF($Q$5=44,R24,IF($Q$5=45,R24,IF($Q$5=46,R24,IF($Q$5=47,R24,IF($Q$5=48,R24,IF($Q$5=49,R24,IF($Q$5=50,R24,IF($Q$5=51,R24,IF($Q$5=52,R24,IF($Q$5=53,R24,IF($Q$5=54,O25,0)))))))))))))))))))))))</f>
        <v>A1</v>
      </c>
      <c r="V23" s="176" t="str">
        <f>IF($Q$5=37,T12,IF($Q$5=38,T11,IF($Q$5=39,T12,IF($Q$5=40,T12,IF($Q$5=41,S11,IF($Q$5=42,S11,IF($Q$5=43,T12,IF($Q$5=44,S10,IF($Q$5=45,S10,IF($Q$5=46,S10,IF($Q$5=47,S25,IF($Q$5=48,S25,IF($Q$5=49,S11,IF($Q$5=50,S24,IF($Q$5=51,S24,IF($Q$5=52,S25,IF($Q$5=53,S25,IF($Q$5=54,S25,0))))))))))))))))))</f>
        <v>B3</v>
      </c>
      <c r="W23" s="177">
        <f>IF($Q$5=42,T12,IF($Q$5=43,0,IF($Q$5=44,0,IF($Q$5=45,0,IF($Q$5=46,T11,IF($Q$5=47,T11,IF($Q$5=48,T10,IF($Q$5=49,0,IF($Q$5=50,T10,IF($Q$5=51,T24,IF($Q$5=52,T25,IF($Q$5=53,T26,IF($Q$5=54,T26,0)))))))))))))</f>
        <v>0</v>
      </c>
      <c r="X23" s="23"/>
      <c r="Y23" s="447"/>
      <c r="Z23" s="14" t="str">
        <f>+O13</f>
        <v>A4</v>
      </c>
      <c r="AA23" s="35">
        <v>10</v>
      </c>
      <c r="AB23" s="30">
        <f>IF(AA19+AA23=0,0,IF(AA19=AA23,2,IF(AA19&lt;AA23,3,1)))</f>
        <v>3</v>
      </c>
      <c r="AC23" s="15">
        <f>AA23-AA19</f>
        <v>5</v>
      </c>
      <c r="AD23" s="9"/>
      <c r="AE23" s="14" t="str">
        <f>+R13</f>
        <v>A5</v>
      </c>
      <c r="AF23" s="127">
        <v>12</v>
      </c>
      <c r="AG23" s="30">
        <f>IF(AF19+AF23=0,0,IF(AF19=AF23,2,IF(AF19&lt;AF23,3,1)))</f>
        <v>3</v>
      </c>
      <c r="AH23" s="15">
        <f>AF23-AF19</f>
        <v>7</v>
      </c>
      <c r="AI23" s="9"/>
      <c r="AJ23" s="14" t="str">
        <f>+U13</f>
        <v>A6</v>
      </c>
      <c r="AK23" s="37">
        <v>9</v>
      </c>
      <c r="AL23" s="30">
        <f>IF(AK19+AK23=0,0,IF(AK19=AK23,2,IF(AK19&lt;AK23,3,1)))</f>
        <v>1</v>
      </c>
      <c r="AM23" s="15">
        <f>AK23-AK19</f>
        <v>-4</v>
      </c>
      <c r="AN23" s="23"/>
      <c r="AO23" s="54">
        <v>15</v>
      </c>
      <c r="AP23" s="321" t="str">
        <f>+Inscrits!B17</f>
        <v>A15</v>
      </c>
      <c r="AQ23" s="286">
        <f t="shared" si="3"/>
        <v>1</v>
      </c>
      <c r="AR23" s="99">
        <f t="shared" si="4"/>
        <v>-10</v>
      </c>
      <c r="AS23" s="219">
        <f t="shared" si="5"/>
        <v>1</v>
      </c>
      <c r="AT23" s="289">
        <f t="shared" si="6"/>
        <v>3</v>
      </c>
      <c r="AU23" s="99">
        <f t="shared" si="7"/>
        <v>11</v>
      </c>
      <c r="AV23" s="291">
        <f t="shared" si="8"/>
        <v>12</v>
      </c>
      <c r="AW23" s="286">
        <f t="shared" si="9"/>
        <v>1</v>
      </c>
      <c r="AX23" s="99">
        <f t="shared" si="10"/>
        <v>-8</v>
      </c>
      <c r="AY23" s="291">
        <f t="shared" si="11"/>
        <v>1</v>
      </c>
      <c r="AZ23" s="286">
        <f t="shared" si="17"/>
        <v>5</v>
      </c>
      <c r="BA23" s="99">
        <f t="shared" si="12"/>
        <v>-7</v>
      </c>
      <c r="BB23" s="291">
        <f t="shared" si="13"/>
        <v>14</v>
      </c>
      <c r="BC23" s="41">
        <f t="shared" si="14"/>
        <v>-7</v>
      </c>
      <c r="BD23" s="57">
        <f t="shared" si="15"/>
        <v>0</v>
      </c>
      <c r="BE23" s="363">
        <f t="shared" si="16"/>
        <v>23.068600230000001</v>
      </c>
      <c r="BF23" s="99">
        <f>IF(AP23="","",SMALL(BE$9:BE$62,ROWS(AZ$9:AZ23)))</f>
        <v>6.9573001300000001</v>
      </c>
      <c r="BG23" s="88"/>
      <c r="BH23" s="95" t="str">
        <f>IF(OR(AP23="",AZ23=""),"",INDEX($AP$9:$AP$63,MATCH(BF23,$BE$9:BE$62,0)))</f>
        <v>A5</v>
      </c>
      <c r="BI23" s="294">
        <f t="shared" si="0"/>
        <v>7</v>
      </c>
      <c r="BJ23" s="7">
        <f t="shared" si="1"/>
        <v>4</v>
      </c>
      <c r="BK23" s="7">
        <f t="shared" si="2"/>
        <v>27</v>
      </c>
      <c r="BL23" s="280">
        <f>IF(BF23="","",IF(AND(BI22=BI23,BJ22=BJ23,BK22=BK23),BL22,$BL$9+14))</f>
        <v>15</v>
      </c>
      <c r="BM23" s="29"/>
      <c r="BN23" s="262"/>
    </row>
    <row r="24" spans="1:66" ht="21" thickBot="1">
      <c r="A24" s="131">
        <v>15</v>
      </c>
      <c r="B24" s="393" t="s">
        <v>80</v>
      </c>
      <c r="C24" s="274">
        <f>IF($Q$5&gt;=43,15,0)</f>
        <v>15</v>
      </c>
      <c r="D24" s="398" t="s">
        <v>98</v>
      </c>
      <c r="E24" s="274">
        <f>IF($Q$5&gt;=44,15,0)</f>
        <v>15</v>
      </c>
      <c r="F24" s="396" t="s">
        <v>116</v>
      </c>
      <c r="G24" s="274">
        <f>IF($Q$5&gt;=45,15,0)</f>
        <v>15</v>
      </c>
      <c r="H24" s="23"/>
      <c r="I24" s="196">
        <v>15</v>
      </c>
      <c r="J24" s="204" t="str">
        <f>IF(ISNA(MATCH(I24,$C$10:$C$27,0)),"",INDEX(B$10:$B$27,MATCH(I24,$C$10:$C$27,0)))</f>
        <v>A15</v>
      </c>
      <c r="K24" s="137" t="str">
        <f>IF(ISNA(MATCH(I24,$E$10:$E$27,0)),"",INDEX($D$10:D$27,MATCH(I24,$E$10:$E$27,0)))</f>
        <v>B15</v>
      </c>
      <c r="L24" s="188" t="str">
        <f>IF(ISNA(MATCH(I24,$G$10:$G$27,0)),"",INDEX($F$10:F$27,MATCH(I24,$G$10:$G$27,0)))</f>
        <v>C15</v>
      </c>
      <c r="M24" s="155"/>
      <c r="N24" s="82">
        <v>8</v>
      </c>
      <c r="O24" s="147" t="str">
        <f>IF($Q$5=43,J24,IF($Q$5=44,J24,IF($Q$5=45,J24,IF($Q$5=46,J24,IF($Q$5=47,J24,IF($Q$5=48,J24,IF($Q$5=49,J24,IF($Q$5=50,J24,IF($Q$5=51,J24,IF($Q$5=52,J24,IF($Q$5=53,J24,IF($Q$5=54,J24,0))))))))))))</f>
        <v>A15</v>
      </c>
      <c r="P24" s="142" t="str">
        <f>IF($Q$5=43,L23,IF($Q$5=44,L22,IF($Q$5=45,L23,IF($Q$5=46,K24,IF($Q$5=47,K24,IF($Q$5=48,K24,IF($Q$5=49,K24,IF($Q$5=50,K24,IF($Q$5=51,K24,IF($Q$5=52,K24,IF($Q$5=53,K24,IF($Q$5=54,K24,0))))))))))))</f>
        <v>C14</v>
      </c>
      <c r="Q24" s="148">
        <f>IF($Q$5=43,0,IF($Q$5=44,0,IF($Q$5=45,0,IF($Q$5=46,0,IF($Q$5=47,L24,IF($Q$5=48,L24,IF($Q$5=49,0,IF($Q$5=50,0,IF($Q$5=51,L24,IF($Q$5=52,L24,IF($Q$5=53,L24,IF($Q$5=54,L24,0))))))))))))</f>
        <v>0</v>
      </c>
      <c r="R24" s="165" t="str">
        <f>IF($Q$5=43,J10,IF($Q$5=44,J10,IF($Q$5=45,J10,IF($Q$5=46,J25,IF($Q$5=47,J25,IF($Q$5=48,J25,IF($Q$5=49,J25,IF($Q$5=50,J25,IF($Q$5=51,J25,IF($Q$5=52,J25,IF($Q$5=53,J25,IF($Q$5=54,J25,0))))))))))))</f>
        <v>A1</v>
      </c>
      <c r="S24" s="157" t="str">
        <f>IF($Q$5=43,L12,IF($Q$5=44,L12,IF($Q$5=45,L11,IF($Q$5=46,K11,IF($Q$5=47,K10,IF($Q$5=48,K10,IF($Q$5=49,K10,IF($Q$5=50,K10,IF($Q$5=51,K10,IF($Q$5=52,K26,IF($Q$5=53,K26,IF($Q$5=54,K26,0))))))))))))</f>
        <v>C2</v>
      </c>
      <c r="T24" s="179">
        <f>IF($Q$5=47,L12,IF($Q$5=48,L11,IF($Q$5=49,0,IF($Q$5=50,0,IF($Q$5=51,L12,IF($Q$5=52,L11,IF($Q$5=53,L10,IF($Q$5=54,L27,0))))))))</f>
        <v>0</v>
      </c>
      <c r="U24" s="165" t="str">
        <f>IF($Q$5=42,0,IF($Q$5=43,R10,IF($Q$5=44,R10,IF($Q$5=45,R10,IF($Q$5=46,R25,IF($Q$5=47,R25,IF($Q$5=48,O10,IF($Q$5=49,R25,IF($Q$5=50,R25,IF($Q$5=51,R25,IF($Q$5=52,R25,IF($Q$5=53,O26,IF($Q$5=54,O26,0)))))))))))))</f>
        <v>A2</v>
      </c>
      <c r="V24" s="163" t="str">
        <f>IF($Q$5=43,T10,IF($Q$5=44,T11,IF($Q$5=45,T11,IF($Q$5=46,S11,IF($Q$5=47,S10,IF($Q$5=48,S10,IF($Q$5=49,S10,IF($Q$5=50,S25,IF($Q$5=51,S25,IF($Q$5=52,S26,IF($Q$5=53,S26,IF($Q$5=54,S26,0))))))))))))</f>
        <v>C5</v>
      </c>
      <c r="W24" s="173">
        <f>IF($Q$5=47,T12,IF($Q$5=48,T11,IF($Q$5=49,0,IF($Q$5=50,0,IF($Q$5=51,T10,IF($Q$5=52,T10,IF($Q$5=53,T10,IF($Q$5=54,T27,0))))))))</f>
        <v>0</v>
      </c>
      <c r="X24" s="23"/>
      <c r="Y24" s="447"/>
      <c r="Z24" s="14" t="str">
        <f>+P13</f>
        <v>B4</v>
      </c>
      <c r="AA24" s="69">
        <f>IF(ISTEXT(Z24),AA23,0)</f>
        <v>10</v>
      </c>
      <c r="AB24" s="18">
        <f>IF(ISTEXT(Z24),AB23,0)</f>
        <v>3</v>
      </c>
      <c r="AC24" s="62">
        <f>IF(ISTEXT(Z24),AC23,0)</f>
        <v>5</v>
      </c>
      <c r="AD24" s="11"/>
      <c r="AE24" s="14" t="str">
        <f>+S13</f>
        <v>B6</v>
      </c>
      <c r="AF24" s="18">
        <f>IF(ISTEXT(AE24),AF23,0)</f>
        <v>12</v>
      </c>
      <c r="AG24" s="18">
        <f>IF(ISTEXT(AE24),AG23,0)</f>
        <v>3</v>
      </c>
      <c r="AH24" s="62">
        <f>IF(ISTEXT(AE24),AH23,0)</f>
        <v>7</v>
      </c>
      <c r="AI24" s="11"/>
      <c r="AJ24" s="14" t="str">
        <f>+V13</f>
        <v>B8</v>
      </c>
      <c r="AK24" s="18">
        <f>IF(ISTEXT(AJ24),AK23,0)</f>
        <v>9</v>
      </c>
      <c r="AL24" s="18">
        <f>IF(ISTEXT(AJ24),AL23,0)</f>
        <v>1</v>
      </c>
      <c r="AM24" s="62">
        <f>IF(ISTEXT(AJ24),AM23,0)</f>
        <v>-4</v>
      </c>
      <c r="AN24" s="23"/>
      <c r="AO24" s="54">
        <v>16</v>
      </c>
      <c r="AP24" s="321" t="str">
        <f>+Inscrits!B18</f>
        <v>A16</v>
      </c>
      <c r="AQ24" s="286" t="str">
        <f t="shared" si="3"/>
        <v xml:space="preserve"> </v>
      </c>
      <c r="AR24" s="99" t="str">
        <f t="shared" si="4"/>
        <v xml:space="preserve"> </v>
      </c>
      <c r="AS24" s="219" t="str">
        <f t="shared" si="5"/>
        <v xml:space="preserve"> </v>
      </c>
      <c r="AT24" s="289" t="str">
        <f t="shared" si="6"/>
        <v xml:space="preserve"> </v>
      </c>
      <c r="AU24" s="99" t="str">
        <f t="shared" si="7"/>
        <v xml:space="preserve"> </v>
      </c>
      <c r="AV24" s="291" t="str">
        <f t="shared" si="8"/>
        <v xml:space="preserve"> </v>
      </c>
      <c r="AW24" s="286" t="str">
        <f t="shared" si="9"/>
        <v xml:space="preserve"> </v>
      </c>
      <c r="AX24" s="99" t="str">
        <f t="shared" si="10"/>
        <v xml:space="preserve"> </v>
      </c>
      <c r="AY24" s="291" t="str">
        <f t="shared" si="11"/>
        <v xml:space="preserve"> </v>
      </c>
      <c r="AZ24" s="286">
        <f t="shared" si="17"/>
        <v>0</v>
      </c>
      <c r="BA24" s="99">
        <f t="shared" si="12"/>
        <v>0</v>
      </c>
      <c r="BB24" s="291">
        <f t="shared" si="13"/>
        <v>0</v>
      </c>
      <c r="BC24" s="41">
        <f t="shared" si="14"/>
        <v>0</v>
      </c>
      <c r="BD24" s="57">
        <f t="shared" si="15"/>
        <v>0</v>
      </c>
      <c r="BE24" s="363">
        <f t="shared" si="16"/>
        <v>46.000000239999999</v>
      </c>
      <c r="BF24" s="99">
        <f>IF(AP24="","",SMALL(BE$9:BE$62,ROWS(AZ$9:AZ24)))</f>
        <v>6.9779002999999999</v>
      </c>
      <c r="BG24" s="88"/>
      <c r="BH24" s="95" t="str">
        <f>IF(OR(AP24="",AZ24=""),"",INDEX($AP$9:$AP$63,MATCH(BF24,$BE$9:BE$62,0)))</f>
        <v>B4</v>
      </c>
      <c r="BI24" s="294">
        <f t="shared" si="0"/>
        <v>7</v>
      </c>
      <c r="BJ24" s="7">
        <f t="shared" si="1"/>
        <v>2</v>
      </c>
      <c r="BK24" s="7">
        <f t="shared" si="2"/>
        <v>21</v>
      </c>
      <c r="BL24" s="280">
        <f>IF(BF24="","",IF(AND(BI23=BI24,BJ23=BJ24,BK23=BK24),BL23,$BL$9+15))</f>
        <v>16</v>
      </c>
      <c r="BM24" s="29"/>
      <c r="BN24" s="262"/>
    </row>
    <row r="25" spans="1:66" ht="21" thickBot="1">
      <c r="A25" s="131">
        <v>16</v>
      </c>
      <c r="B25" s="393"/>
      <c r="C25" s="274">
        <f>IF($Q$5&gt;=46,16,0)</f>
        <v>0</v>
      </c>
      <c r="D25" s="393"/>
      <c r="E25" s="274">
        <f>IF($Q$5&gt;=47,16,0)</f>
        <v>0</v>
      </c>
      <c r="F25" s="396"/>
      <c r="G25" s="274">
        <f>IF($Q$5&gt;=48,16,0)</f>
        <v>0</v>
      </c>
      <c r="H25" s="23"/>
      <c r="I25" s="196">
        <v>16</v>
      </c>
      <c r="J25" s="204" t="str">
        <f>IF(ISNA(MATCH(I25,$C$10:$C$27,0)),"",INDEX(B$10:$B$27,MATCH(I25,$C$10:$C$27,0)))</f>
        <v/>
      </c>
      <c r="K25" s="137" t="str">
        <f>IF(ISNA(MATCH(I25,$E$10:$E$27,0)),"",INDEX($D$10:D$27,MATCH(I25,$E$10:$E$27,0)))</f>
        <v/>
      </c>
      <c r="L25" s="188" t="str">
        <f>IF(ISNA(MATCH(I25,$G$10:$G$27,0)),"",INDEX($F$10:F$27,MATCH(I25,$G$10:$G$27,0)))</f>
        <v/>
      </c>
      <c r="M25" s="155"/>
      <c r="N25" s="52" t="s">
        <v>5</v>
      </c>
      <c r="O25" s="141" t="str">
        <f>IF($Q$5=43,K23,IF($Q$5=44,K24,IF($Q$5=45,K24,IF($Q$5=46,J25,IF($Q$5=47,J25,IF($Q$5=48,J25,IF($Q$5=49,J25,IF($Q$5=50,J25,IF($Q$5=51,J25,IF($Q$5=52,J25,IF($Q$5=53,J25,IF($Q$5=54,J25,0))))))))))))</f>
        <v>B15</v>
      </c>
      <c r="P25" s="146" t="str">
        <f>IF($Q$5=43,L21,IF($Q$5=44,L23,IF($Q$5=45,L24,IF($Q$5=46,L24,IF($Q$5=47,K25,IF($Q$5=48,K25,IF($Q$5=49,L25,IF($Q$5=50,K25,IF($Q$5=51,K25,IF($Q$5=52,K25,IF($Q$5=53,K25,IF($Q$5=54,K25,0))))))))))))</f>
        <v>C15</v>
      </c>
      <c r="Q25" s="143">
        <f>IF($Q$5=48,L25,IF($Q$5=49,0,IF($Q$5=50,0,IF($Q$5=51,0,IF($Q$5=52,L25,IF($Q$5=53,L25,IF($Q$5=54,L25,0)))))))</f>
        <v>0</v>
      </c>
      <c r="R25" s="170" t="str">
        <f>IF($Q$5=43,O25,IF($Q$5=44,O25,IF($Q$5=45,O25,IF($Q$5=46,J10,IF($Q$5=47,J10,IF($Q$5=48,J10,IF($Q$5=49,J26,IF($Q$5=50,J26,IF($Q$5=51,J26,IF($Q$5=52,J26,IF($Q$5=53,J26,IF($Q$5=54,J26,0))))))))))))</f>
        <v>B15</v>
      </c>
      <c r="S25" s="171" t="str">
        <f>IF($Q$5=43,L10,IF($Q$5=44,K11,IF($Q$5=45,L12,IF($Q$5=46,L12,IF($Q$5=47,K11,IF($Q$5=48,K11,IF($Q$5=49,P27,IF($Q$5=50,K11,IF($Q$5=51,K11,IF($Q$5=52,K10,IF($Q$5=53,K27,IF($Q$5=54,K27,0))))))))))))</f>
        <v>C3</v>
      </c>
      <c r="T25" s="181">
        <f>IF($Q$5=48,L12,IF($Q$5=49,0,IF($Q$5=50,0,IF($Q$5=51,0,IF($Q$5=52,L12,IF($Q$5=53,L11,IF($Q$5=54,L10,0)))))))</f>
        <v>0</v>
      </c>
      <c r="U25" s="184" t="str">
        <f>IF($Q$5=43,R25,IF($Q$5=44,R25,IF($Q$5=45,R25,IF($Q$5=46,R10,IF($Q$5=47,R10,IF($Q$5=48,R10,IF($Q$5=49,R26,IF($Q$5=50,R26,IF($Q$5=51,R26,IF($Q$5=52,O27,IF($Q$5=53,R26,IF($Q$5=54,O27,0))))))))))))</f>
        <v>B15</v>
      </c>
      <c r="V25" s="176" t="str">
        <f>IF($Q$5=43,T11,IF($Q$5=44,T12,IF($Q$5=45,T12,IF($Q$5=46,T12,IF($Q$5=47,S11,IF($Q$5=48,S11,IF($Q$5=49,S25,IF($Q$5=50,S10,IF($Q$5=51,S10,IF($Q$5=52,S10,IF($Q$5=53,S27,IF($Q$5=54,S27,0))))))))))))</f>
        <v>C6</v>
      </c>
      <c r="W25" s="177">
        <f>IF($Q$5=48,T12,IF($Q$5=49,0,IF($Q$5=50,0,IF($Q$5=51,0,IF($Q$5=52,T11,IF($Q$5=53,T11,IF($Q$5=54,T10,0)))))))</f>
        <v>0</v>
      </c>
      <c r="X25" s="23"/>
      <c r="Y25" s="448"/>
      <c r="Z25" s="16" t="str">
        <f>+Q13</f>
        <v>C4</v>
      </c>
      <c r="AA25" s="69">
        <f>IF(ISTEXT(Z25),AA23,0)</f>
        <v>10</v>
      </c>
      <c r="AB25" s="18">
        <f>IF(ISTEXT(Z25),AB23,0)</f>
        <v>3</v>
      </c>
      <c r="AC25" s="62">
        <f>IF(ISTEXT(Z25),AC23,0)</f>
        <v>5</v>
      </c>
      <c r="AD25" s="11"/>
      <c r="AE25" s="16" t="str">
        <f>+T13</f>
        <v>C7</v>
      </c>
      <c r="AF25" s="18">
        <f>IF(ISTEXT(AE25),AF23,0)</f>
        <v>12</v>
      </c>
      <c r="AG25" s="18">
        <f>IF(ISTEXT(AE25),AG23,0)</f>
        <v>3</v>
      </c>
      <c r="AH25" s="62">
        <f>IF(ISTEXT(AE25),AH23,0)</f>
        <v>7</v>
      </c>
      <c r="AI25" s="11"/>
      <c r="AJ25" s="16" t="str">
        <f>+W13</f>
        <v>C10</v>
      </c>
      <c r="AK25" s="18">
        <f>IF(ISTEXT(AJ25),AK23,0)</f>
        <v>9</v>
      </c>
      <c r="AL25" s="18">
        <f>IF(ISTEXT(AJ25),AL23,0)</f>
        <v>1</v>
      </c>
      <c r="AM25" s="62">
        <f>IF(ISTEXT(AJ25),AM23,0)</f>
        <v>-4</v>
      </c>
      <c r="AN25" s="23"/>
      <c r="AO25" s="54">
        <v>17</v>
      </c>
      <c r="AP25" s="321" t="str">
        <f>+Inscrits!B19</f>
        <v>A17</v>
      </c>
      <c r="AQ25" s="286" t="str">
        <f t="shared" si="3"/>
        <v xml:space="preserve"> </v>
      </c>
      <c r="AR25" s="99" t="str">
        <f t="shared" si="4"/>
        <v xml:space="preserve"> </v>
      </c>
      <c r="AS25" s="219" t="str">
        <f t="shared" si="5"/>
        <v xml:space="preserve"> </v>
      </c>
      <c r="AT25" s="289" t="str">
        <f t="shared" si="6"/>
        <v xml:space="preserve"> </v>
      </c>
      <c r="AU25" s="99" t="str">
        <f t="shared" si="7"/>
        <v xml:space="preserve"> </v>
      </c>
      <c r="AV25" s="291" t="str">
        <f t="shared" si="8"/>
        <v xml:space="preserve"> </v>
      </c>
      <c r="AW25" s="286" t="str">
        <f t="shared" si="9"/>
        <v xml:space="preserve"> </v>
      </c>
      <c r="AX25" s="99" t="str">
        <f t="shared" si="10"/>
        <v xml:space="preserve"> </v>
      </c>
      <c r="AY25" s="291" t="str">
        <f t="shared" si="11"/>
        <v xml:space="preserve"> </v>
      </c>
      <c r="AZ25" s="286">
        <f t="shared" si="17"/>
        <v>0</v>
      </c>
      <c r="BA25" s="99">
        <f t="shared" si="12"/>
        <v>0</v>
      </c>
      <c r="BB25" s="291">
        <f t="shared" si="13"/>
        <v>0</v>
      </c>
      <c r="BC25" s="41">
        <f t="shared" si="14"/>
        <v>0</v>
      </c>
      <c r="BD25" s="57">
        <f t="shared" si="15"/>
        <v>0</v>
      </c>
      <c r="BE25" s="363">
        <f t="shared" si="16"/>
        <v>46.000000249999999</v>
      </c>
      <c r="BF25" s="99">
        <f>IF(AP25="","",SMALL(BE$9:BE$62,ROWS(AZ$9:AZ25)))</f>
        <v>6.98770033</v>
      </c>
      <c r="BG25" s="88"/>
      <c r="BH25" s="95" t="str">
        <f>IF(OR(AP25="",AZ25=""),"",INDEX($AP$9:$AP$63,MATCH(BF25,$BE$9:BE$62,0)))</f>
        <v>B7</v>
      </c>
      <c r="BI25" s="294">
        <f t="shared" si="0"/>
        <v>7</v>
      </c>
      <c r="BJ25" s="7">
        <f t="shared" si="1"/>
        <v>1</v>
      </c>
      <c r="BK25" s="7">
        <f t="shared" si="2"/>
        <v>23</v>
      </c>
      <c r="BL25" s="280">
        <f>IF(BF25="","",IF(AND(BI24=BI25,BJ24=BJ25,BK24=BK25),BL24,$BL$9+16))</f>
        <v>17</v>
      </c>
      <c r="BM25" s="29"/>
      <c r="BN25" s="262"/>
    </row>
    <row r="26" spans="1:66" ht="21" thickBot="1">
      <c r="A26" s="131">
        <v>17</v>
      </c>
      <c r="B26" s="393"/>
      <c r="C26" s="272">
        <f>IF($Q$5&gt;=49,17,0)</f>
        <v>0</v>
      </c>
      <c r="D26" s="393"/>
      <c r="E26" s="272">
        <f>IF($Q$5&gt;=50,17,0)</f>
        <v>0</v>
      </c>
      <c r="F26" s="396"/>
      <c r="G26" s="272">
        <f>IF($Q$5&gt;=51,17,0)</f>
        <v>0</v>
      </c>
      <c r="H26" s="134"/>
      <c r="I26" s="199">
        <v>17</v>
      </c>
      <c r="J26" s="205" t="str">
        <f>IF(ISNA(MATCH(I26,$C$10:$C$27,0)),"",INDEX(B$10:$B$27,MATCH(I26,$C$10:$C$27,0)))</f>
        <v/>
      </c>
      <c r="K26" s="200" t="str">
        <f>IF(ISNA(MATCH(I26,$E$10:$E$27,0)),"",INDEX($D$10:D$27,MATCH(I26,$E$10:$E$27,0)))</f>
        <v/>
      </c>
      <c r="L26" s="206" t="str">
        <f>IF(ISNA(MATCH(I26,$G$10:$G$27,0)),"",INDEX($F$10:F$27,MATCH(I26,$G$10:$G$27,0)))</f>
        <v/>
      </c>
      <c r="N26" s="82">
        <v>9</v>
      </c>
      <c r="O26" s="147">
        <f>IF($Q$5=49,J26,IF($Q$5=50,J26,IF($Q$5=51,J26,IF($Q$5=52,J26,IF($Q$5=53,J26,IF($Q$5=54,J26,0))))))</f>
        <v>0</v>
      </c>
      <c r="P26" s="142">
        <f>IF($Q$5=49,L24,IF($Q$5=50,L24,IF($Q$5=51,L25,IF($Q$5=52,K26,IF($Q$5=53,K26,IF($Q$5=54,K26,0))))))</f>
        <v>0</v>
      </c>
      <c r="Q26" s="148">
        <f>IF($Q$5=51,0,IF($Q$5=52,0,IF($Q$5=53,L26,IF($Q$5=54,L26,0))))</f>
        <v>0</v>
      </c>
      <c r="R26" s="165">
        <f>IF($Q$5=43,0,IF($Q$5=44,0,IF($Q$5=45,0,IF($Q$5=46,0,IF($Q$5=47,0,IF($Q$5=48,0,IF($Q$5=49,O10,IF($Q$5=50,O10,IF($Q$5=51,O10,IF($Q$5=52,O27,IF($Q$5=53,O27,IF($Q$5=54,O27,0))))))))))))</f>
        <v>0</v>
      </c>
      <c r="S26" s="157">
        <f>IF($Q$5=43,0,IF($Q$5=44,0,IF($Q$5=45,0,IF($Q$5=46,0,IF($Q$5=47,0,IF($Q$5=48,0,IF($Q$5=49,P26,IF($Q$5=50,Q11,IF($Q$5=51,P27,IF($Q$5=52,P11,IF($Q$5=53,P10,IF($Q$5=54,P10,0))))))))))))</f>
        <v>0</v>
      </c>
      <c r="T26" s="212">
        <f>IF($Q$5=53,Q12,IF($Q$5=54,Q11,0))</f>
        <v>0</v>
      </c>
      <c r="U26" s="215">
        <f>IF($Q$5=43,0,IF($Q$5=44,0,IF($Q$5=45,0,IF($Q$5=46,0,IF($Q$5=47,0,IF($Q$5=48,0,IF($Q$5=49,R10,IF($Q$5=50,R10,IF($Q$5=51,R10,IF($Q$5=52,R27,IF($Q$5=53,R27,IF($Q$5=54,R27,0))))))))))))</f>
        <v>0</v>
      </c>
      <c r="V26" s="163">
        <f>IF($Q$5=43,0,IF($Q$5=44,0,IF($Q$5=45,0,IF($Q$5=46,0,IF($Q$5=47,0,IF($Q$5=48,0,IF($Q$5=49,S27,IF($Q$5=50,T11,IF($Q$5=51,T11,IF($Q$5=52,S11,IF($Q$5=53,S10,IF($Q$5=54,S10,0))))))))))))</f>
        <v>0</v>
      </c>
      <c r="W26" s="173">
        <f>IF($Q$5=43,0,IF($Q$5=44,0,IF($Q$5=45,0,IF($Q$5=46,0,IF($Q$5=47,0,IF($Q$5=48,0,IF($Q$5=49,0,IF($Q$5=50,0,IF($Q$5=51,0,IF($Q$5=52,0,IF($Q$5=53,T12,IF($Q$5=54,T11,0))))))))))))</f>
        <v>0</v>
      </c>
      <c r="X26" s="23"/>
      <c r="Y26" s="128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23"/>
      <c r="AO26" s="54">
        <v>18</v>
      </c>
      <c r="AP26" s="321" t="str">
        <f>+Inscrits!B20</f>
        <v>A18</v>
      </c>
      <c r="AQ26" s="286" t="str">
        <f t="shared" si="3"/>
        <v xml:space="preserve"> </v>
      </c>
      <c r="AR26" s="99" t="str">
        <f t="shared" si="4"/>
        <v xml:space="preserve"> </v>
      </c>
      <c r="AS26" s="219" t="str">
        <f t="shared" si="5"/>
        <v xml:space="preserve"> </v>
      </c>
      <c r="AT26" s="289" t="str">
        <f t="shared" si="6"/>
        <v xml:space="preserve"> </v>
      </c>
      <c r="AU26" s="99" t="str">
        <f t="shared" si="7"/>
        <v xml:space="preserve"> </v>
      </c>
      <c r="AV26" s="291" t="str">
        <f t="shared" si="8"/>
        <v xml:space="preserve"> </v>
      </c>
      <c r="AW26" s="286" t="str">
        <f t="shared" si="9"/>
        <v xml:space="preserve"> </v>
      </c>
      <c r="AX26" s="99" t="str">
        <f t="shared" si="10"/>
        <v xml:space="preserve"> </v>
      </c>
      <c r="AY26" s="291" t="str">
        <f t="shared" si="11"/>
        <v xml:space="preserve"> </v>
      </c>
      <c r="AZ26" s="286">
        <f t="shared" si="17"/>
        <v>0</v>
      </c>
      <c r="BA26" s="99">
        <f t="shared" si="12"/>
        <v>0</v>
      </c>
      <c r="BB26" s="291">
        <f t="shared" si="13"/>
        <v>0</v>
      </c>
      <c r="BC26" s="41">
        <f t="shared" si="14"/>
        <v>0</v>
      </c>
      <c r="BD26" s="57">
        <f t="shared" si="15"/>
        <v>0</v>
      </c>
      <c r="BE26" s="363">
        <f t="shared" si="16"/>
        <v>46.00000026</v>
      </c>
      <c r="BF26" s="99">
        <f>IF(AP26="","",SMALL(BE$9:BE$62,ROWS(AZ$9:AZ26)))</f>
        <v>6.9881002200000006</v>
      </c>
      <c r="BG26" s="88"/>
      <c r="BH26" s="95" t="str">
        <f>IF(OR(AP26="",AZ26=""),"",INDEX($AP$9:$AP$63,MATCH(BF26,$BE$9:BE$62,0)))</f>
        <v>A14</v>
      </c>
      <c r="BI26" s="294">
        <f t="shared" si="0"/>
        <v>7</v>
      </c>
      <c r="BJ26" s="7">
        <f t="shared" si="1"/>
        <v>1</v>
      </c>
      <c r="BK26" s="7">
        <f t="shared" si="2"/>
        <v>19</v>
      </c>
      <c r="BL26" s="280">
        <f>IF(BF26="","",IF(AND(BI25=BI26,BJ25=BJ26,BK25=BK26),BL25,$BL$9+17))</f>
        <v>18</v>
      </c>
      <c r="BM26" s="29"/>
      <c r="BN26" s="262"/>
    </row>
    <row r="27" spans="1:66" ht="21" thickBot="1">
      <c r="A27" s="197">
        <v>18</v>
      </c>
      <c r="B27" s="394"/>
      <c r="C27" s="275">
        <f>IF($Q$5&gt;=52,18,0)</f>
        <v>0</v>
      </c>
      <c r="D27" s="394"/>
      <c r="E27" s="275">
        <f>IF($Q$5&gt;=53,18,0)</f>
        <v>0</v>
      </c>
      <c r="F27" s="397"/>
      <c r="G27" s="275">
        <f>IF($Q$5&gt;=54,18,0)</f>
        <v>0</v>
      </c>
      <c r="H27" s="134"/>
      <c r="I27" s="198">
        <v>18</v>
      </c>
      <c r="J27" s="207" t="str">
        <f>IF(ISNA(MATCH(I27,$C$10:$C$27,0)),"",INDEX(B$10:$B$27,MATCH(I27,$C$10:$C$27,0)))</f>
        <v/>
      </c>
      <c r="K27" s="189" t="str">
        <f>IF(ISNA(MATCH(I27,$E$10:$E$27,0)),"",INDEX($D$10:D$27,MATCH(I27,$E$10:$E$27,0)))</f>
        <v/>
      </c>
      <c r="L27" s="190" t="str">
        <f>IF(ISNA(MATCH(I27,$G$10:$G$27,0)),"",INDEX($F$10:F$27,MATCH(I27,$G$10:$G$27,0)))</f>
        <v/>
      </c>
      <c r="N27" s="52" t="s">
        <v>5</v>
      </c>
      <c r="O27" s="141">
        <f>IF($Q$5=49,K25,IF($Q$5=50,K26,IF($Q$5=51,K26,IF($Q$5=52,J27,IF($Q$5=53,J27,IF($Q$5=54,J27,0))))))</f>
        <v>0</v>
      </c>
      <c r="P27" s="146">
        <f>IF($Q$5=49,L23,IF($Q$5=50,L25,IF($Q$5=51,L26,IF($Q$5=52,L26,IF($Q$5=53,K27,IF($Q$5=54,K27,0))))))</f>
        <v>0</v>
      </c>
      <c r="Q27" s="211">
        <f>IF($Q$5=54,L27,0)</f>
        <v>0</v>
      </c>
      <c r="R27" s="213">
        <f>IF($Q$5=43,0,IF($Q$5=44,0,IF($Q$5=45,0,IF($Q$5=46,0,IF($Q$5=47,0,IF($Q$5=48,0,IF($Q$5=49,O27,IF($Q$5=50,O27,IF($Q$5=51,O27,IF($Q$5=52,O10,IF($Q$5=53,O10,IF($Q$5=54,O10,0))))))))))))</f>
        <v>0</v>
      </c>
      <c r="S27" s="146">
        <f>IF($Q$5=43,0,IF($Q$5=44,0,IF($Q$5=45,0,IF($Q$5=46,0,IF($Q$5=47,0,IF($Q$5=48,0,IF($Q$5=49,P25,IF($Q$5=50,Q12,IF($Q$5=51,P26,IF($Q$5=52,P27,IF($Q$5=53,P11,IF($Q$5=54,P11,0))))))))))))</f>
        <v>0</v>
      </c>
      <c r="T27" s="214">
        <f>IF($Q$5=54,Q12,0)</f>
        <v>0</v>
      </c>
      <c r="U27" s="216">
        <f>IF($Q$5=43,0,IF($Q$5=44,0,IF($Q$5=45,0,IF($Q$5=46,0,IF($Q$5=47,0,IF($Q$5=48,0,IF($Q$5=49,R27,IF($Q$5=50,R27,IF($Q$5=51,R27,IF($Q$5=52,R10,IF($Q$5=53,R10,IF($Q$5=54,R10,0))))))))))))</f>
        <v>0</v>
      </c>
      <c r="V27" s="176">
        <f>IF($Q$5=43,0,IF($Q$5=44,0,IF($Q$5=45,0,IF($Q$5=46,0,IF($Q$5=47,0,IF($Q$5=48,0,IF($Q$5=49,S26,IF($Q$5=50,T12,IF($Q$5=51,T12,IF($Q$5=52,T12,IF($Q$5=53,S11,IF($Q$5=54,S11,0))))))))))))</f>
        <v>0</v>
      </c>
      <c r="W27" s="177">
        <f>IF($Q$5=43,0,IF($Q$5=44,0,IF($Q$5=45,0,IF($Q$5=46,0,IF($Q$5=47,0,IF($Q$5=48,0,IF($Q$5=49,0,IF($Q$5=50,0,IF($Q$5=51,0,IF($Q$5=52,0,IF($Q$5=53,0,IF($Q$5=54,T12,0))))))))))))</f>
        <v>0</v>
      </c>
      <c r="X27" s="23"/>
      <c r="Y27" s="446">
        <v>3</v>
      </c>
      <c r="Z27" s="12" t="str">
        <f>+O14</f>
        <v>A5</v>
      </c>
      <c r="AA27" s="33">
        <v>2</v>
      </c>
      <c r="AB27" s="48">
        <f>IF(AA27+AA31=0,0,IF(AA27=AA31,2,IF(AA27&gt;AA31,3,1)))</f>
        <v>1</v>
      </c>
      <c r="AC27" s="13">
        <f>AA27-AA31</f>
        <v>-7</v>
      </c>
      <c r="AD27" s="9"/>
      <c r="AE27" s="12" t="str">
        <f>+R14</f>
        <v>A6</v>
      </c>
      <c r="AF27" s="126">
        <v>9</v>
      </c>
      <c r="AG27" s="48">
        <f>IF(AF27+AF31=0,0,IF(AF27=AF31,2,IF(AF27&gt;AF31,3,1)))</f>
        <v>3</v>
      </c>
      <c r="AH27" s="13">
        <f>AF27-AF31</f>
        <v>8</v>
      </c>
      <c r="AI27" s="9"/>
      <c r="AJ27" s="12" t="str">
        <f>+U14</f>
        <v>A7</v>
      </c>
      <c r="AK27" s="36">
        <v>5</v>
      </c>
      <c r="AL27" s="48">
        <f>IF(AK27+AK31=0,0,IF(AK27=AK31,2,IF(AK27&gt;AK31,3,1)))</f>
        <v>1</v>
      </c>
      <c r="AM27" s="13">
        <f>AK27-AK31</f>
        <v>-1</v>
      </c>
      <c r="AN27" s="23"/>
      <c r="AO27" s="54">
        <v>19</v>
      </c>
      <c r="AP27" s="322" t="str">
        <f>+Inscrits!D3</f>
        <v>B1</v>
      </c>
      <c r="AQ27" s="286">
        <f t="shared" si="3"/>
        <v>3</v>
      </c>
      <c r="AR27" s="99">
        <f t="shared" si="4"/>
        <v>3</v>
      </c>
      <c r="AS27" s="219">
        <f t="shared" si="5"/>
        <v>9</v>
      </c>
      <c r="AT27" s="289">
        <f t="shared" si="6"/>
        <v>3</v>
      </c>
      <c r="AU27" s="99">
        <f t="shared" si="7"/>
        <v>11</v>
      </c>
      <c r="AV27" s="291">
        <f t="shared" si="8"/>
        <v>12</v>
      </c>
      <c r="AW27" s="286">
        <f t="shared" si="9"/>
        <v>3</v>
      </c>
      <c r="AX27" s="99">
        <f t="shared" si="10"/>
        <v>3</v>
      </c>
      <c r="AY27" s="291">
        <f t="shared" si="11"/>
        <v>8</v>
      </c>
      <c r="AZ27" s="286">
        <f t="shared" si="17"/>
        <v>9</v>
      </c>
      <c r="BA27" s="99">
        <f t="shared" si="12"/>
        <v>17</v>
      </c>
      <c r="BB27" s="291">
        <f t="shared" si="13"/>
        <v>29</v>
      </c>
      <c r="BC27" s="41">
        <f t="shared" si="14"/>
        <v>0</v>
      </c>
      <c r="BD27" s="57">
        <f t="shared" si="15"/>
        <v>17</v>
      </c>
      <c r="BE27" s="363">
        <f t="shared" si="16"/>
        <v>0.82710026999999997</v>
      </c>
      <c r="BF27" s="99">
        <f>IF(AP27="","",SMALL(BE$9:BE$62,ROWS(AZ$9:AZ27)))</f>
        <v>7.0080001200000002</v>
      </c>
      <c r="BG27" s="88"/>
      <c r="BH27" s="95" t="str">
        <f>IF(OR(AP27="",AZ27=""),"",INDEX($AP$9:$AP$63,MATCH(BF27,$BE$9:BE$62,0)))</f>
        <v>A4</v>
      </c>
      <c r="BI27" s="294">
        <f t="shared" si="0"/>
        <v>7</v>
      </c>
      <c r="BJ27" s="7">
        <f t="shared" si="1"/>
        <v>-1</v>
      </c>
      <c r="BK27" s="7">
        <f t="shared" si="2"/>
        <v>20</v>
      </c>
      <c r="BL27" s="280">
        <f>IF(BF27="","",IF(AND(BI26=BI27,BJ26=BJ27,BK26=BK27),BL26,$BL$9+18))</f>
        <v>19</v>
      </c>
      <c r="BM27" s="29"/>
      <c r="BN27" s="262"/>
    </row>
    <row r="28" spans="1:66" ht="16.5" thickBo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128"/>
      <c r="P28" s="23"/>
      <c r="Q28" s="23"/>
      <c r="R28" s="23"/>
      <c r="S28" s="23"/>
      <c r="T28" s="23"/>
      <c r="U28" s="29"/>
      <c r="V28" s="23"/>
      <c r="W28" s="23"/>
      <c r="X28" s="23"/>
      <c r="Y28" s="447"/>
      <c r="Z28" s="14" t="str">
        <f>+P14</f>
        <v>B5</v>
      </c>
      <c r="AA28" s="17">
        <f>IF(ISTEXT(Z28),AA27,0)</f>
        <v>2</v>
      </c>
      <c r="AB28" s="18">
        <f>IF(ISTEXT(Z28),AB27,0)</f>
        <v>1</v>
      </c>
      <c r="AC28" s="19">
        <f>IF(ISTEXT(Z28),AC27,0)</f>
        <v>-7</v>
      </c>
      <c r="AD28" s="9"/>
      <c r="AE28" s="14" t="str">
        <f>+S14</f>
        <v>B7</v>
      </c>
      <c r="AF28" s="17">
        <f>IF(ISTEXT(AE28),AF27,0)</f>
        <v>9</v>
      </c>
      <c r="AG28" s="59">
        <f>IF(ISTEXT(AE28),AG27,0)</f>
        <v>3</v>
      </c>
      <c r="AH28" s="19">
        <f>IF(ISTEXT(AE28),AH27,0)</f>
        <v>8</v>
      </c>
      <c r="AI28" s="9"/>
      <c r="AJ28" s="14" t="str">
        <f>+V14</f>
        <v>B9</v>
      </c>
      <c r="AK28" s="17">
        <f>IF(ISTEXT(AJ28),AK27,0)</f>
        <v>5</v>
      </c>
      <c r="AL28" s="59">
        <f>IF(ISTEXT(AJ28),AL27,0)</f>
        <v>1</v>
      </c>
      <c r="AM28" s="19">
        <f>IF(ISTEXT(AJ28),AM27,0)</f>
        <v>-1</v>
      </c>
      <c r="AN28" s="23"/>
      <c r="AO28" s="54">
        <v>20</v>
      </c>
      <c r="AP28" s="322" t="str">
        <f>+Inscrits!D4</f>
        <v>B2</v>
      </c>
      <c r="AQ28" s="286">
        <f t="shared" si="3"/>
        <v>1</v>
      </c>
      <c r="AR28" s="99">
        <f t="shared" si="4"/>
        <v>-3</v>
      </c>
      <c r="AS28" s="219">
        <f t="shared" si="5"/>
        <v>6</v>
      </c>
      <c r="AT28" s="289">
        <f t="shared" si="6"/>
        <v>1</v>
      </c>
      <c r="AU28" s="99">
        <f t="shared" si="7"/>
        <v>-11</v>
      </c>
      <c r="AV28" s="291">
        <f t="shared" si="8"/>
        <v>1</v>
      </c>
      <c r="AW28" s="286">
        <f t="shared" si="9"/>
        <v>1</v>
      </c>
      <c r="AX28" s="99">
        <f t="shared" si="10"/>
        <v>-3</v>
      </c>
      <c r="AY28" s="291">
        <f t="shared" si="11"/>
        <v>5</v>
      </c>
      <c r="AZ28" s="286">
        <f t="shared" si="17"/>
        <v>3</v>
      </c>
      <c r="BA28" s="99">
        <f t="shared" si="12"/>
        <v>-17</v>
      </c>
      <c r="BB28" s="291">
        <f t="shared" si="13"/>
        <v>12</v>
      </c>
      <c r="BC28" s="41">
        <f t="shared" si="14"/>
        <v>-17</v>
      </c>
      <c r="BD28" s="57">
        <f t="shared" si="15"/>
        <v>0</v>
      </c>
      <c r="BE28" s="363">
        <f t="shared" si="16"/>
        <v>39.168800280000006</v>
      </c>
      <c r="BF28" s="99">
        <f>IF(AP28="","",SMALL(BE$9:BE$62,ROWS(AZ$9:AZ28)))</f>
        <v>7.0081000900000001</v>
      </c>
      <c r="BG28" s="88"/>
      <c r="BH28" s="95" t="str">
        <f>IF(OR(AP28="",AZ28=""),"",INDEX($AP$9:$AP$63,MATCH(BF28,$BE$9:BE$62,0)))</f>
        <v>A1</v>
      </c>
      <c r="BI28" s="294">
        <f t="shared" si="0"/>
        <v>7</v>
      </c>
      <c r="BJ28" s="7">
        <f t="shared" si="1"/>
        <v>-1</v>
      </c>
      <c r="BK28" s="7">
        <f t="shared" si="2"/>
        <v>19</v>
      </c>
      <c r="BL28" s="280">
        <f>IF(BF28="","",IF(AND(BI27=BI28,BJ27=BJ28,BK27=BK28),BL27,$BL$9+19))</f>
        <v>20</v>
      </c>
      <c r="BM28" s="29"/>
      <c r="BN28" s="262"/>
    </row>
    <row r="29" spans="1:66" ht="15.7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P29" s="23"/>
      <c r="Q29" s="23"/>
      <c r="R29" s="23"/>
      <c r="S29" s="23"/>
      <c r="T29" s="23"/>
      <c r="U29" s="29"/>
      <c r="V29" s="23"/>
      <c r="W29" s="23"/>
      <c r="X29" s="23"/>
      <c r="Y29" s="447"/>
      <c r="Z29" s="14" t="str">
        <f>+Q14</f>
        <v>C5</v>
      </c>
      <c r="AA29" s="71">
        <f>IF(ISTEXT(Z29),AA27,0)</f>
        <v>2</v>
      </c>
      <c r="AB29" s="67">
        <f>IF(ISTEXT(Z29),AB27,0)</f>
        <v>1</v>
      </c>
      <c r="AC29" s="72">
        <f>IF(ISTEXT(Z29),AC27,0)</f>
        <v>-7</v>
      </c>
      <c r="AD29" s="9"/>
      <c r="AE29" s="14" t="str">
        <f>+T14</f>
        <v>C8</v>
      </c>
      <c r="AF29" s="71">
        <f>IF(ISTEXT(AE29),AF27,0)</f>
        <v>9</v>
      </c>
      <c r="AG29" s="64">
        <f>IF(ISTEXT(AE29),AG27,0)</f>
        <v>3</v>
      </c>
      <c r="AH29" s="72">
        <f>IF(ISTEXT(AE29),AH27,0)</f>
        <v>8</v>
      </c>
      <c r="AI29" s="9"/>
      <c r="AJ29" s="14" t="str">
        <f>+W14</f>
        <v>C11</v>
      </c>
      <c r="AK29" s="71">
        <f>IF(ISTEXT(AJ29),AK27,0)</f>
        <v>5</v>
      </c>
      <c r="AL29" s="64">
        <f>IF(ISTEXT(AJ29),AL27,0)</f>
        <v>1</v>
      </c>
      <c r="AM29" s="72">
        <f>IF(ISTEXT(AJ29),AM27,0)</f>
        <v>-1</v>
      </c>
      <c r="AN29" s="23"/>
      <c r="AO29" s="54">
        <v>21</v>
      </c>
      <c r="AP29" s="322" t="str">
        <f>+Inscrits!D5</f>
        <v>B3</v>
      </c>
      <c r="AQ29" s="286">
        <f t="shared" si="3"/>
        <v>1</v>
      </c>
      <c r="AR29" s="99">
        <f t="shared" si="4"/>
        <v>-5</v>
      </c>
      <c r="AS29" s="219">
        <f t="shared" si="5"/>
        <v>5</v>
      </c>
      <c r="AT29" s="289">
        <f t="shared" si="6"/>
        <v>1</v>
      </c>
      <c r="AU29" s="99">
        <f t="shared" si="7"/>
        <v>-5</v>
      </c>
      <c r="AV29" s="291">
        <f t="shared" si="8"/>
        <v>5</v>
      </c>
      <c r="AW29" s="286">
        <f t="shared" si="9"/>
        <v>3</v>
      </c>
      <c r="AX29" s="99">
        <f t="shared" si="10"/>
        <v>8</v>
      </c>
      <c r="AY29" s="291">
        <f t="shared" si="11"/>
        <v>9</v>
      </c>
      <c r="AZ29" s="286">
        <f t="shared" si="17"/>
        <v>5</v>
      </c>
      <c r="BA29" s="99">
        <f t="shared" si="12"/>
        <v>-2</v>
      </c>
      <c r="BB29" s="291">
        <f t="shared" si="13"/>
        <v>19</v>
      </c>
      <c r="BC29" s="41">
        <f t="shared" si="14"/>
        <v>-2</v>
      </c>
      <c r="BD29" s="57">
        <f t="shared" si="15"/>
        <v>0</v>
      </c>
      <c r="BE29" s="363">
        <f t="shared" si="16"/>
        <v>23.01810029</v>
      </c>
      <c r="BF29" s="99">
        <f>IF(AP29="","",SMALL(BE$9:BE$62,ROWS(AZ$9:AZ29)))</f>
        <v>7.0176005300000002</v>
      </c>
      <c r="BG29" s="88"/>
      <c r="BH29" s="95" t="str">
        <f>IF(OR(AP29="",AZ29=""),"",INDEX($AP$9:$AP$63,MATCH(BF29,$BE$9:BE$62,0)))</f>
        <v>C9</v>
      </c>
      <c r="BI29" s="294">
        <f t="shared" si="0"/>
        <v>7</v>
      </c>
      <c r="BJ29" s="7">
        <f t="shared" si="1"/>
        <v>-2</v>
      </c>
      <c r="BK29" s="7">
        <f t="shared" si="2"/>
        <v>24</v>
      </c>
      <c r="BL29" s="280">
        <f>IF(BF29="","",IF(AND(BI28=BI29,BJ28=BJ29,BK28=BK29),BL28,$BL$9+20))</f>
        <v>21</v>
      </c>
      <c r="BM29" s="29"/>
      <c r="BN29" s="262"/>
    </row>
    <row r="30" spans="1:66" ht="15.7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P30" s="23"/>
      <c r="Q30" s="23"/>
      <c r="R30" s="23"/>
      <c r="S30" s="23"/>
      <c r="T30" s="23"/>
      <c r="U30" s="29"/>
      <c r="V30" s="23"/>
      <c r="W30" s="23"/>
      <c r="X30" s="23"/>
      <c r="Y30" s="447"/>
      <c r="Z30" s="32"/>
      <c r="AA30" s="21" t="s">
        <v>5</v>
      </c>
      <c r="AB30" s="21"/>
      <c r="AC30" s="22"/>
      <c r="AD30" s="1"/>
      <c r="AE30" s="32"/>
      <c r="AF30" s="21" t="s">
        <v>5</v>
      </c>
      <c r="AG30" s="21"/>
      <c r="AH30" s="22"/>
      <c r="AI30" s="1"/>
      <c r="AJ30" s="32"/>
      <c r="AK30" s="21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3</v>
      </c>
      <c r="AR30" s="99">
        <f t="shared" si="4"/>
        <v>5</v>
      </c>
      <c r="AS30" s="219">
        <f t="shared" si="5"/>
        <v>10</v>
      </c>
      <c r="AT30" s="289">
        <f t="shared" si="6"/>
        <v>3</v>
      </c>
      <c r="AU30" s="99">
        <f t="shared" si="7"/>
        <v>5</v>
      </c>
      <c r="AV30" s="291">
        <f t="shared" si="8"/>
        <v>10</v>
      </c>
      <c r="AW30" s="286">
        <f t="shared" si="9"/>
        <v>1</v>
      </c>
      <c r="AX30" s="99">
        <f t="shared" si="10"/>
        <v>-8</v>
      </c>
      <c r="AY30" s="291">
        <f t="shared" si="11"/>
        <v>1</v>
      </c>
      <c r="AZ30" s="286">
        <f t="shared" si="17"/>
        <v>7</v>
      </c>
      <c r="BA30" s="99">
        <f t="shared" si="12"/>
        <v>2</v>
      </c>
      <c r="BB30" s="291">
        <f t="shared" si="13"/>
        <v>21</v>
      </c>
      <c r="BC30" s="41">
        <f t="shared" si="14"/>
        <v>0</v>
      </c>
      <c r="BD30" s="57">
        <f t="shared" si="15"/>
        <v>2</v>
      </c>
      <c r="BE30" s="363">
        <f t="shared" si="16"/>
        <v>6.9779002999999999</v>
      </c>
      <c r="BF30" s="99">
        <f>IF(AP30="","",SMALL(BE$9:BE$62,ROWS(AZ$9:AZ30)))</f>
        <v>7.03810045</v>
      </c>
      <c r="BG30" s="88"/>
      <c r="BH30" s="95" t="str">
        <f>IF(OR(AP30="",AZ30=""),"",INDEX($AP$9:$AP$63,MATCH(BF30,$BE$9:BE$62,0)))</f>
        <v>C1</v>
      </c>
      <c r="BI30" s="294">
        <f t="shared" si="0"/>
        <v>7</v>
      </c>
      <c r="BJ30" s="7">
        <f t="shared" si="1"/>
        <v>-4</v>
      </c>
      <c r="BK30" s="7">
        <f t="shared" si="2"/>
        <v>19</v>
      </c>
      <c r="BL30" s="280">
        <f>IF(BF30="","",IF(AND(BI29=BI30,BJ29=BJ30,BK29=BK30),BL29,$BL$9+21))</f>
        <v>22</v>
      </c>
      <c r="BM30" s="29"/>
      <c r="BN30" s="262"/>
    </row>
    <row r="31" spans="1:66" ht="15.7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P31" s="23"/>
      <c r="Q31" s="23"/>
      <c r="R31" s="23"/>
      <c r="S31" s="23"/>
      <c r="T31" s="23"/>
      <c r="U31" s="23"/>
      <c r="V31" s="23"/>
      <c r="W31" s="23"/>
      <c r="X31" s="23"/>
      <c r="Y31" s="447"/>
      <c r="Z31" s="14" t="str">
        <f>+O15</f>
        <v>A6</v>
      </c>
      <c r="AA31" s="35">
        <v>9</v>
      </c>
      <c r="AB31" s="30">
        <f>IF(AA27+AA31=0,0,IF(AA27=AA31,2,IF(AA27&lt;AA31,3,1)))</f>
        <v>3</v>
      </c>
      <c r="AC31" s="15">
        <f>AA31-AA27</f>
        <v>7</v>
      </c>
      <c r="AD31" s="9"/>
      <c r="AE31" s="14" t="str">
        <f>+R15</f>
        <v>A7</v>
      </c>
      <c r="AF31" s="127">
        <v>1</v>
      </c>
      <c r="AG31" s="30">
        <f>IF(AF27+AF31=0,0,IF(AF27=AF31,2,IF(AF27&lt;AF31,3,1)))</f>
        <v>1</v>
      </c>
      <c r="AH31" s="15">
        <f>AF31-AF27</f>
        <v>-8</v>
      </c>
      <c r="AI31" s="9"/>
      <c r="AJ31" s="14" t="str">
        <f>+U15</f>
        <v>A8</v>
      </c>
      <c r="AK31" s="37">
        <v>6</v>
      </c>
      <c r="AL31" s="30">
        <f>IF(AK27+AK31=0,0,IF(AK27=AK31,2,IF(AK27&lt;AK31,3,1)))</f>
        <v>3</v>
      </c>
      <c r="AM31" s="15">
        <f>AK31-AK27</f>
        <v>1</v>
      </c>
      <c r="AN31" s="23"/>
      <c r="AO31" s="54">
        <v>23</v>
      </c>
      <c r="AP31" s="322" t="str">
        <f>+Inscrits!D7</f>
        <v>B5</v>
      </c>
      <c r="AQ31" s="286">
        <f t="shared" si="3"/>
        <v>1</v>
      </c>
      <c r="AR31" s="99">
        <f t="shared" si="4"/>
        <v>-7</v>
      </c>
      <c r="AS31" s="219">
        <f t="shared" si="5"/>
        <v>2</v>
      </c>
      <c r="AT31" s="289">
        <f t="shared" si="6"/>
        <v>1</v>
      </c>
      <c r="AU31" s="99">
        <f t="shared" si="7"/>
        <v>-7</v>
      </c>
      <c r="AV31" s="291">
        <f t="shared" si="8"/>
        <v>5</v>
      </c>
      <c r="AW31" s="286">
        <f t="shared" si="9"/>
        <v>1</v>
      </c>
      <c r="AX31" s="99">
        <f t="shared" si="10"/>
        <v>-1</v>
      </c>
      <c r="AY31" s="291">
        <f t="shared" si="11"/>
        <v>4</v>
      </c>
      <c r="AZ31" s="286">
        <f t="shared" si="17"/>
        <v>3</v>
      </c>
      <c r="BA31" s="99">
        <f t="shared" si="12"/>
        <v>-15</v>
      </c>
      <c r="BB31" s="291">
        <f t="shared" si="13"/>
        <v>11</v>
      </c>
      <c r="BC31" s="41">
        <f t="shared" si="14"/>
        <v>-15</v>
      </c>
      <c r="BD31" s="57">
        <f t="shared" si="15"/>
        <v>0</v>
      </c>
      <c r="BE31" s="363">
        <f t="shared" si="16"/>
        <v>39.148900309999995</v>
      </c>
      <c r="BF31" s="99">
        <f>IF(AP31="","",SMALL(BE$9:BE$62,ROWS(AZ$9:AZ31)))</f>
        <v>22.967000539999997</v>
      </c>
      <c r="BG31" s="88"/>
      <c r="BH31" s="95" t="str">
        <f>IF(OR(AP31="",AZ31=""),"",INDEX($AP$9:$AP$63,MATCH(BF31,$BE$9:BE$62,0)))</f>
        <v>C10</v>
      </c>
      <c r="BI31" s="294">
        <f t="shared" si="0"/>
        <v>5</v>
      </c>
      <c r="BJ31" s="7">
        <f t="shared" si="1"/>
        <v>3</v>
      </c>
      <c r="BK31" s="7">
        <f t="shared" si="2"/>
        <v>30</v>
      </c>
      <c r="BL31" s="280">
        <f>IF(BF31="","",IF(AND(BI30=BI31,BJ30=BJ31,BK30=BK31),BL30,$BL$9+22))</f>
        <v>23</v>
      </c>
      <c r="BM31" s="29"/>
      <c r="BN31" s="262"/>
    </row>
    <row r="32" spans="1:66" ht="16.5" thickBo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P32" s="23"/>
      <c r="Q32" s="23"/>
      <c r="R32" s="23"/>
      <c r="S32" s="23"/>
      <c r="T32" s="23"/>
      <c r="U32" s="23"/>
      <c r="V32" s="23"/>
      <c r="W32" s="23"/>
      <c r="X32" s="23"/>
      <c r="Y32" s="447"/>
      <c r="Z32" s="14" t="str">
        <f>+P15</f>
        <v>B6</v>
      </c>
      <c r="AA32" s="17">
        <f>IF(ISTEXT(Z32),AA31,0)</f>
        <v>9</v>
      </c>
      <c r="AB32" s="18">
        <f>IF(ISTEXT(Z32),AB31,0)</f>
        <v>3</v>
      </c>
      <c r="AC32" s="19">
        <f>IF(ISTEXT(Z32),AC31,0)</f>
        <v>7</v>
      </c>
      <c r="AD32" s="9"/>
      <c r="AE32" s="14" t="str">
        <f>+S15</f>
        <v>B8</v>
      </c>
      <c r="AF32" s="17">
        <f>IF(ISTEXT(AE32),AF31,0)</f>
        <v>1</v>
      </c>
      <c r="AG32" s="18">
        <f>IF(ISTEXT(AE32),AG31,0)</f>
        <v>1</v>
      </c>
      <c r="AH32" s="19">
        <f>IF(ISTEXT(AE32),AH31,0)</f>
        <v>-8</v>
      </c>
      <c r="AI32" s="9"/>
      <c r="AJ32" s="14" t="str">
        <f>+V15</f>
        <v>B10</v>
      </c>
      <c r="AK32" s="17">
        <f>IF(ISTEXT(AJ32),AK31,0)</f>
        <v>6</v>
      </c>
      <c r="AL32" s="18">
        <f>IF(ISTEXT(AJ32),AL31,0)</f>
        <v>3</v>
      </c>
      <c r="AM32" s="19">
        <f>IF(ISTEXT(AJ32),AM31,0)</f>
        <v>1</v>
      </c>
      <c r="AN32" s="23"/>
      <c r="AO32" s="54">
        <v>24</v>
      </c>
      <c r="AP32" s="322" t="str">
        <f>+Inscrits!D8</f>
        <v>B6</v>
      </c>
      <c r="AQ32" s="286">
        <f t="shared" si="3"/>
        <v>3</v>
      </c>
      <c r="AR32" s="99">
        <f t="shared" si="4"/>
        <v>7</v>
      </c>
      <c r="AS32" s="219">
        <f t="shared" si="5"/>
        <v>9</v>
      </c>
      <c r="AT32" s="289">
        <f t="shared" si="6"/>
        <v>3</v>
      </c>
      <c r="AU32" s="99">
        <f t="shared" si="7"/>
        <v>7</v>
      </c>
      <c r="AV32" s="291">
        <f t="shared" si="8"/>
        <v>12</v>
      </c>
      <c r="AW32" s="286">
        <f t="shared" si="9"/>
        <v>3</v>
      </c>
      <c r="AX32" s="99">
        <f t="shared" si="10"/>
        <v>1</v>
      </c>
      <c r="AY32" s="291">
        <f t="shared" si="11"/>
        <v>5</v>
      </c>
      <c r="AZ32" s="286">
        <f t="shared" si="17"/>
        <v>9</v>
      </c>
      <c r="BA32" s="99">
        <f t="shared" si="12"/>
        <v>15</v>
      </c>
      <c r="BB32" s="291">
        <f t="shared" si="13"/>
        <v>26</v>
      </c>
      <c r="BC32" s="41">
        <f t="shared" si="14"/>
        <v>0</v>
      </c>
      <c r="BD32" s="57">
        <f t="shared" si="15"/>
        <v>15</v>
      </c>
      <c r="BE32" s="363">
        <f t="shared" si="16"/>
        <v>0.84740031999999998</v>
      </c>
      <c r="BF32" s="99">
        <f>IF(AP32="","",SMALL(BE$9:BE$62,ROWS(AZ$9:AZ32)))</f>
        <v>22.967600099999999</v>
      </c>
      <c r="BG32" s="88"/>
      <c r="BH32" s="95" t="str">
        <f>IF(OR(AP32="",AZ32=""),"",INDEX($AP$9:$AP$63,MATCH(BF32,$BE$9:BE$62,0)))</f>
        <v>A2</v>
      </c>
      <c r="BI32" s="294">
        <f t="shared" si="0"/>
        <v>5</v>
      </c>
      <c r="BJ32" s="7">
        <f t="shared" si="1"/>
        <v>3</v>
      </c>
      <c r="BK32" s="7">
        <f t="shared" si="2"/>
        <v>24</v>
      </c>
      <c r="BL32" s="280">
        <f>IF(BF32="","",IF(AND(BI31=BI32,BJ31=BJ32,BK31=BK32),BL31,$BL$9+23))</f>
        <v>24</v>
      </c>
      <c r="BM32" s="29"/>
      <c r="BN32" s="262"/>
    </row>
    <row r="33" spans="1:66" ht="16.5" thickBo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P33" s="23"/>
      <c r="Q33" s="23"/>
      <c r="R33" s="23"/>
      <c r="S33" s="23"/>
      <c r="T33" s="23"/>
      <c r="U33" s="23"/>
      <c r="V33" s="23"/>
      <c r="W33" s="23"/>
      <c r="X33" s="23"/>
      <c r="Y33" s="448"/>
      <c r="Z33" s="16" t="str">
        <f>+Q15</f>
        <v>C6</v>
      </c>
      <c r="AA33" s="17">
        <f>IF(ISTEXT(Z33),AA31,0)</f>
        <v>9</v>
      </c>
      <c r="AB33" s="18">
        <f>IF(ISTEXT(Z33),AB31,0)</f>
        <v>3</v>
      </c>
      <c r="AC33" s="19">
        <f>IF(ISTEXT(Z33),AC31,0)</f>
        <v>7</v>
      </c>
      <c r="AD33" s="9"/>
      <c r="AE33" s="16" t="str">
        <f>+T15</f>
        <v>C9</v>
      </c>
      <c r="AF33" s="17">
        <f>IF(ISTEXT(AE33),AF31,0)</f>
        <v>1</v>
      </c>
      <c r="AG33" s="18">
        <f>IF(ISTEXT(AE33),AG31,0)</f>
        <v>1</v>
      </c>
      <c r="AH33" s="19">
        <f>IF(ISTEXT(AE33),AH31,0)</f>
        <v>-8</v>
      </c>
      <c r="AI33" s="9"/>
      <c r="AJ33" s="16" t="str">
        <f>+W15</f>
        <v>C12</v>
      </c>
      <c r="AK33" s="17">
        <f>IF(ISTEXT(AJ33),AK31,0)</f>
        <v>6</v>
      </c>
      <c r="AL33" s="18">
        <f>IF(ISTEXT(AJ33),AL31,0)</f>
        <v>3</v>
      </c>
      <c r="AM33" s="19">
        <f>IF(ISTEXT(AJ33),AM31,0)</f>
        <v>1</v>
      </c>
      <c r="AN33" s="23"/>
      <c r="AO33" s="54">
        <v>25</v>
      </c>
      <c r="AP33" s="322" t="str">
        <f>+Inscrits!D9</f>
        <v>B7</v>
      </c>
      <c r="AQ33" s="286">
        <f t="shared" si="3"/>
        <v>1</v>
      </c>
      <c r="AR33" s="99">
        <f t="shared" si="4"/>
        <v>-11</v>
      </c>
      <c r="AS33" s="219">
        <f t="shared" si="5"/>
        <v>1</v>
      </c>
      <c r="AT33" s="289">
        <f t="shared" si="6"/>
        <v>3</v>
      </c>
      <c r="AU33" s="99">
        <f t="shared" si="7"/>
        <v>8</v>
      </c>
      <c r="AV33" s="291">
        <f t="shared" si="8"/>
        <v>9</v>
      </c>
      <c r="AW33" s="286">
        <f t="shared" si="9"/>
        <v>3</v>
      </c>
      <c r="AX33" s="99">
        <f t="shared" si="10"/>
        <v>4</v>
      </c>
      <c r="AY33" s="291">
        <f t="shared" si="11"/>
        <v>13</v>
      </c>
      <c r="AZ33" s="286">
        <f t="shared" si="17"/>
        <v>7</v>
      </c>
      <c r="BA33" s="99">
        <f t="shared" si="12"/>
        <v>1</v>
      </c>
      <c r="BB33" s="291">
        <f t="shared" si="13"/>
        <v>23</v>
      </c>
      <c r="BC33" s="41">
        <f t="shared" si="14"/>
        <v>0</v>
      </c>
      <c r="BD33" s="57">
        <f t="shared" si="15"/>
        <v>1</v>
      </c>
      <c r="BE33" s="363">
        <f t="shared" si="16"/>
        <v>6.98770033</v>
      </c>
      <c r="BF33" s="99">
        <f>IF(AP33="","",SMALL(BE$9:BE$62,ROWS(AZ$9:AZ33)))</f>
        <v>22.977700179999999</v>
      </c>
      <c r="BG33" s="88"/>
      <c r="BH33" s="95" t="str">
        <f>IF(OR(AP33="",AZ33=""),"",INDEX($AP$9:$AP$63,MATCH(BF33,$BE$9:BE$62,0)))</f>
        <v>A10</v>
      </c>
      <c r="BI33" s="294">
        <f t="shared" si="0"/>
        <v>5</v>
      </c>
      <c r="BJ33" s="7">
        <f t="shared" si="1"/>
        <v>2</v>
      </c>
      <c r="BK33" s="7">
        <f t="shared" si="2"/>
        <v>23</v>
      </c>
      <c r="BL33" s="280">
        <f>IF(BF33="","",IF(AND(BI32=BI33,BJ32=BJ33,BK32=BK33),BL32,$BL$9+24))</f>
        <v>25</v>
      </c>
      <c r="BM33" s="29"/>
      <c r="BN33" s="262"/>
    </row>
    <row r="34" spans="1:66" ht="16.5" thickBo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P34" s="23"/>
      <c r="Q34" s="23"/>
      <c r="R34" s="23"/>
      <c r="S34" s="23"/>
      <c r="T34" s="23"/>
      <c r="U34" s="192"/>
      <c r="V34" s="23"/>
      <c r="W34" s="23"/>
      <c r="X34" s="23"/>
      <c r="Y34" s="128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23"/>
      <c r="AO34" s="54">
        <v>26</v>
      </c>
      <c r="AP34" s="322" t="str">
        <f>+Inscrits!D10</f>
        <v>B8</v>
      </c>
      <c r="AQ34" s="286">
        <f t="shared" si="3"/>
        <v>3</v>
      </c>
      <c r="AR34" s="99">
        <f t="shared" si="4"/>
        <v>11</v>
      </c>
      <c r="AS34" s="219">
        <f t="shared" si="5"/>
        <v>12</v>
      </c>
      <c r="AT34" s="289">
        <f t="shared" si="6"/>
        <v>1</v>
      </c>
      <c r="AU34" s="99">
        <f t="shared" si="7"/>
        <v>-8</v>
      </c>
      <c r="AV34" s="291">
        <f t="shared" si="8"/>
        <v>1</v>
      </c>
      <c r="AW34" s="286">
        <f t="shared" si="9"/>
        <v>1</v>
      </c>
      <c r="AX34" s="99">
        <f t="shared" si="10"/>
        <v>-4</v>
      </c>
      <c r="AY34" s="291">
        <f t="shared" si="11"/>
        <v>9</v>
      </c>
      <c r="AZ34" s="286">
        <f t="shared" si="17"/>
        <v>5</v>
      </c>
      <c r="BA34" s="99">
        <f t="shared" si="12"/>
        <v>-1</v>
      </c>
      <c r="BB34" s="291">
        <f t="shared" si="13"/>
        <v>22</v>
      </c>
      <c r="BC34" s="41">
        <f t="shared" si="14"/>
        <v>-1</v>
      </c>
      <c r="BD34" s="57">
        <f t="shared" si="15"/>
        <v>0</v>
      </c>
      <c r="BE34" s="363">
        <f t="shared" si="16"/>
        <v>23.007800340000003</v>
      </c>
      <c r="BF34" s="99">
        <f>IF(AP34="","",SMALL(BE$9:BE$62,ROWS(AZ$9:AZ34)))</f>
        <v>23.007800340000003</v>
      </c>
      <c r="BG34" s="88"/>
      <c r="BH34" s="95" t="str">
        <f>IF(OR(AP34="",AZ34=""),"",INDEX($AP$9:$AP$63,MATCH(BF34,$BE$9:BE$62,0)))</f>
        <v>B8</v>
      </c>
      <c r="BI34" s="294">
        <f t="shared" si="0"/>
        <v>5</v>
      </c>
      <c r="BJ34" s="7">
        <f t="shared" si="1"/>
        <v>-1</v>
      </c>
      <c r="BK34" s="7">
        <f t="shared" si="2"/>
        <v>22</v>
      </c>
      <c r="BL34" s="280">
        <f>IF(BF34="","",IF(AND(BI33=BI34,BJ33=BJ34,BK33=BK34),BL33,$BL$9+25))</f>
        <v>26</v>
      </c>
      <c r="BM34" s="29"/>
      <c r="BN34" s="262"/>
    </row>
    <row r="35" spans="1:66" ht="15.7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P35" s="23"/>
      <c r="Q35" s="23"/>
      <c r="R35" s="23"/>
      <c r="S35" s="23"/>
      <c r="T35" s="23"/>
      <c r="U35" s="23"/>
      <c r="V35" s="23"/>
      <c r="W35" s="23"/>
      <c r="X35" s="23"/>
      <c r="Y35" s="446">
        <v>4</v>
      </c>
      <c r="Z35" s="12" t="str">
        <f>+O16</f>
        <v>A7</v>
      </c>
      <c r="AA35" s="33">
        <v>1</v>
      </c>
      <c r="AB35" s="48">
        <f>IF(AA35+AA39=0,0,IF(AA35=AA39,2,IF(AA35&gt;AA39,3,1)))</f>
        <v>1</v>
      </c>
      <c r="AC35" s="13">
        <f>AA35-AA39</f>
        <v>-11</v>
      </c>
      <c r="AD35" s="9"/>
      <c r="AE35" s="12" t="str">
        <f>+R16</f>
        <v>A8</v>
      </c>
      <c r="AF35" s="126">
        <v>13</v>
      </c>
      <c r="AG35" s="48">
        <f>IF(AF35+AF39=0,0,IF(AF35=AF39,2,IF(AF35&gt;AF39,3,1)))</f>
        <v>3</v>
      </c>
      <c r="AH35" s="13">
        <f>AF35-AF39</f>
        <v>9</v>
      </c>
      <c r="AI35" s="9"/>
      <c r="AJ35" s="12" t="str">
        <f>+U16</f>
        <v>A9</v>
      </c>
      <c r="AK35" s="36">
        <v>1</v>
      </c>
      <c r="AL35" s="48">
        <f>IF(AK35+AK39=0,0,IF(AK35=AK39,2,IF(AK35&gt;AK39,3,1)))</f>
        <v>1</v>
      </c>
      <c r="AM35" s="13">
        <f>AK35-AK39</f>
        <v>-8</v>
      </c>
      <c r="AN35" s="23"/>
      <c r="AO35" s="54">
        <v>27</v>
      </c>
      <c r="AP35" s="322" t="str">
        <f>+Inscrits!D11</f>
        <v>B9</v>
      </c>
      <c r="AQ35" s="286">
        <f t="shared" si="3"/>
        <v>3</v>
      </c>
      <c r="AR35" s="99">
        <f t="shared" si="4"/>
        <v>2</v>
      </c>
      <c r="AS35" s="219">
        <f t="shared" si="5"/>
        <v>10</v>
      </c>
      <c r="AT35" s="289">
        <f t="shared" si="6"/>
        <v>3</v>
      </c>
      <c r="AU35" s="99">
        <f t="shared" si="7"/>
        <v>9</v>
      </c>
      <c r="AV35" s="291">
        <f t="shared" si="8"/>
        <v>13</v>
      </c>
      <c r="AW35" s="286">
        <f t="shared" si="9"/>
        <v>1</v>
      </c>
      <c r="AX35" s="99">
        <f t="shared" si="10"/>
        <v>-1</v>
      </c>
      <c r="AY35" s="291">
        <f t="shared" si="11"/>
        <v>5</v>
      </c>
      <c r="AZ35" s="286">
        <f t="shared" si="17"/>
        <v>7</v>
      </c>
      <c r="BA35" s="99">
        <f t="shared" si="12"/>
        <v>10</v>
      </c>
      <c r="BB35" s="291">
        <f t="shared" si="13"/>
        <v>28</v>
      </c>
      <c r="BC35" s="41">
        <f t="shared" si="14"/>
        <v>0</v>
      </c>
      <c r="BD35" s="57">
        <f t="shared" si="15"/>
        <v>10</v>
      </c>
      <c r="BE35" s="363">
        <f t="shared" si="16"/>
        <v>6.8972003500000003</v>
      </c>
      <c r="BF35" s="99">
        <f>IF(AP35="","",SMALL(BE$9:BE$62,ROWS(AZ$9:AZ35)))</f>
        <v>23.008100110000001</v>
      </c>
      <c r="BG35" s="88"/>
      <c r="BH35" s="95" t="str">
        <f>IF(OR(AP35="",AZ35=""),"",INDEX($AP$9:$AP$63,MATCH(BF35,$BE$9:BE$62,0)))</f>
        <v>A3</v>
      </c>
      <c r="BI35" s="294">
        <f t="shared" si="0"/>
        <v>5</v>
      </c>
      <c r="BJ35" s="7">
        <f t="shared" si="1"/>
        <v>-1</v>
      </c>
      <c r="BK35" s="7">
        <f t="shared" si="2"/>
        <v>19</v>
      </c>
      <c r="BL35" s="280">
        <f>IF(BF35="","",IF(AND(BI34=BI35,BJ34=BJ35,BK34=BK35),BL34,$BL$9+26))</f>
        <v>27</v>
      </c>
      <c r="BM35" s="29"/>
      <c r="BN35" s="262"/>
    </row>
    <row r="36" spans="1:66" ht="16.5" thickBo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P36" s="23"/>
      <c r="Q36" s="23"/>
      <c r="R36" s="23"/>
      <c r="S36" s="23"/>
      <c r="T36" s="23"/>
      <c r="U36" s="23"/>
      <c r="V36" s="23"/>
      <c r="W36" s="23"/>
      <c r="X36" s="23"/>
      <c r="Y36" s="447"/>
      <c r="Z36" s="14" t="str">
        <f>+P16</f>
        <v>B7</v>
      </c>
      <c r="AA36" s="17">
        <f>IF(ISTEXT(Z36),AA35,0)</f>
        <v>1</v>
      </c>
      <c r="AB36" s="18">
        <f>IF(ISTEXT(Z36),AB35,0)</f>
        <v>1</v>
      </c>
      <c r="AC36" s="19">
        <f>IF(ISTEXT(Z36),AC35,0)</f>
        <v>-11</v>
      </c>
      <c r="AD36" s="9"/>
      <c r="AE36" s="14" t="str">
        <f>+S16</f>
        <v>B9</v>
      </c>
      <c r="AF36" s="17">
        <f>IF(ISTEXT(AE36),AF35,0)</f>
        <v>13</v>
      </c>
      <c r="AG36" s="59">
        <f>IF(ISTEXT(AE36),AG35,0)</f>
        <v>3</v>
      </c>
      <c r="AH36" s="19">
        <f>IF(ISTEXT(AE36),AH35,0)</f>
        <v>9</v>
      </c>
      <c r="AI36" s="9"/>
      <c r="AJ36" s="14" t="str">
        <f>+V16</f>
        <v>B11</v>
      </c>
      <c r="AK36" s="17">
        <f>IF(ISTEXT(AJ36),AK35,0)</f>
        <v>1</v>
      </c>
      <c r="AL36" s="59">
        <f>IF(ISTEXT(AJ36),AL35,0)</f>
        <v>1</v>
      </c>
      <c r="AM36" s="19">
        <f>IF(ISTEXT(AJ36),AM35,0)</f>
        <v>-8</v>
      </c>
      <c r="AN36" s="23"/>
      <c r="AO36" s="54">
        <v>28</v>
      </c>
      <c r="AP36" s="322" t="str">
        <f>+Inscrits!D12</f>
        <v>B10</v>
      </c>
      <c r="AQ36" s="286">
        <f t="shared" si="3"/>
        <v>1</v>
      </c>
      <c r="AR36" s="99">
        <f t="shared" si="4"/>
        <v>-2</v>
      </c>
      <c r="AS36" s="219">
        <f t="shared" si="5"/>
        <v>8</v>
      </c>
      <c r="AT36" s="289">
        <f t="shared" si="6"/>
        <v>1</v>
      </c>
      <c r="AU36" s="99">
        <f t="shared" si="7"/>
        <v>-9</v>
      </c>
      <c r="AV36" s="291">
        <f t="shared" si="8"/>
        <v>4</v>
      </c>
      <c r="AW36" s="286">
        <f t="shared" si="9"/>
        <v>3</v>
      </c>
      <c r="AX36" s="99">
        <f t="shared" si="10"/>
        <v>1</v>
      </c>
      <c r="AY36" s="291">
        <f t="shared" si="11"/>
        <v>6</v>
      </c>
      <c r="AZ36" s="286">
        <f t="shared" si="17"/>
        <v>5</v>
      </c>
      <c r="BA36" s="99">
        <f t="shared" si="12"/>
        <v>-10</v>
      </c>
      <c r="BB36" s="291">
        <f t="shared" si="13"/>
        <v>18</v>
      </c>
      <c r="BC36" s="41">
        <f t="shared" si="14"/>
        <v>-10</v>
      </c>
      <c r="BD36" s="57">
        <f t="shared" si="15"/>
        <v>0</v>
      </c>
      <c r="BE36" s="363">
        <f t="shared" si="16"/>
        <v>23.098200360000003</v>
      </c>
      <c r="BF36" s="99">
        <f>IF(AP36="","",SMALL(BE$9:BE$62,ROWS(AZ$9:AZ36)))</f>
        <v>23.01810029</v>
      </c>
      <c r="BG36" s="88"/>
      <c r="BH36" s="95" t="str">
        <f>IF(OR(AP36="",AZ36=""),"",INDEX($AP$9:$AP$63,MATCH(BF36,$BE$9:BE$62,0)))</f>
        <v>B3</v>
      </c>
      <c r="BI36" s="294">
        <f t="shared" si="0"/>
        <v>5</v>
      </c>
      <c r="BJ36" s="7">
        <f t="shared" si="1"/>
        <v>-2</v>
      </c>
      <c r="BK36" s="7">
        <f t="shared" si="2"/>
        <v>19</v>
      </c>
      <c r="BL36" s="280">
        <f>IF(BF36="","",IF(AND(BI35=BI36,BJ35=BJ36,BK35=BK36),BL35,$BL$9+27))</f>
        <v>28</v>
      </c>
      <c r="BM36" s="29"/>
      <c r="BN36" s="262"/>
    </row>
    <row r="37" spans="1:66" ht="15.7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P37" s="23"/>
      <c r="Q37" s="23"/>
      <c r="R37" s="23"/>
      <c r="S37" s="23"/>
      <c r="T37" s="23"/>
      <c r="U37" s="23"/>
      <c r="V37" s="23"/>
      <c r="W37" s="23"/>
      <c r="X37" s="23"/>
      <c r="Y37" s="447"/>
      <c r="Z37" s="14" t="str">
        <f>+Q16</f>
        <v>C7</v>
      </c>
      <c r="AA37" s="71">
        <f>IF(ISTEXT(Z37),AA35,0)</f>
        <v>1</v>
      </c>
      <c r="AB37" s="67">
        <f>IF(ISTEXT(Z37),AB35,0)</f>
        <v>1</v>
      </c>
      <c r="AC37" s="72">
        <f>IF(ISTEXT(Z37),AC35,0)</f>
        <v>-11</v>
      </c>
      <c r="AD37" s="9"/>
      <c r="AE37" s="14" t="str">
        <f>+T16</f>
        <v>C10</v>
      </c>
      <c r="AF37" s="71">
        <f>IF(ISTEXT(AE37),AF35,0)</f>
        <v>13</v>
      </c>
      <c r="AG37" s="64">
        <f>IF(ISTEXT(AE37),AG35,0)</f>
        <v>3</v>
      </c>
      <c r="AH37" s="72">
        <f>IF(ISTEXT(AE37),AH35,0)</f>
        <v>9</v>
      </c>
      <c r="AI37" s="9"/>
      <c r="AJ37" s="14" t="str">
        <f>+W16</f>
        <v>C13</v>
      </c>
      <c r="AK37" s="71">
        <f>IF(ISTEXT(AJ37),AK35,0)</f>
        <v>1</v>
      </c>
      <c r="AL37" s="64">
        <f>IF(ISTEXT(AJ37),AL35,0)</f>
        <v>1</v>
      </c>
      <c r="AM37" s="72">
        <f>IF(ISTEXT(AJ37),AM35,0)</f>
        <v>-8</v>
      </c>
      <c r="AN37" s="23"/>
      <c r="AO37" s="54">
        <v>29</v>
      </c>
      <c r="AP37" s="322" t="str">
        <f>+Inscrits!D13</f>
        <v>B11</v>
      </c>
      <c r="AQ37" s="286">
        <f t="shared" si="3"/>
        <v>1</v>
      </c>
      <c r="AR37" s="99">
        <f t="shared" si="4"/>
        <v>-9</v>
      </c>
      <c r="AS37" s="219">
        <f t="shared" si="5"/>
        <v>1</v>
      </c>
      <c r="AT37" s="289">
        <f t="shared" si="6"/>
        <v>1</v>
      </c>
      <c r="AU37" s="99">
        <f t="shared" si="7"/>
        <v>-4</v>
      </c>
      <c r="AV37" s="291">
        <f t="shared" si="8"/>
        <v>6</v>
      </c>
      <c r="AW37" s="286">
        <f t="shared" si="9"/>
        <v>1</v>
      </c>
      <c r="AX37" s="99">
        <f t="shared" si="10"/>
        <v>-8</v>
      </c>
      <c r="AY37" s="291">
        <f t="shared" si="11"/>
        <v>1</v>
      </c>
      <c r="AZ37" s="286">
        <f t="shared" si="17"/>
        <v>3</v>
      </c>
      <c r="BA37" s="99">
        <f t="shared" si="12"/>
        <v>-21</v>
      </c>
      <c r="BB37" s="291">
        <f t="shared" si="13"/>
        <v>8</v>
      </c>
      <c r="BC37" s="41">
        <f t="shared" si="14"/>
        <v>-21</v>
      </c>
      <c r="BD37" s="57">
        <f t="shared" si="15"/>
        <v>0</v>
      </c>
      <c r="BE37" s="363">
        <f t="shared" si="16"/>
        <v>39.209200370000005</v>
      </c>
      <c r="BF37" s="99">
        <f>IF(AP37="","",SMALL(BE$9:BE$62,ROWS(AZ$9:AZ37)))</f>
        <v>23.048300510000001</v>
      </c>
      <c r="BG37" s="88"/>
      <c r="BH37" s="95" t="str">
        <f>IF(OR(AP37="",AZ37=""),"",INDEX($AP$9:$AP$63,MATCH(BF37,$BE$9:BE$62,0)))</f>
        <v>C7</v>
      </c>
      <c r="BI37" s="294">
        <f t="shared" si="0"/>
        <v>5</v>
      </c>
      <c r="BJ37" s="7">
        <f t="shared" si="1"/>
        <v>-5</v>
      </c>
      <c r="BK37" s="7">
        <f t="shared" si="2"/>
        <v>17</v>
      </c>
      <c r="BL37" s="280">
        <f>IF(BF37="","",IF(AND(BI36=BI37,BJ36=BJ37,BK36=BK37),BL36,$BL$9+28))</f>
        <v>29</v>
      </c>
      <c r="BM37" s="29"/>
      <c r="BN37" s="262"/>
    </row>
    <row r="38" spans="1:66" ht="15.7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P38" s="23"/>
      <c r="Q38" s="23"/>
      <c r="R38" s="23"/>
      <c r="S38" s="23"/>
      <c r="T38" s="23"/>
      <c r="U38" s="23"/>
      <c r="V38" s="23"/>
      <c r="W38" s="23"/>
      <c r="X38" s="23"/>
      <c r="Y38" s="447"/>
      <c r="Z38" s="32"/>
      <c r="AA38" s="21" t="s">
        <v>5</v>
      </c>
      <c r="AB38" s="21"/>
      <c r="AC38" s="22"/>
      <c r="AD38" s="1"/>
      <c r="AE38" s="32"/>
      <c r="AF38" s="21" t="s">
        <v>5</v>
      </c>
      <c r="AG38" s="21"/>
      <c r="AH38" s="22"/>
      <c r="AI38" s="1"/>
      <c r="AJ38" s="32"/>
      <c r="AK38" s="21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>
        <f t="shared" si="3"/>
        <v>3</v>
      </c>
      <c r="AR38" s="99">
        <f t="shared" si="4"/>
        <v>9</v>
      </c>
      <c r="AS38" s="219">
        <f t="shared" si="5"/>
        <v>10</v>
      </c>
      <c r="AT38" s="289">
        <f t="shared" si="6"/>
        <v>3</v>
      </c>
      <c r="AU38" s="99">
        <f t="shared" si="7"/>
        <v>4</v>
      </c>
      <c r="AV38" s="291">
        <f t="shared" si="8"/>
        <v>10</v>
      </c>
      <c r="AW38" s="286">
        <f t="shared" si="9"/>
        <v>3</v>
      </c>
      <c r="AX38" s="99">
        <f t="shared" si="10"/>
        <v>8</v>
      </c>
      <c r="AY38" s="291">
        <f t="shared" si="11"/>
        <v>9</v>
      </c>
      <c r="AZ38" s="286">
        <f t="shared" si="17"/>
        <v>9</v>
      </c>
      <c r="BA38" s="99">
        <f t="shared" si="12"/>
        <v>21</v>
      </c>
      <c r="BB38" s="291">
        <f t="shared" si="13"/>
        <v>29</v>
      </c>
      <c r="BC38" s="41">
        <f t="shared" si="14"/>
        <v>0</v>
      </c>
      <c r="BD38" s="57">
        <f t="shared" si="15"/>
        <v>21</v>
      </c>
      <c r="BE38" s="363">
        <f t="shared" si="16"/>
        <v>0.78710038000000004</v>
      </c>
      <c r="BF38" s="99">
        <f>IF(AP38="","",SMALL(BE$9:BE$62,ROWS(AZ$9:AZ38)))</f>
        <v>23.058700209999998</v>
      </c>
      <c r="BG38" s="88"/>
      <c r="BH38" s="95" t="str">
        <f>IF(OR(AP38="",AZ38=""),"",INDEX($AP$9:$AP$63,MATCH(BF38,$BE$9:BE$62,0)))</f>
        <v>A13</v>
      </c>
      <c r="BI38" s="294">
        <f t="shared" si="0"/>
        <v>5</v>
      </c>
      <c r="BJ38" s="7">
        <f t="shared" si="1"/>
        <v>-6</v>
      </c>
      <c r="BK38" s="7">
        <f t="shared" si="2"/>
        <v>13</v>
      </c>
      <c r="BL38" s="280">
        <f>IF(BF38="","",IF(AND(BI37=BI38,BJ37=BJ38,BK37=BK38),BL37,$BL$9+29))</f>
        <v>30</v>
      </c>
      <c r="BM38" s="29"/>
      <c r="BN38" s="262"/>
    </row>
    <row r="39" spans="1:66" ht="15.7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P39" s="23"/>
      <c r="Q39" s="23"/>
      <c r="R39" s="23"/>
      <c r="S39" s="23"/>
      <c r="T39" s="23"/>
      <c r="U39" s="23"/>
      <c r="V39" s="23"/>
      <c r="W39" s="23"/>
      <c r="X39" s="23"/>
      <c r="Y39" s="447"/>
      <c r="Z39" s="14" t="str">
        <f>+O17</f>
        <v>A8</v>
      </c>
      <c r="AA39" s="35">
        <v>12</v>
      </c>
      <c r="AB39" s="30">
        <f>IF(AA35+AA39=0,0,IF(AA35=AA39,2,IF(AA35&lt;AA39,3,1)))</f>
        <v>3</v>
      </c>
      <c r="AC39" s="15">
        <f>AA39-AA35</f>
        <v>11</v>
      </c>
      <c r="AD39" s="9"/>
      <c r="AE39" s="14" t="str">
        <f>+R17</f>
        <v>A9</v>
      </c>
      <c r="AF39" s="127">
        <v>4</v>
      </c>
      <c r="AG39" s="30">
        <f>IF(AF35+AF39=0,0,IF(AF35=AF39,2,IF(AF35&lt;AF39,3,1)))</f>
        <v>1</v>
      </c>
      <c r="AH39" s="15">
        <f>AF39-AF35</f>
        <v>-9</v>
      </c>
      <c r="AI39" s="9"/>
      <c r="AJ39" s="14" t="str">
        <f>+U17</f>
        <v>A10</v>
      </c>
      <c r="AK39" s="37">
        <v>9</v>
      </c>
      <c r="AL39" s="30">
        <f>IF(AK35+AK39=0,0,IF(AK35=AK39,2,IF(AK35&lt;AK39,3,1)))</f>
        <v>3</v>
      </c>
      <c r="AM39" s="15">
        <f>AK39-AK35</f>
        <v>8</v>
      </c>
      <c r="AN39" s="23"/>
      <c r="AO39" s="54">
        <v>31</v>
      </c>
      <c r="AP39" s="322" t="str">
        <f>+Inscrits!D15</f>
        <v>B13</v>
      </c>
      <c r="AQ39" s="286">
        <f t="shared" si="3"/>
        <v>1</v>
      </c>
      <c r="AR39" s="99">
        <f t="shared" si="4"/>
        <v>-9</v>
      </c>
      <c r="AS39" s="219">
        <f t="shared" si="5"/>
        <v>1</v>
      </c>
      <c r="AT39" s="289">
        <f t="shared" si="6"/>
        <v>1</v>
      </c>
      <c r="AU39" s="99">
        <f t="shared" si="7"/>
        <v>-6</v>
      </c>
      <c r="AV39" s="291">
        <f t="shared" si="8"/>
        <v>1</v>
      </c>
      <c r="AW39" s="286">
        <f t="shared" si="9"/>
        <v>1</v>
      </c>
      <c r="AX39" s="99">
        <f t="shared" si="10"/>
        <v>-4</v>
      </c>
      <c r="AY39" s="291">
        <f t="shared" si="11"/>
        <v>5</v>
      </c>
      <c r="AZ39" s="286">
        <f t="shared" si="17"/>
        <v>3</v>
      </c>
      <c r="BA39" s="99">
        <f t="shared" si="12"/>
        <v>-19</v>
      </c>
      <c r="BB39" s="291">
        <f t="shared" si="13"/>
        <v>7</v>
      </c>
      <c r="BC39" s="41">
        <f t="shared" si="14"/>
        <v>-19</v>
      </c>
      <c r="BD39" s="57">
        <f t="shared" si="15"/>
        <v>0</v>
      </c>
      <c r="BE39" s="363">
        <f t="shared" si="16"/>
        <v>39.189300389999993</v>
      </c>
      <c r="BF39" s="99">
        <f>IF(AP39="","",SMALL(BE$9:BE$62,ROWS(AZ$9:AZ39)))</f>
        <v>23.068600230000001</v>
      </c>
      <c r="BG39" s="88"/>
      <c r="BH39" s="95" t="str">
        <f>IF(OR(AP39="",AZ39=""),"",INDEX($AP$9:$AP$63,MATCH(BF39,$BE$9:BE$62,0)))</f>
        <v>A15</v>
      </c>
      <c r="BI39" s="294">
        <f t="shared" si="0"/>
        <v>5</v>
      </c>
      <c r="BJ39" s="7">
        <f t="shared" si="1"/>
        <v>-7</v>
      </c>
      <c r="BK39" s="7">
        <f t="shared" si="2"/>
        <v>14</v>
      </c>
      <c r="BL39" s="280">
        <f>IF(BF39="","",IF(AND(BI38=BI39,BJ38=BJ39,BK38=BK39),BL38,$BL$9+30))</f>
        <v>31</v>
      </c>
      <c r="BM39" s="29"/>
      <c r="BN39" s="262"/>
    </row>
    <row r="40" spans="1:66" ht="16.5" thickBo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P40" s="23"/>
      <c r="Q40" s="23"/>
      <c r="R40" s="23"/>
      <c r="S40" s="23"/>
      <c r="T40" s="23"/>
      <c r="U40" s="23"/>
      <c r="V40" s="23"/>
      <c r="W40" s="23"/>
      <c r="X40" s="23"/>
      <c r="Y40" s="447"/>
      <c r="Z40" s="14" t="str">
        <f>+P17</f>
        <v>B8</v>
      </c>
      <c r="AA40" s="17">
        <f>IF(ISTEXT(Z40),AA39,0)</f>
        <v>12</v>
      </c>
      <c r="AB40" s="18">
        <f>IF(ISTEXT(Z40),AB39,0)</f>
        <v>3</v>
      </c>
      <c r="AC40" s="19">
        <f>IF(ISTEXT(Z40),AC39,0)</f>
        <v>11</v>
      </c>
      <c r="AD40" s="9"/>
      <c r="AE40" s="14" t="str">
        <f>+S17</f>
        <v>B10</v>
      </c>
      <c r="AF40" s="17">
        <f>IF(ISTEXT(AE40),AF39,0)</f>
        <v>4</v>
      </c>
      <c r="AG40" s="18">
        <f>IF(ISTEXT(AE40),AG39,0)</f>
        <v>1</v>
      </c>
      <c r="AH40" s="19">
        <f>IF(ISTEXT(AE40),AH39,0)</f>
        <v>-9</v>
      </c>
      <c r="AI40" s="9"/>
      <c r="AJ40" s="14" t="str">
        <f>+V17</f>
        <v>B12</v>
      </c>
      <c r="AK40" s="17">
        <f>IF(ISTEXT(AJ40),AK39,0)</f>
        <v>9</v>
      </c>
      <c r="AL40" s="18">
        <f>IF(ISTEXT(AJ40),AL39,0)</f>
        <v>3</v>
      </c>
      <c r="AM40" s="19">
        <f>IF(ISTEXT(AJ40),AM39,0)</f>
        <v>8</v>
      </c>
      <c r="AN40" s="23"/>
      <c r="AO40" s="54">
        <v>32</v>
      </c>
      <c r="AP40" s="322" t="str">
        <f>+Inscrits!D16</f>
        <v>B14</v>
      </c>
      <c r="AQ40" s="286">
        <f t="shared" si="3"/>
        <v>3</v>
      </c>
      <c r="AR40" s="99">
        <f t="shared" si="4"/>
        <v>9</v>
      </c>
      <c r="AS40" s="219">
        <f t="shared" si="5"/>
        <v>10</v>
      </c>
      <c r="AT40" s="289">
        <f t="shared" si="6"/>
        <v>3</v>
      </c>
      <c r="AU40" s="99">
        <f t="shared" si="7"/>
        <v>6</v>
      </c>
      <c r="AV40" s="291">
        <f t="shared" si="8"/>
        <v>7</v>
      </c>
      <c r="AW40" s="286">
        <f t="shared" si="9"/>
        <v>3</v>
      </c>
      <c r="AX40" s="99">
        <f t="shared" si="10"/>
        <v>4</v>
      </c>
      <c r="AY40" s="291">
        <f t="shared" si="11"/>
        <v>9</v>
      </c>
      <c r="AZ40" s="286">
        <f t="shared" si="17"/>
        <v>9</v>
      </c>
      <c r="BA40" s="99">
        <f t="shared" si="12"/>
        <v>19</v>
      </c>
      <c r="BB40" s="291">
        <f t="shared" si="13"/>
        <v>26</v>
      </c>
      <c r="BC40" s="41">
        <f t="shared" si="14"/>
        <v>0</v>
      </c>
      <c r="BD40" s="57">
        <f t="shared" si="15"/>
        <v>19</v>
      </c>
      <c r="BE40" s="363">
        <f t="shared" si="16"/>
        <v>0.80740040000000002</v>
      </c>
      <c r="BF40" s="99">
        <f>IF(AP40="","",SMALL(BE$9:BE$62,ROWS(AZ$9:AZ40)))</f>
        <v>23.078400479999999</v>
      </c>
      <c r="BG40" s="88"/>
      <c r="BH40" s="95" t="str">
        <f>IF(OR(AP40="",AZ40=""),"",INDEX($AP$9:$AP$63,MATCH(BF40,$BE$9:BE$62,0)))</f>
        <v>C4</v>
      </c>
      <c r="BI40" s="294">
        <f t="shared" si="0"/>
        <v>5</v>
      </c>
      <c r="BJ40" s="7">
        <f t="shared" si="1"/>
        <v>-8</v>
      </c>
      <c r="BK40" s="7">
        <f t="shared" si="2"/>
        <v>16</v>
      </c>
      <c r="BL40" s="280">
        <f>IF(BF40="","",IF(AND(BI39=BI40,BJ39=BJ40,BK39=BK40),BL39,$BL$9+31))</f>
        <v>32</v>
      </c>
      <c r="BM40" s="29"/>
      <c r="BN40" s="262"/>
    </row>
    <row r="41" spans="1:66" ht="16.5" thickBo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P41" s="23"/>
      <c r="Q41" s="23"/>
      <c r="R41" s="23"/>
      <c r="S41" s="23"/>
      <c r="T41" s="23"/>
      <c r="U41" s="23"/>
      <c r="V41" s="23"/>
      <c r="W41" s="23"/>
      <c r="X41" s="23"/>
      <c r="Y41" s="448"/>
      <c r="Z41" s="16" t="str">
        <f>+Q17</f>
        <v>C8</v>
      </c>
      <c r="AA41" s="17">
        <f>IF(ISTEXT(Z41),AA39,0)</f>
        <v>12</v>
      </c>
      <c r="AB41" s="18">
        <f>IF(ISTEXT(Z41),AB39,0)</f>
        <v>3</v>
      </c>
      <c r="AC41" s="19">
        <f>IF(ISTEXT(Z41),AC39,0)</f>
        <v>11</v>
      </c>
      <c r="AD41" s="9"/>
      <c r="AE41" s="16" t="str">
        <f>+T17</f>
        <v>C11</v>
      </c>
      <c r="AF41" s="17">
        <f>IF(ISTEXT(AE41),AF39,0)</f>
        <v>4</v>
      </c>
      <c r="AG41" s="18">
        <f>IF(ISTEXT(AE41),AG39,0)</f>
        <v>1</v>
      </c>
      <c r="AH41" s="19">
        <f>IF(ISTEXT(AE41),AH39,0)</f>
        <v>-9</v>
      </c>
      <c r="AI41" s="9"/>
      <c r="AJ41" s="16" t="str">
        <f>+W17</f>
        <v>C14</v>
      </c>
      <c r="AK41" s="17">
        <f>IF(ISTEXT(AJ41),AK39,0)</f>
        <v>9</v>
      </c>
      <c r="AL41" s="18">
        <f>IF(ISTEXT(AJ41),AL39,0)</f>
        <v>3</v>
      </c>
      <c r="AM41" s="19">
        <f>IF(ISTEXT(AJ41),AM39,0)</f>
        <v>8</v>
      </c>
      <c r="AN41" s="23"/>
      <c r="AO41" s="54">
        <v>33</v>
      </c>
      <c r="AP41" s="322" t="str">
        <f>+Inscrits!D17</f>
        <v>B15</v>
      </c>
      <c r="AQ41" s="286">
        <f t="shared" si="3"/>
        <v>3</v>
      </c>
      <c r="AR41" s="99">
        <f t="shared" si="4"/>
        <v>10</v>
      </c>
      <c r="AS41" s="219">
        <f t="shared" si="5"/>
        <v>11</v>
      </c>
      <c r="AT41" s="289">
        <f t="shared" si="6"/>
        <v>3</v>
      </c>
      <c r="AU41" s="99">
        <f t="shared" si="7"/>
        <v>12</v>
      </c>
      <c r="AV41" s="291">
        <f t="shared" si="8"/>
        <v>13</v>
      </c>
      <c r="AW41" s="286">
        <f t="shared" si="9"/>
        <v>1</v>
      </c>
      <c r="AX41" s="99">
        <f t="shared" si="10"/>
        <v>-11</v>
      </c>
      <c r="AY41" s="291">
        <f t="shared" si="11"/>
        <v>2</v>
      </c>
      <c r="AZ41" s="286">
        <f t="shared" si="17"/>
        <v>7</v>
      </c>
      <c r="BA41" s="99">
        <f t="shared" si="12"/>
        <v>11</v>
      </c>
      <c r="BB41" s="291">
        <f t="shared" si="13"/>
        <v>26</v>
      </c>
      <c r="BC41" s="41">
        <f t="shared" si="14"/>
        <v>0</v>
      </c>
      <c r="BD41" s="57">
        <f t="shared" si="15"/>
        <v>11</v>
      </c>
      <c r="BE41" s="363">
        <f t="shared" si="16"/>
        <v>6.8874004099999997</v>
      </c>
      <c r="BF41" s="99">
        <f>IF(AP41="","",SMALL(BE$9:BE$62,ROWS(AZ$9:AZ41)))</f>
        <v>23.078900579999996</v>
      </c>
      <c r="BG41" s="88"/>
      <c r="BH41" s="95" t="str">
        <f>IF(OR(AP41="",AZ41=""),"",INDEX($AP$9:$AP$63,MATCH(BF41,$BE$9:BE$62,0)))</f>
        <v>C14</v>
      </c>
      <c r="BI41" s="294">
        <f t="shared" ref="BI41:BI62" si="18">IF(AP41="","",INDEX($AZ$9:$AZ$63,MATCH(BF41,$BE$9:$BE$62,0)))</f>
        <v>5</v>
      </c>
      <c r="BJ41" s="7">
        <f t="shared" ref="BJ41:BJ62" si="19">IF(AP41="","",INDEX($BA$9:$BA$63,MATCH(BF41,$BE$9:$BE$62,0)))</f>
        <v>-8</v>
      </c>
      <c r="BK41" s="7">
        <f t="shared" ref="BK41:BK62" si="20">IF(AP41="","",INDEX($BB$9:$BB$63,MATCH(BF41,$BE$9:$BE$62,0)))</f>
        <v>11</v>
      </c>
      <c r="BL41" s="280">
        <f>IF(BF41="","",IF(AND(BI40=BI41,BJ40=BJ41,BK40=BK41),BL40,$BL$9+32))</f>
        <v>33</v>
      </c>
      <c r="BM41" s="29"/>
      <c r="BN41" s="262"/>
    </row>
    <row r="42" spans="1:66" ht="16.5" thickBo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P42" s="23"/>
      <c r="Q42" s="23"/>
      <c r="R42" s="23"/>
      <c r="S42" s="23"/>
      <c r="T42" s="23"/>
      <c r="U42" s="23"/>
      <c r="V42" s="23"/>
      <c r="W42" s="23"/>
      <c r="X42" s="23"/>
      <c r="Y42" s="128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23"/>
      <c r="AO42" s="54">
        <v>34</v>
      </c>
      <c r="AP42" s="322" t="str">
        <f>+Inscrits!D18</f>
        <v>B16</v>
      </c>
      <c r="AQ42" s="286" t="str">
        <f t="shared" si="3"/>
        <v xml:space="preserve"> </v>
      </c>
      <c r="AR42" s="99" t="str">
        <f t="shared" si="4"/>
        <v xml:space="preserve"> </v>
      </c>
      <c r="AS42" s="219" t="str">
        <f t="shared" si="5"/>
        <v xml:space="preserve"> </v>
      </c>
      <c r="AT42" s="289" t="str">
        <f t="shared" si="6"/>
        <v xml:space="preserve"> </v>
      </c>
      <c r="AU42" s="99" t="str">
        <f t="shared" si="7"/>
        <v xml:space="preserve"> </v>
      </c>
      <c r="AV42" s="291" t="str">
        <f t="shared" si="8"/>
        <v xml:space="preserve"> </v>
      </c>
      <c r="AW42" s="286" t="str">
        <f t="shared" si="9"/>
        <v xml:space="preserve"> </v>
      </c>
      <c r="AX42" s="99" t="str">
        <f t="shared" si="10"/>
        <v xml:space="preserve"> </v>
      </c>
      <c r="AY42" s="291" t="str">
        <f t="shared" si="11"/>
        <v xml:space="preserve"> </v>
      </c>
      <c r="AZ42" s="286">
        <f t="shared" si="17"/>
        <v>0</v>
      </c>
      <c r="BA42" s="99">
        <f t="shared" si="12"/>
        <v>0</v>
      </c>
      <c r="BB42" s="291">
        <f t="shared" si="13"/>
        <v>0</v>
      </c>
      <c r="BC42" s="41">
        <f t="shared" si="14"/>
        <v>0</v>
      </c>
      <c r="BD42" s="57">
        <f t="shared" si="15"/>
        <v>0</v>
      </c>
      <c r="BE42" s="363">
        <f t="shared" si="16"/>
        <v>46.000000419999999</v>
      </c>
      <c r="BF42" s="99">
        <f>IF(AP42="","",SMALL(BE$9:BE$62,ROWS(AZ$9:AZ42)))</f>
        <v>23.088400190000002</v>
      </c>
      <c r="BG42" s="88"/>
      <c r="BH42" s="95" t="str">
        <f>IF(OR(AP42="",AZ42=""),"",INDEX($AP$9:$AP$63,MATCH(BF42,$BE$9:BE$62,0)))</f>
        <v>A11</v>
      </c>
      <c r="BI42" s="294">
        <f t="shared" si="18"/>
        <v>5</v>
      </c>
      <c r="BJ42" s="7">
        <f t="shared" si="19"/>
        <v>-9</v>
      </c>
      <c r="BK42" s="7">
        <f t="shared" si="20"/>
        <v>16</v>
      </c>
      <c r="BL42" s="280">
        <f>IF(BF42="","",IF(AND(BI41=BI42,BJ41=BJ42,BK41=BK42),BL41,$BL$9+33))</f>
        <v>34</v>
      </c>
      <c r="BM42" s="29"/>
      <c r="BN42" s="262"/>
    </row>
    <row r="43" spans="1:66" ht="15.7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P43" s="23"/>
      <c r="Q43" s="23"/>
      <c r="R43" s="23"/>
      <c r="S43" s="23"/>
      <c r="T43" s="23"/>
      <c r="U43" s="23"/>
      <c r="V43" s="23"/>
      <c r="W43" s="23"/>
      <c r="X43" s="23"/>
      <c r="Y43" s="446">
        <v>5</v>
      </c>
      <c r="Z43" s="12" t="str">
        <f>+O18</f>
        <v>A9</v>
      </c>
      <c r="AA43" s="33">
        <v>10</v>
      </c>
      <c r="AB43" s="48">
        <f>IF(AA43+AA47=0,0,IF(AA43=AA47,2,IF(AA43&gt;AA47,3,1)))</f>
        <v>3</v>
      </c>
      <c r="AC43" s="13">
        <f>AA43-AA47</f>
        <v>2</v>
      </c>
      <c r="AD43" s="9"/>
      <c r="AE43" s="12" t="str">
        <f>+R18</f>
        <v>A10</v>
      </c>
      <c r="AF43" s="126">
        <v>6</v>
      </c>
      <c r="AG43" s="48">
        <f>IF(AF43+AF47=0,0,IF(AF43=AF47,2,IF(AF43&gt;AF47,3,1)))</f>
        <v>1</v>
      </c>
      <c r="AH43" s="13">
        <f>AF43-AF47</f>
        <v>-4</v>
      </c>
      <c r="AI43" s="9"/>
      <c r="AJ43" s="12" t="str">
        <f>+U18</f>
        <v>A11</v>
      </c>
      <c r="AK43" s="36">
        <v>5</v>
      </c>
      <c r="AL43" s="48">
        <f>IF(AK43+AK47=0,0,IF(AK43=AK47,2,IF(AK43&gt;AK47,3,1)))</f>
        <v>1</v>
      </c>
      <c r="AM43" s="13">
        <f>AK43-AK47</f>
        <v>-4</v>
      </c>
      <c r="AN43" s="23"/>
      <c r="AO43" s="54">
        <v>35</v>
      </c>
      <c r="AP43" s="322" t="str">
        <f>+Inscrits!D19</f>
        <v>B17</v>
      </c>
      <c r="AQ43" s="286" t="str">
        <f t="shared" si="3"/>
        <v xml:space="preserve"> </v>
      </c>
      <c r="AR43" s="99" t="str">
        <f t="shared" si="4"/>
        <v xml:space="preserve"> </v>
      </c>
      <c r="AS43" s="219" t="str">
        <f t="shared" si="5"/>
        <v xml:space="preserve"> </v>
      </c>
      <c r="AT43" s="289" t="str">
        <f t="shared" si="6"/>
        <v xml:space="preserve"> </v>
      </c>
      <c r="AU43" s="99" t="str">
        <f t="shared" si="7"/>
        <v xml:space="preserve"> </v>
      </c>
      <c r="AV43" s="291" t="str">
        <f t="shared" si="8"/>
        <v xml:space="preserve"> </v>
      </c>
      <c r="AW43" s="286" t="str">
        <f t="shared" si="9"/>
        <v xml:space="preserve"> </v>
      </c>
      <c r="AX43" s="99" t="str">
        <f t="shared" si="10"/>
        <v xml:space="preserve"> </v>
      </c>
      <c r="AY43" s="291" t="str">
        <f t="shared" si="11"/>
        <v xml:space="preserve"> </v>
      </c>
      <c r="AZ43" s="286">
        <f t="shared" si="17"/>
        <v>0</v>
      </c>
      <c r="BA43" s="99">
        <f t="shared" si="12"/>
        <v>0</v>
      </c>
      <c r="BB43" s="291">
        <f t="shared" si="13"/>
        <v>0</v>
      </c>
      <c r="BC43" s="41">
        <f t="shared" si="14"/>
        <v>0</v>
      </c>
      <c r="BD43" s="57">
        <f t="shared" si="15"/>
        <v>0</v>
      </c>
      <c r="BE43" s="363">
        <f t="shared" si="16"/>
        <v>46.00000043</v>
      </c>
      <c r="BF43" s="99">
        <f>IF(AP43="","",SMALL(BE$9:BE$62,ROWS(AZ$9:AZ43)))</f>
        <v>23.098200360000003</v>
      </c>
      <c r="BG43" s="88"/>
      <c r="BH43" s="95" t="str">
        <f>IF(OR(AP43="",AZ43=""),"",INDEX($AP$9:$AP$63,MATCH(BF43,$BE$9:BE$62,0)))</f>
        <v>B10</v>
      </c>
      <c r="BI43" s="294">
        <f t="shared" si="18"/>
        <v>5</v>
      </c>
      <c r="BJ43" s="7">
        <f t="shared" si="19"/>
        <v>-10</v>
      </c>
      <c r="BK43" s="7">
        <f t="shared" si="20"/>
        <v>18</v>
      </c>
      <c r="BL43" s="280">
        <f>IF(BF43="","",IF(AND(BI42=BI43,BJ42=BJ43,BK42=BK43),BL42,$BL$9+34))</f>
        <v>35</v>
      </c>
      <c r="BM43" s="29"/>
      <c r="BN43" s="262"/>
    </row>
    <row r="44" spans="1:66" ht="16.5" thickBo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P44" s="23"/>
      <c r="Q44" s="23"/>
      <c r="R44" s="23"/>
      <c r="S44" s="23"/>
      <c r="T44" s="23"/>
      <c r="U44" s="23"/>
      <c r="V44" s="23"/>
      <c r="W44" s="23"/>
      <c r="X44" s="23"/>
      <c r="Y44" s="447"/>
      <c r="Z44" s="14" t="str">
        <f>+P18</f>
        <v>B9</v>
      </c>
      <c r="AA44" s="17">
        <f>IF(ISTEXT(Z44),AA43,0)</f>
        <v>10</v>
      </c>
      <c r="AB44" s="18">
        <f>IF(ISTEXT(Z44),AB43,0)</f>
        <v>3</v>
      </c>
      <c r="AC44" s="19">
        <f>IF(ISTEXT(Z44),AC43,0)</f>
        <v>2</v>
      </c>
      <c r="AD44" s="9"/>
      <c r="AE44" s="14" t="str">
        <f>+S18</f>
        <v>B11</v>
      </c>
      <c r="AF44" s="17">
        <f>IF(ISTEXT(AE44),AF43,0)</f>
        <v>6</v>
      </c>
      <c r="AG44" s="59">
        <f>IF(ISTEXT(AE44),AG43,0)</f>
        <v>1</v>
      </c>
      <c r="AH44" s="19">
        <f>IF(ISTEXT(AE44),AH43,0)</f>
        <v>-4</v>
      </c>
      <c r="AI44" s="9"/>
      <c r="AJ44" s="14" t="str">
        <f>+V18</f>
        <v>B13</v>
      </c>
      <c r="AK44" s="17">
        <f>IF(ISTEXT(AJ44),AK43,0)</f>
        <v>5</v>
      </c>
      <c r="AL44" s="59">
        <f>IF(ISTEXT(AJ44),AL43,0)</f>
        <v>1</v>
      </c>
      <c r="AM44" s="19">
        <f>IF(ISTEXT(AJ44),AM43,0)</f>
        <v>-4</v>
      </c>
      <c r="AN44" s="23"/>
      <c r="AO44" s="54">
        <v>36</v>
      </c>
      <c r="AP44" s="322" t="str">
        <f>+Inscrits!D20</f>
        <v>B18</v>
      </c>
      <c r="AQ44" s="286" t="str">
        <f t="shared" si="3"/>
        <v xml:space="preserve"> </v>
      </c>
      <c r="AR44" s="99" t="str">
        <f t="shared" si="4"/>
        <v xml:space="preserve"> </v>
      </c>
      <c r="AS44" s="219" t="str">
        <f t="shared" si="5"/>
        <v xml:space="preserve"> </v>
      </c>
      <c r="AT44" s="289" t="str">
        <f t="shared" si="6"/>
        <v xml:space="preserve"> </v>
      </c>
      <c r="AU44" s="99" t="str">
        <f t="shared" si="7"/>
        <v xml:space="preserve"> </v>
      </c>
      <c r="AV44" s="291" t="str">
        <f t="shared" si="8"/>
        <v xml:space="preserve"> </v>
      </c>
      <c r="AW44" s="286" t="str">
        <f t="shared" si="9"/>
        <v xml:space="preserve"> </v>
      </c>
      <c r="AX44" s="99" t="str">
        <f t="shared" si="10"/>
        <v xml:space="preserve"> </v>
      </c>
      <c r="AY44" s="291" t="str">
        <f t="shared" si="11"/>
        <v xml:space="preserve"> </v>
      </c>
      <c r="AZ44" s="286">
        <f t="shared" si="17"/>
        <v>0</v>
      </c>
      <c r="BA44" s="99">
        <f t="shared" si="12"/>
        <v>0</v>
      </c>
      <c r="BB44" s="291">
        <f t="shared" si="13"/>
        <v>0</v>
      </c>
      <c r="BC44" s="41">
        <f t="shared" si="14"/>
        <v>0</v>
      </c>
      <c r="BD44" s="57">
        <f t="shared" si="15"/>
        <v>0</v>
      </c>
      <c r="BE44" s="363">
        <f t="shared" si="16"/>
        <v>46.000000440000001</v>
      </c>
      <c r="BF44" s="99">
        <f>IF(AP44="","",SMALL(BE$9:BE$62,ROWS(AZ$9:AZ44)))</f>
        <v>23.108400499999998</v>
      </c>
      <c r="BG44" s="88"/>
      <c r="BH44" s="95" t="str">
        <f>IF(OR(AP44="",AZ44=""),"",INDEX($AP$9:$AP$63,MATCH(BF44,$BE$9:BE$62,0)))</f>
        <v>C6</v>
      </c>
      <c r="BI44" s="294">
        <f t="shared" si="18"/>
        <v>5</v>
      </c>
      <c r="BJ44" s="7">
        <f t="shared" si="19"/>
        <v>-11</v>
      </c>
      <c r="BK44" s="7">
        <f t="shared" si="20"/>
        <v>16</v>
      </c>
      <c r="BL44" s="280">
        <f>IF(BF44="","",IF(AND(BI43=BI44,BJ43=BJ44,BK43=BK44),BL43,$BL$9+35))</f>
        <v>36</v>
      </c>
      <c r="BM44" s="29"/>
      <c r="BN44" s="262"/>
    </row>
    <row r="45" spans="1:66" ht="15.7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P45" s="23"/>
      <c r="Q45" s="23"/>
      <c r="R45" s="23"/>
      <c r="S45" s="23"/>
      <c r="T45" s="23"/>
      <c r="U45" s="23"/>
      <c r="V45" s="23"/>
      <c r="W45" s="23"/>
      <c r="X45" s="23"/>
      <c r="Y45" s="447"/>
      <c r="Z45" s="14" t="str">
        <f>+Q18</f>
        <v>C9</v>
      </c>
      <c r="AA45" s="71">
        <f>IF(ISTEXT(Z45),AA43,0)</f>
        <v>10</v>
      </c>
      <c r="AB45" s="67">
        <f>IF(ISTEXT(Z45),AB43,0)</f>
        <v>3</v>
      </c>
      <c r="AC45" s="72">
        <f>IF(ISTEXT(Z45),AC43,0)</f>
        <v>2</v>
      </c>
      <c r="AD45" s="9"/>
      <c r="AE45" s="14" t="str">
        <f>+T18</f>
        <v>C12</v>
      </c>
      <c r="AF45" s="71">
        <f>IF(ISTEXT(AE45),AF43,0)</f>
        <v>6</v>
      </c>
      <c r="AG45" s="64">
        <f>IF(ISTEXT(AE45),AG43,0)</f>
        <v>1</v>
      </c>
      <c r="AH45" s="72">
        <f>IF(ISTEXT(AE45),AH43,0)</f>
        <v>-4</v>
      </c>
      <c r="AI45" s="9"/>
      <c r="AJ45" s="14" t="str">
        <f>+W18</f>
        <v>C15</v>
      </c>
      <c r="AK45" s="71">
        <f>IF(ISTEXT(AJ45),AK43,0)</f>
        <v>5</v>
      </c>
      <c r="AL45" s="64">
        <f>IF(ISTEXT(AJ45),AL43,0)</f>
        <v>1</v>
      </c>
      <c r="AM45" s="72">
        <f>IF(ISTEXT(AJ45),AM43,0)</f>
        <v>-4</v>
      </c>
      <c r="AN45" s="23"/>
      <c r="AO45" s="54">
        <v>37</v>
      </c>
      <c r="AP45" s="323" t="str">
        <f>+Inscrits!F3</f>
        <v>C1</v>
      </c>
      <c r="AQ45" s="286">
        <f t="shared" si="3"/>
        <v>3</v>
      </c>
      <c r="AR45" s="99">
        <f t="shared" si="4"/>
        <v>3</v>
      </c>
      <c r="AS45" s="219">
        <f t="shared" si="5"/>
        <v>9</v>
      </c>
      <c r="AT45" s="289">
        <f t="shared" si="6"/>
        <v>1</v>
      </c>
      <c r="AU45" s="99">
        <f t="shared" si="7"/>
        <v>-11</v>
      </c>
      <c r="AV45" s="291">
        <f t="shared" si="8"/>
        <v>1</v>
      </c>
      <c r="AW45" s="286">
        <f t="shared" si="9"/>
        <v>3</v>
      </c>
      <c r="AX45" s="99">
        <f t="shared" si="10"/>
        <v>4</v>
      </c>
      <c r="AY45" s="291">
        <f t="shared" si="11"/>
        <v>9</v>
      </c>
      <c r="AZ45" s="286">
        <f t="shared" si="17"/>
        <v>7</v>
      </c>
      <c r="BA45" s="99">
        <f t="shared" si="12"/>
        <v>-4</v>
      </c>
      <c r="BB45" s="291">
        <f t="shared" si="13"/>
        <v>19</v>
      </c>
      <c r="BC45" s="41">
        <f t="shared" si="14"/>
        <v>-4</v>
      </c>
      <c r="BD45" s="57">
        <f t="shared" si="15"/>
        <v>0</v>
      </c>
      <c r="BE45" s="363">
        <f t="shared" si="16"/>
        <v>7.03810045</v>
      </c>
      <c r="BF45" s="99">
        <f>IF(AP45="","",SMALL(BE$9:BE$62,ROWS(AZ$9:AZ45)))</f>
        <v>23.128800569999999</v>
      </c>
      <c r="BG45" s="88"/>
      <c r="BH45" s="95" t="str">
        <f>IF(OR(AP45="",AZ45=""),"",INDEX($AP$9:$AP$63,MATCH(BF45,$BE$9:BE$62,0)))</f>
        <v>C13</v>
      </c>
      <c r="BI45" s="294">
        <f t="shared" si="18"/>
        <v>5</v>
      </c>
      <c r="BJ45" s="7">
        <f t="shared" si="19"/>
        <v>-13</v>
      </c>
      <c r="BK45" s="7">
        <f t="shared" si="20"/>
        <v>12</v>
      </c>
      <c r="BL45" s="280">
        <f>IF(BF45="","",IF(AND(BI44=BI45,BJ44=BJ45,BK44=BK45),BL44,$BL$9+36))</f>
        <v>37</v>
      </c>
      <c r="BM45" s="29"/>
      <c r="BN45" s="262"/>
    </row>
    <row r="46" spans="1:66" ht="15.7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P46" s="23"/>
      <c r="Q46" s="23"/>
      <c r="R46" s="23"/>
      <c r="S46" s="23"/>
      <c r="T46" s="23"/>
      <c r="U46" s="23"/>
      <c r="V46" s="23"/>
      <c r="W46" s="23"/>
      <c r="X46" s="23"/>
      <c r="Y46" s="447"/>
      <c r="Z46" s="32"/>
      <c r="AA46" s="21" t="s">
        <v>5</v>
      </c>
      <c r="AB46" s="21"/>
      <c r="AC46" s="22"/>
      <c r="AD46" s="1"/>
      <c r="AE46" s="32"/>
      <c r="AF46" s="21" t="s">
        <v>5</v>
      </c>
      <c r="AG46" s="21"/>
      <c r="AH46" s="22"/>
      <c r="AI46" s="1"/>
      <c r="AJ46" s="32"/>
      <c r="AK46" s="21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1</v>
      </c>
      <c r="AR46" s="99">
        <f t="shared" si="4"/>
        <v>-3</v>
      </c>
      <c r="AS46" s="219">
        <f t="shared" si="5"/>
        <v>6</v>
      </c>
      <c r="AT46" s="289">
        <f t="shared" si="6"/>
        <v>1</v>
      </c>
      <c r="AU46" s="99">
        <f t="shared" si="7"/>
        <v>-12</v>
      </c>
      <c r="AV46" s="291">
        <f t="shared" si="8"/>
        <v>1</v>
      </c>
      <c r="AW46" s="286">
        <f t="shared" si="9"/>
        <v>1</v>
      </c>
      <c r="AX46" s="99">
        <f t="shared" si="10"/>
        <v>-3</v>
      </c>
      <c r="AY46" s="291">
        <f t="shared" si="11"/>
        <v>5</v>
      </c>
      <c r="AZ46" s="286">
        <f t="shared" si="17"/>
        <v>3</v>
      </c>
      <c r="BA46" s="99">
        <f t="shared" si="12"/>
        <v>-18</v>
      </c>
      <c r="BB46" s="291">
        <f t="shared" si="13"/>
        <v>12</v>
      </c>
      <c r="BC46" s="41">
        <f t="shared" si="14"/>
        <v>-18</v>
      </c>
      <c r="BD46" s="57">
        <f t="shared" si="15"/>
        <v>0</v>
      </c>
      <c r="BE46" s="363">
        <f t="shared" si="16"/>
        <v>39.178800460000005</v>
      </c>
      <c r="BF46" s="99">
        <f>IF(AP46="","",SMALL(BE$9:BE$62,ROWS(AZ$9:AZ46)))</f>
        <v>23.148500169999998</v>
      </c>
      <c r="BG46" s="88"/>
      <c r="BH46" s="95" t="str">
        <f>IF(OR(AP46="",AZ46=""),"",INDEX($AP$9:$AP$63,MATCH(BF46,$BE$9:BE$62,0)))</f>
        <v>A9</v>
      </c>
      <c r="BI46" s="294">
        <f t="shared" si="18"/>
        <v>5</v>
      </c>
      <c r="BJ46" s="7">
        <f t="shared" si="19"/>
        <v>-15</v>
      </c>
      <c r="BK46" s="7">
        <f t="shared" si="20"/>
        <v>15</v>
      </c>
      <c r="BL46" s="280">
        <f>IF(BF46="","",IF(AND(BI45=BI46,BJ45=BJ46,BK45=BK46),BL45,$BL$9+37))</f>
        <v>38</v>
      </c>
      <c r="BM46" s="29"/>
      <c r="BN46" s="262"/>
    </row>
    <row r="47" spans="1:66" ht="15.7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P47" s="23"/>
      <c r="Q47" s="23"/>
      <c r="R47" s="23"/>
      <c r="S47" s="23"/>
      <c r="T47" s="23"/>
      <c r="U47" s="23"/>
      <c r="V47" s="23"/>
      <c r="W47" s="23"/>
      <c r="X47" s="23"/>
      <c r="Y47" s="447"/>
      <c r="Z47" s="14" t="str">
        <f>+O19</f>
        <v>A10</v>
      </c>
      <c r="AA47" s="35">
        <v>8</v>
      </c>
      <c r="AB47" s="30">
        <f>IF(AA43+AA47=0,0,IF(AA43=AA47,2,IF(AA43&lt;AA47,3,1)))</f>
        <v>1</v>
      </c>
      <c r="AC47" s="15">
        <f>AA47-AA43</f>
        <v>-2</v>
      </c>
      <c r="AD47" s="9"/>
      <c r="AE47" s="14" t="str">
        <f>+R19</f>
        <v>A11</v>
      </c>
      <c r="AF47" s="127">
        <v>10</v>
      </c>
      <c r="AG47" s="30">
        <f>IF(AF43+AF47=0,0,IF(AF43=AF47,2,IF(AF43&lt;AF47,3,1)))</f>
        <v>3</v>
      </c>
      <c r="AH47" s="15">
        <f>AF47-AF43</f>
        <v>4</v>
      </c>
      <c r="AI47" s="9"/>
      <c r="AJ47" s="14" t="str">
        <f>+U19</f>
        <v>A12</v>
      </c>
      <c r="AK47" s="37">
        <v>9</v>
      </c>
      <c r="AL47" s="30">
        <f>IF(AK43+AK47=0,0,IF(AK43=AK47,2,IF(AK43&lt;AK47,3,1)))</f>
        <v>3</v>
      </c>
      <c r="AM47" s="15">
        <f>AK47-AK43</f>
        <v>4</v>
      </c>
      <c r="AN47" s="23"/>
      <c r="AO47" s="54">
        <v>39</v>
      </c>
      <c r="AP47" s="323" t="str">
        <f>+Inscrits!F5</f>
        <v>C3</v>
      </c>
      <c r="AQ47" s="286">
        <f t="shared" si="3"/>
        <v>1</v>
      </c>
      <c r="AR47" s="99">
        <f t="shared" si="4"/>
        <v>-5</v>
      </c>
      <c r="AS47" s="219">
        <f t="shared" si="5"/>
        <v>5</v>
      </c>
      <c r="AT47" s="289">
        <f t="shared" si="6"/>
        <v>3</v>
      </c>
      <c r="AU47" s="99">
        <f t="shared" si="7"/>
        <v>12</v>
      </c>
      <c r="AV47" s="291">
        <f t="shared" si="8"/>
        <v>13</v>
      </c>
      <c r="AW47" s="286">
        <f t="shared" si="9"/>
        <v>3</v>
      </c>
      <c r="AX47" s="99">
        <f t="shared" si="10"/>
        <v>3</v>
      </c>
      <c r="AY47" s="291">
        <f t="shared" si="11"/>
        <v>8</v>
      </c>
      <c r="AZ47" s="286">
        <f t="shared" si="17"/>
        <v>7</v>
      </c>
      <c r="BA47" s="99">
        <f t="shared" si="12"/>
        <v>10</v>
      </c>
      <c r="BB47" s="291">
        <f t="shared" si="13"/>
        <v>26</v>
      </c>
      <c r="BC47" s="41">
        <f t="shared" si="14"/>
        <v>0</v>
      </c>
      <c r="BD47" s="57">
        <f t="shared" si="15"/>
        <v>10</v>
      </c>
      <c r="BE47" s="363">
        <f t="shared" si="16"/>
        <v>6.89740047</v>
      </c>
      <c r="BF47" s="99">
        <f>IF(AP47="","",SMALL(BE$9:BE$62,ROWS(AZ$9:AZ47)))</f>
        <v>39.148900309999995</v>
      </c>
      <c r="BG47" s="88"/>
      <c r="BH47" s="95" t="str">
        <f>IF(OR(AP47="",AZ47=""),"",INDEX($AP$9:$AP$63,MATCH(BF47,$BE$9:BE$62,0)))</f>
        <v>B5</v>
      </c>
      <c r="BI47" s="294">
        <f t="shared" si="18"/>
        <v>3</v>
      </c>
      <c r="BJ47" s="7">
        <f t="shared" si="19"/>
        <v>-15</v>
      </c>
      <c r="BK47" s="7">
        <f t="shared" si="20"/>
        <v>11</v>
      </c>
      <c r="BL47" s="280">
        <f>IF(BF47="","",IF(AND(BI46=BI47,BJ46=BJ47,BK46=BK47),BL46,$BL$9+38))</f>
        <v>39</v>
      </c>
      <c r="BM47" s="29"/>
      <c r="BN47" s="262"/>
    </row>
    <row r="48" spans="1:66" ht="16.5" thickBo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P48" s="23"/>
      <c r="Q48" s="23"/>
      <c r="R48" s="23"/>
      <c r="S48" s="23"/>
      <c r="T48" s="23"/>
      <c r="U48" s="23"/>
      <c r="V48" s="23"/>
      <c r="W48" s="23"/>
      <c r="X48" s="23"/>
      <c r="Y48" s="447"/>
      <c r="Z48" s="14" t="str">
        <f>+P19</f>
        <v>B10</v>
      </c>
      <c r="AA48" s="17">
        <f>IF(ISTEXT(Z48),AA47,0)</f>
        <v>8</v>
      </c>
      <c r="AB48" s="18">
        <f>IF(ISTEXT(Z48),AB47,0)</f>
        <v>1</v>
      </c>
      <c r="AC48" s="19">
        <f>IF(ISTEXT(Z48),AC47,0)</f>
        <v>-2</v>
      </c>
      <c r="AD48" s="9"/>
      <c r="AE48" s="14" t="str">
        <f>+S19</f>
        <v>B12</v>
      </c>
      <c r="AF48" s="17">
        <f>IF(ISTEXT(AE48),AF47,0)</f>
        <v>10</v>
      </c>
      <c r="AG48" s="18">
        <f>IF(ISTEXT(AE48),AG47,0)</f>
        <v>3</v>
      </c>
      <c r="AH48" s="19">
        <f>IF(ISTEXT(AE48),AH47,0)</f>
        <v>4</v>
      </c>
      <c r="AI48" s="9"/>
      <c r="AJ48" s="14" t="str">
        <f>+V19</f>
        <v>B14</v>
      </c>
      <c r="AK48" s="17">
        <f>IF(ISTEXT(AJ48),AK47,0)</f>
        <v>9</v>
      </c>
      <c r="AL48" s="18">
        <f>IF(ISTEXT(AJ48),AL47,0)</f>
        <v>3</v>
      </c>
      <c r="AM48" s="19">
        <f>IF(ISTEXT(AJ48),AM47,0)</f>
        <v>4</v>
      </c>
      <c r="AN48" s="23"/>
      <c r="AO48" s="54">
        <v>40</v>
      </c>
      <c r="AP48" s="323" t="str">
        <f>+Inscrits!F6</f>
        <v>C4</v>
      </c>
      <c r="AQ48" s="286">
        <f t="shared" si="3"/>
        <v>3</v>
      </c>
      <c r="AR48" s="99">
        <f t="shared" si="4"/>
        <v>5</v>
      </c>
      <c r="AS48" s="219">
        <f t="shared" si="5"/>
        <v>10</v>
      </c>
      <c r="AT48" s="289">
        <f t="shared" si="6"/>
        <v>1</v>
      </c>
      <c r="AU48" s="99">
        <f t="shared" si="7"/>
        <v>-5</v>
      </c>
      <c r="AV48" s="291">
        <f t="shared" si="8"/>
        <v>5</v>
      </c>
      <c r="AW48" s="286">
        <f t="shared" si="9"/>
        <v>1</v>
      </c>
      <c r="AX48" s="99">
        <f t="shared" si="10"/>
        <v>-8</v>
      </c>
      <c r="AY48" s="291">
        <f t="shared" si="11"/>
        <v>1</v>
      </c>
      <c r="AZ48" s="286">
        <f t="shared" si="17"/>
        <v>5</v>
      </c>
      <c r="BA48" s="99">
        <f t="shared" si="12"/>
        <v>-8</v>
      </c>
      <c r="BB48" s="291">
        <f t="shared" si="13"/>
        <v>16</v>
      </c>
      <c r="BC48" s="41">
        <f t="shared" si="14"/>
        <v>-8</v>
      </c>
      <c r="BD48" s="57">
        <f t="shared" si="15"/>
        <v>0</v>
      </c>
      <c r="BE48" s="363">
        <f t="shared" si="16"/>
        <v>23.078400479999999</v>
      </c>
      <c r="BF48" s="99">
        <f>IF(AP48="","",SMALL(BE$9:BE$62,ROWS(AZ$9:AZ48)))</f>
        <v>39.168800280000006</v>
      </c>
      <c r="BG48" s="88"/>
      <c r="BH48" s="95" t="str">
        <f>IF(OR(AP48="",AZ48=""),"",INDEX($AP$9:$AP$63,MATCH(BF48,$BE$9:BE$62,0)))</f>
        <v>B2</v>
      </c>
      <c r="BI48" s="294">
        <f t="shared" si="18"/>
        <v>3</v>
      </c>
      <c r="BJ48" s="7">
        <f t="shared" si="19"/>
        <v>-17</v>
      </c>
      <c r="BK48" s="7">
        <f t="shared" si="20"/>
        <v>12</v>
      </c>
      <c r="BL48" s="280">
        <f>IF(BF48="","",IF(AND(BI47=BI48,BJ47=BJ48,BK47=BK48),BL47,$BL$9+39))</f>
        <v>40</v>
      </c>
      <c r="BM48" s="29"/>
      <c r="BN48" s="262"/>
    </row>
    <row r="49" spans="1:66" ht="16.5" thickBo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P49" s="23"/>
      <c r="Q49" s="23"/>
      <c r="R49" s="23"/>
      <c r="S49" s="23"/>
      <c r="T49" s="23"/>
      <c r="U49" s="23"/>
      <c r="V49" s="23"/>
      <c r="W49" s="23"/>
      <c r="X49" s="23"/>
      <c r="Y49" s="448"/>
      <c r="Z49" s="16" t="str">
        <f>+Q19</f>
        <v>C10</v>
      </c>
      <c r="AA49" s="17">
        <f>IF(ISTEXT(Z49),AA47,0)</f>
        <v>8</v>
      </c>
      <c r="AB49" s="18">
        <f>IF(ISTEXT(Z49),AB47,0)</f>
        <v>1</v>
      </c>
      <c r="AC49" s="19">
        <f>IF(ISTEXT(Z49),AC47,0)</f>
        <v>-2</v>
      </c>
      <c r="AD49" s="9"/>
      <c r="AE49" s="16" t="str">
        <f>+T19</f>
        <v>C13</v>
      </c>
      <c r="AF49" s="17">
        <f>IF(ISTEXT(AE49),AF47,0)</f>
        <v>10</v>
      </c>
      <c r="AG49" s="18">
        <f>IF(ISTEXT(AE49),AG47,0)</f>
        <v>3</v>
      </c>
      <c r="AH49" s="19">
        <f>IF(ISTEXT(AE49),AH47,0)</f>
        <v>4</v>
      </c>
      <c r="AI49" s="9"/>
      <c r="AJ49" s="16" t="str">
        <f>+W19</f>
        <v>C1</v>
      </c>
      <c r="AK49" s="17">
        <f>IF(ISTEXT(AJ49),AK47,0)</f>
        <v>9</v>
      </c>
      <c r="AL49" s="18">
        <f>IF(ISTEXT(AJ49),AL47,0)</f>
        <v>3</v>
      </c>
      <c r="AM49" s="19">
        <f>IF(ISTEXT(AJ49),AM47,0)</f>
        <v>4</v>
      </c>
      <c r="AN49" s="23"/>
      <c r="AO49" s="54">
        <v>41</v>
      </c>
      <c r="AP49" s="323" t="str">
        <f>+Inscrits!F7</f>
        <v>C5</v>
      </c>
      <c r="AQ49" s="286">
        <f t="shared" si="3"/>
        <v>1</v>
      </c>
      <c r="AR49" s="99">
        <f t="shared" si="4"/>
        <v>-7</v>
      </c>
      <c r="AS49" s="219">
        <f t="shared" si="5"/>
        <v>2</v>
      </c>
      <c r="AT49" s="289">
        <f t="shared" si="6"/>
        <v>3</v>
      </c>
      <c r="AU49" s="99">
        <f t="shared" si="7"/>
        <v>5</v>
      </c>
      <c r="AV49" s="291">
        <f t="shared" si="8"/>
        <v>10</v>
      </c>
      <c r="AW49" s="286">
        <f t="shared" si="9"/>
        <v>3</v>
      </c>
      <c r="AX49" s="99">
        <f t="shared" si="10"/>
        <v>11</v>
      </c>
      <c r="AY49" s="291">
        <f t="shared" si="11"/>
        <v>13</v>
      </c>
      <c r="AZ49" s="286">
        <f t="shared" si="17"/>
        <v>7</v>
      </c>
      <c r="BA49" s="99">
        <f t="shared" si="12"/>
        <v>9</v>
      </c>
      <c r="BB49" s="291">
        <f t="shared" si="13"/>
        <v>25</v>
      </c>
      <c r="BC49" s="41">
        <f t="shared" si="14"/>
        <v>0</v>
      </c>
      <c r="BD49" s="57">
        <f t="shared" si="15"/>
        <v>9</v>
      </c>
      <c r="BE49" s="363">
        <f t="shared" si="16"/>
        <v>6.9075004899999994</v>
      </c>
      <c r="BF49" s="99">
        <f>IF(AP49="","",SMALL(BE$9:BE$62,ROWS(AZ$9:AZ49)))</f>
        <v>39.178800460000005</v>
      </c>
      <c r="BG49" s="88"/>
      <c r="BH49" s="95" t="str">
        <f>IF(OR(AP49="",AZ49=""),"",INDEX($AP$9:$AP$63,MATCH(BF49,$BE$9:BE$62,0)))</f>
        <v>C2</v>
      </c>
      <c r="BI49" s="294">
        <f t="shared" si="18"/>
        <v>3</v>
      </c>
      <c r="BJ49" s="7">
        <f t="shared" si="19"/>
        <v>-18</v>
      </c>
      <c r="BK49" s="7">
        <f t="shared" si="20"/>
        <v>12</v>
      </c>
      <c r="BL49" s="280">
        <f>IF(BF49="","",IF(AND(BI48=BI49,BJ48=BJ49,BK48=BK49),BL48,$BL$9+40))</f>
        <v>41</v>
      </c>
      <c r="BM49" s="29"/>
      <c r="BN49" s="262"/>
    </row>
    <row r="50" spans="1:66" ht="16.5" thickBo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P50" s="23"/>
      <c r="Q50" s="23"/>
      <c r="R50" s="23"/>
      <c r="S50" s="23"/>
      <c r="T50" s="23"/>
      <c r="U50" s="23"/>
      <c r="V50" s="23"/>
      <c r="W50" s="23"/>
      <c r="X50" s="23"/>
      <c r="Y50" s="128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23"/>
      <c r="AO50" s="54">
        <v>42</v>
      </c>
      <c r="AP50" s="323" t="str">
        <f>+Inscrits!F8</f>
        <v>C6</v>
      </c>
      <c r="AQ50" s="286">
        <f t="shared" si="3"/>
        <v>3</v>
      </c>
      <c r="AR50" s="99">
        <f t="shared" si="4"/>
        <v>7</v>
      </c>
      <c r="AS50" s="219">
        <f t="shared" si="5"/>
        <v>9</v>
      </c>
      <c r="AT50" s="289">
        <f t="shared" si="6"/>
        <v>1</v>
      </c>
      <c r="AU50" s="99">
        <f t="shared" si="7"/>
        <v>-7</v>
      </c>
      <c r="AV50" s="291">
        <f t="shared" si="8"/>
        <v>5</v>
      </c>
      <c r="AW50" s="286">
        <f t="shared" si="9"/>
        <v>1</v>
      </c>
      <c r="AX50" s="99">
        <f t="shared" si="10"/>
        <v>-11</v>
      </c>
      <c r="AY50" s="291">
        <f t="shared" si="11"/>
        <v>2</v>
      </c>
      <c r="AZ50" s="286">
        <f t="shared" si="17"/>
        <v>5</v>
      </c>
      <c r="BA50" s="99">
        <f t="shared" si="12"/>
        <v>-11</v>
      </c>
      <c r="BB50" s="291">
        <f t="shared" si="13"/>
        <v>16</v>
      </c>
      <c r="BC50" s="41">
        <f t="shared" si="14"/>
        <v>-11</v>
      </c>
      <c r="BD50" s="57">
        <f t="shared" si="15"/>
        <v>0</v>
      </c>
      <c r="BE50" s="363">
        <f t="shared" si="16"/>
        <v>23.108400499999998</v>
      </c>
      <c r="BF50" s="99">
        <f>IF(AP50="","",SMALL(BE$9:BE$62,ROWS(AZ$9:AZ50)))</f>
        <v>39.189000550000003</v>
      </c>
      <c r="BG50" s="88"/>
      <c r="BH50" s="95" t="str">
        <f>IF(OR(AP50="",AZ50=""),"",INDEX($AP$9:$AP$63,MATCH(BF50,$BE$9:BE$62,0)))</f>
        <v>C11</v>
      </c>
      <c r="BI50" s="294">
        <f t="shared" si="18"/>
        <v>3</v>
      </c>
      <c r="BJ50" s="7">
        <f t="shared" si="19"/>
        <v>-19</v>
      </c>
      <c r="BK50" s="7">
        <f t="shared" si="20"/>
        <v>10</v>
      </c>
      <c r="BL50" s="280">
        <f>IF(BF50="","",IF(AND(BI49=BI50,BJ49=BJ50,BK49=BK50),BL49,$BL$9+41))</f>
        <v>42</v>
      </c>
      <c r="BM50" s="29"/>
      <c r="BN50" s="262"/>
    </row>
    <row r="51" spans="1:66" ht="15.7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P51" s="23"/>
      <c r="Q51" s="23"/>
      <c r="R51" s="23"/>
      <c r="S51" s="23"/>
      <c r="T51" s="23"/>
      <c r="U51" s="23"/>
      <c r="V51" s="23"/>
      <c r="W51" s="23"/>
      <c r="X51" s="23"/>
      <c r="Y51" s="446">
        <v>6</v>
      </c>
      <c r="Z51" s="12" t="str">
        <f>+O20</f>
        <v>A11</v>
      </c>
      <c r="AA51" s="33">
        <v>1</v>
      </c>
      <c r="AB51" s="48">
        <f>IF(AA51+AA55=0,0,IF(AA51=AA55,2,IF(AA51&gt;AA55,3,1)))</f>
        <v>1</v>
      </c>
      <c r="AC51" s="13">
        <f>AA51-AA55</f>
        <v>-9</v>
      </c>
      <c r="AD51" s="9"/>
      <c r="AE51" s="12" t="str">
        <f>+R20</f>
        <v>A12</v>
      </c>
      <c r="AF51" s="126">
        <v>1</v>
      </c>
      <c r="AG51" s="48">
        <f>IF(AF51+AF55=0,0,IF(AF51=AF55,2,IF(AF51&gt;AF55,3,1)))</f>
        <v>1</v>
      </c>
      <c r="AH51" s="13">
        <f>AF51-AF55</f>
        <v>-6</v>
      </c>
      <c r="AI51" s="9"/>
      <c r="AJ51" s="12" t="str">
        <f>+U20</f>
        <v>A13</v>
      </c>
      <c r="AK51" s="36">
        <v>5</v>
      </c>
      <c r="AL51" s="48">
        <f>IF(AK51+AK55=0,0,IF(AK51=AK55,2,IF(AK51&gt;AK55,3,1)))</f>
        <v>1</v>
      </c>
      <c r="AM51" s="13">
        <f>AK51-AK55</f>
        <v>-3</v>
      </c>
      <c r="AN51" s="23"/>
      <c r="AO51" s="54">
        <v>43</v>
      </c>
      <c r="AP51" s="323" t="str">
        <f>+Inscrits!F9</f>
        <v>C7</v>
      </c>
      <c r="AQ51" s="286">
        <f t="shared" si="3"/>
        <v>1</v>
      </c>
      <c r="AR51" s="99">
        <f t="shared" si="4"/>
        <v>-11</v>
      </c>
      <c r="AS51" s="219">
        <f t="shared" si="5"/>
        <v>1</v>
      </c>
      <c r="AT51" s="289">
        <f t="shared" si="6"/>
        <v>3</v>
      </c>
      <c r="AU51" s="99">
        <f t="shared" si="7"/>
        <v>7</v>
      </c>
      <c r="AV51" s="291">
        <f t="shared" si="8"/>
        <v>12</v>
      </c>
      <c r="AW51" s="286">
        <f t="shared" si="9"/>
        <v>1</v>
      </c>
      <c r="AX51" s="99">
        <f t="shared" si="10"/>
        <v>-1</v>
      </c>
      <c r="AY51" s="291">
        <f t="shared" si="11"/>
        <v>4</v>
      </c>
      <c r="AZ51" s="286">
        <f t="shared" si="17"/>
        <v>5</v>
      </c>
      <c r="BA51" s="99">
        <f t="shared" si="12"/>
        <v>-5</v>
      </c>
      <c r="BB51" s="291">
        <f t="shared" si="13"/>
        <v>17</v>
      </c>
      <c r="BC51" s="41">
        <f t="shared" si="14"/>
        <v>-5</v>
      </c>
      <c r="BD51" s="57">
        <f t="shared" si="15"/>
        <v>0</v>
      </c>
      <c r="BE51" s="363">
        <f t="shared" si="16"/>
        <v>23.048300510000001</v>
      </c>
      <c r="BF51" s="99">
        <f>IF(AP51="","",SMALL(BE$9:BE$62,ROWS(AZ$9:AZ51)))</f>
        <v>39.189300389999993</v>
      </c>
      <c r="BG51" s="88"/>
      <c r="BH51" s="95" t="str">
        <f>IF(OR(AP51="",AZ51=""),"",INDEX($AP$9:$AP$63,MATCH(BF51,$BE$9:BE$62,0)))</f>
        <v>B13</v>
      </c>
      <c r="BI51" s="294">
        <f t="shared" si="18"/>
        <v>3</v>
      </c>
      <c r="BJ51" s="7">
        <f t="shared" si="19"/>
        <v>-19</v>
      </c>
      <c r="BK51" s="7">
        <f t="shared" si="20"/>
        <v>7</v>
      </c>
      <c r="BL51" s="280">
        <f>IF(BF51="","",IF(AND(BI50=BI51,BJ50=BJ51,BK50=BK51),BL50,$BL$9+42))</f>
        <v>43</v>
      </c>
      <c r="BM51" s="29"/>
      <c r="BN51" s="262"/>
    </row>
    <row r="52" spans="1:66" ht="16.5" thickBo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P52" s="23"/>
      <c r="Q52" s="23"/>
      <c r="R52" s="23"/>
      <c r="S52" s="23"/>
      <c r="T52" s="23"/>
      <c r="U52" s="23"/>
      <c r="V52" s="23"/>
      <c r="W52" s="23"/>
      <c r="X52" s="23"/>
      <c r="Y52" s="447"/>
      <c r="Z52" s="14" t="str">
        <f>+P20</f>
        <v>B11</v>
      </c>
      <c r="AA52" s="17">
        <f>IF(ISTEXT(Z52),AA51,0)</f>
        <v>1</v>
      </c>
      <c r="AB52" s="18">
        <f>IF(ISTEXT(Z52),AB51,0)</f>
        <v>1</v>
      </c>
      <c r="AC52" s="19">
        <f>IF(ISTEXT(Z52),AC51,0)</f>
        <v>-9</v>
      </c>
      <c r="AD52" s="9"/>
      <c r="AE52" s="14" t="str">
        <f>+S20</f>
        <v>B13</v>
      </c>
      <c r="AF52" s="17">
        <f>IF(ISTEXT(AE52),AF51,0)</f>
        <v>1</v>
      </c>
      <c r="AG52" s="59">
        <f>IF(ISTEXT(AE52),AG51,0)</f>
        <v>1</v>
      </c>
      <c r="AH52" s="19">
        <f>IF(ISTEXT(AE52),AH51,0)</f>
        <v>-6</v>
      </c>
      <c r="AI52" s="9"/>
      <c r="AJ52" s="14" t="str">
        <f>+V20</f>
        <v>B2</v>
      </c>
      <c r="AK52" s="17">
        <f>IF(ISTEXT(AJ52),AK51,0)</f>
        <v>5</v>
      </c>
      <c r="AL52" s="59">
        <f>IF(ISTEXT(AJ52),AL51,0)</f>
        <v>1</v>
      </c>
      <c r="AM52" s="19">
        <f>IF(ISTEXT(AJ52),AM51,0)</f>
        <v>-3</v>
      </c>
      <c r="AN52" s="23"/>
      <c r="AO52" s="54">
        <v>44</v>
      </c>
      <c r="AP52" s="323" t="str">
        <f>+Inscrits!F10</f>
        <v>C8</v>
      </c>
      <c r="AQ52" s="286">
        <f t="shared" si="3"/>
        <v>3</v>
      </c>
      <c r="AR52" s="99">
        <f t="shared" si="4"/>
        <v>11</v>
      </c>
      <c r="AS52" s="219">
        <f t="shared" si="5"/>
        <v>12</v>
      </c>
      <c r="AT52" s="289">
        <f t="shared" si="6"/>
        <v>3</v>
      </c>
      <c r="AU52" s="99">
        <f t="shared" si="7"/>
        <v>8</v>
      </c>
      <c r="AV52" s="291">
        <f t="shared" si="8"/>
        <v>9</v>
      </c>
      <c r="AW52" s="286">
        <f t="shared" si="9"/>
        <v>3</v>
      </c>
      <c r="AX52" s="99">
        <f t="shared" si="10"/>
        <v>1</v>
      </c>
      <c r="AY52" s="291">
        <f t="shared" si="11"/>
        <v>5</v>
      </c>
      <c r="AZ52" s="286">
        <f t="shared" si="17"/>
        <v>9</v>
      </c>
      <c r="BA52" s="99">
        <f t="shared" si="12"/>
        <v>20</v>
      </c>
      <c r="BB52" s="291">
        <f t="shared" si="13"/>
        <v>26</v>
      </c>
      <c r="BC52" s="41">
        <f t="shared" si="14"/>
        <v>0</v>
      </c>
      <c r="BD52" s="57">
        <f t="shared" si="15"/>
        <v>20</v>
      </c>
      <c r="BE52" s="363">
        <f t="shared" si="16"/>
        <v>0.79740051999999995</v>
      </c>
      <c r="BF52" s="99">
        <f>IF(AP52="","",SMALL(BE$9:BE$62,ROWS(AZ$9:AZ52)))</f>
        <v>39.199300149999999</v>
      </c>
      <c r="BG52" s="88"/>
      <c r="BH52" s="95" t="str">
        <f>IF(OR(AP52="",AZ52=""),"",INDEX($AP$9:$AP$63,MATCH(BF52,$BE$9:BE$62,0)))</f>
        <v>A7</v>
      </c>
      <c r="BI52" s="294">
        <f t="shared" si="18"/>
        <v>3</v>
      </c>
      <c r="BJ52" s="7">
        <f t="shared" si="19"/>
        <v>-20</v>
      </c>
      <c r="BK52" s="7">
        <f t="shared" si="20"/>
        <v>7</v>
      </c>
      <c r="BL52" s="280">
        <f>IF(BF52="","",IF(AND(BI51=BI52,BJ51=BJ52,BK51=BK52),BL51,$BL$9+43))</f>
        <v>44</v>
      </c>
      <c r="BM52" s="29"/>
      <c r="BN52" s="262"/>
    </row>
    <row r="53" spans="1:66" ht="15.7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P53" s="23"/>
      <c r="Q53" s="23"/>
      <c r="R53" s="23"/>
      <c r="S53" s="23"/>
      <c r="T53" s="23"/>
      <c r="U53" s="23"/>
      <c r="V53" s="23"/>
      <c r="W53" s="23"/>
      <c r="X53" s="23"/>
      <c r="Y53" s="447"/>
      <c r="Z53" s="14" t="str">
        <f>+Q20</f>
        <v>C11</v>
      </c>
      <c r="AA53" s="71">
        <f>IF(ISTEXT(Z53),AA51,0)</f>
        <v>1</v>
      </c>
      <c r="AB53" s="67">
        <f>IF(ISTEXT(Z53),AB51,0)</f>
        <v>1</v>
      </c>
      <c r="AC53" s="72">
        <f>IF(ISTEXT(Z53),AC51,0)</f>
        <v>-9</v>
      </c>
      <c r="AD53" s="9"/>
      <c r="AE53" s="14" t="str">
        <f>+T20</f>
        <v>C14</v>
      </c>
      <c r="AF53" s="71">
        <f>IF(ISTEXT(AE53),AF51,0)</f>
        <v>1</v>
      </c>
      <c r="AG53" s="64">
        <f>IF(ISTEXT(AE53),AG51,0)</f>
        <v>1</v>
      </c>
      <c r="AH53" s="72">
        <f>IF(ISTEXT(AE53),AH51,0)</f>
        <v>-6</v>
      </c>
      <c r="AI53" s="9"/>
      <c r="AJ53" s="14" t="str">
        <f>+W20</f>
        <v>C2</v>
      </c>
      <c r="AK53" s="71">
        <f>IF(ISTEXT(AJ53),AK51,0)</f>
        <v>5</v>
      </c>
      <c r="AL53" s="64">
        <f>IF(ISTEXT(AJ53),AL51,0)</f>
        <v>1</v>
      </c>
      <c r="AM53" s="72">
        <f>IF(ISTEXT(AJ53),AM51,0)</f>
        <v>-3</v>
      </c>
      <c r="AN53" s="23"/>
      <c r="AO53" s="54">
        <v>45</v>
      </c>
      <c r="AP53" s="323" t="str">
        <f>+Inscrits!F11</f>
        <v>C9</v>
      </c>
      <c r="AQ53" s="286">
        <f t="shared" si="3"/>
        <v>3</v>
      </c>
      <c r="AR53" s="99">
        <f t="shared" si="4"/>
        <v>2</v>
      </c>
      <c r="AS53" s="219">
        <f t="shared" si="5"/>
        <v>10</v>
      </c>
      <c r="AT53" s="289">
        <f t="shared" si="6"/>
        <v>1</v>
      </c>
      <c r="AU53" s="99">
        <f t="shared" si="7"/>
        <v>-8</v>
      </c>
      <c r="AV53" s="291">
        <f t="shared" si="8"/>
        <v>1</v>
      </c>
      <c r="AW53" s="286">
        <f t="shared" si="9"/>
        <v>3</v>
      </c>
      <c r="AX53" s="99">
        <f t="shared" si="10"/>
        <v>4</v>
      </c>
      <c r="AY53" s="291">
        <f t="shared" si="11"/>
        <v>13</v>
      </c>
      <c r="AZ53" s="286">
        <f t="shared" si="17"/>
        <v>7</v>
      </c>
      <c r="BA53" s="99">
        <f t="shared" si="12"/>
        <v>-2</v>
      </c>
      <c r="BB53" s="291">
        <f t="shared" si="13"/>
        <v>24</v>
      </c>
      <c r="BC53" s="41">
        <f t="shared" si="14"/>
        <v>-2</v>
      </c>
      <c r="BD53" s="57">
        <f t="shared" si="15"/>
        <v>0</v>
      </c>
      <c r="BE53" s="363">
        <f t="shared" si="16"/>
        <v>7.0176005300000002</v>
      </c>
      <c r="BF53" s="99">
        <f>IF(AP53="","",SMALL(BE$9:BE$62,ROWS(AZ$9:AZ53)))</f>
        <v>39.209200370000005</v>
      </c>
      <c r="BG53" s="88"/>
      <c r="BH53" s="95" t="str">
        <f>IF(OR(AP53="",AZ53=""),"",INDEX($AP$9:$AP$63,MATCH(BF53,$BE$9:BE$62,0)))</f>
        <v>B11</v>
      </c>
      <c r="BI53" s="294">
        <f t="shared" si="18"/>
        <v>3</v>
      </c>
      <c r="BJ53" s="7">
        <f t="shared" si="19"/>
        <v>-21</v>
      </c>
      <c r="BK53" s="7">
        <f t="shared" si="20"/>
        <v>8</v>
      </c>
      <c r="BL53" s="280">
        <f>IF(BF53="","",IF(AND(BI52=BI53,BJ52=BJ53,BK52=BK53),BL52,$BL$9+44))</f>
        <v>45</v>
      </c>
      <c r="BM53" s="29"/>
      <c r="BN53" s="262"/>
    </row>
    <row r="54" spans="1:66" ht="15.7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P54" s="23"/>
      <c r="Q54" s="23"/>
      <c r="R54" s="23"/>
      <c r="S54" s="23"/>
      <c r="T54" s="23"/>
      <c r="U54" s="23"/>
      <c r="V54" s="23"/>
      <c r="W54" s="23"/>
      <c r="X54" s="23"/>
      <c r="Y54" s="447"/>
      <c r="Z54" s="32"/>
      <c r="AA54" s="21" t="s">
        <v>5</v>
      </c>
      <c r="AB54" s="21"/>
      <c r="AC54" s="22"/>
      <c r="AD54" s="1"/>
      <c r="AE54" s="32"/>
      <c r="AF54" s="21" t="s">
        <v>5</v>
      </c>
      <c r="AG54" s="21"/>
      <c r="AH54" s="22"/>
      <c r="AI54" s="1"/>
      <c r="AJ54" s="32"/>
      <c r="AK54" s="21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>
        <f t="shared" si="3"/>
        <v>1</v>
      </c>
      <c r="AR54" s="99">
        <f t="shared" si="4"/>
        <v>-2</v>
      </c>
      <c r="AS54" s="219">
        <f t="shared" si="5"/>
        <v>8</v>
      </c>
      <c r="AT54" s="289">
        <f t="shared" si="6"/>
        <v>3</v>
      </c>
      <c r="AU54" s="99">
        <f t="shared" si="7"/>
        <v>9</v>
      </c>
      <c r="AV54" s="291">
        <f t="shared" si="8"/>
        <v>13</v>
      </c>
      <c r="AW54" s="286">
        <f t="shared" si="9"/>
        <v>1</v>
      </c>
      <c r="AX54" s="99">
        <f t="shared" si="10"/>
        <v>-4</v>
      </c>
      <c r="AY54" s="291">
        <f t="shared" si="11"/>
        <v>9</v>
      </c>
      <c r="AZ54" s="286">
        <f t="shared" si="17"/>
        <v>5</v>
      </c>
      <c r="BA54" s="99">
        <f t="shared" si="12"/>
        <v>3</v>
      </c>
      <c r="BB54" s="291">
        <f t="shared" si="13"/>
        <v>30</v>
      </c>
      <c r="BC54" s="41">
        <f t="shared" si="14"/>
        <v>0</v>
      </c>
      <c r="BD54" s="57">
        <f t="shared" si="15"/>
        <v>3</v>
      </c>
      <c r="BE54" s="363">
        <f t="shared" si="16"/>
        <v>22.967000539999997</v>
      </c>
      <c r="BF54" s="99">
        <f>IF(AP54="","",SMALL(BE$9:BE$62,ROWS(AZ$9:AZ54)))</f>
        <v>46.000000239999999</v>
      </c>
      <c r="BG54" s="88"/>
      <c r="BH54" s="95" t="str">
        <f>IF(OR(AP54="",AZ54=""),"",INDEX($AP$9:$AP$63,MATCH(BF54,$BE$9:BE$62,0)))</f>
        <v>A16</v>
      </c>
      <c r="BI54" s="294">
        <f t="shared" si="18"/>
        <v>0</v>
      </c>
      <c r="BJ54" s="7">
        <f t="shared" si="19"/>
        <v>0</v>
      </c>
      <c r="BK54" s="7">
        <f t="shared" si="20"/>
        <v>0</v>
      </c>
      <c r="BL54" s="280">
        <f>IF(BF54="","",IF(AND(BI53=BI54,BJ53=BJ54,BK53=BK54),BL53,$BL$9+45))</f>
        <v>46</v>
      </c>
      <c r="BM54" s="29"/>
      <c r="BN54" s="262"/>
    </row>
    <row r="55" spans="1:66" ht="15.7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P55" s="23"/>
      <c r="Q55" s="23"/>
      <c r="R55" s="23"/>
      <c r="S55" s="23"/>
      <c r="T55" s="23"/>
      <c r="U55" s="23"/>
      <c r="V55" s="23"/>
      <c r="W55" s="23"/>
      <c r="X55" s="23"/>
      <c r="Y55" s="447"/>
      <c r="Z55" s="14" t="str">
        <f>+O21</f>
        <v>A12</v>
      </c>
      <c r="AA55" s="35">
        <v>10</v>
      </c>
      <c r="AB55" s="30">
        <f>IF(AA51+AA55=0,0,IF(AA51=AA55,2,IF(AA51&lt;AA55,3,1)))</f>
        <v>3</v>
      </c>
      <c r="AC55" s="15">
        <f>AA55-AA51</f>
        <v>9</v>
      </c>
      <c r="AD55" s="9"/>
      <c r="AE55" s="14" t="str">
        <f>+R21</f>
        <v>A13</v>
      </c>
      <c r="AF55" s="127">
        <v>7</v>
      </c>
      <c r="AG55" s="30">
        <f>IF(AF51+AF55=0,0,IF(AF51=AF55,2,IF(AF51&lt;AF55,3,1)))</f>
        <v>3</v>
      </c>
      <c r="AH55" s="15">
        <f>AF55-AF51</f>
        <v>6</v>
      </c>
      <c r="AI55" s="9"/>
      <c r="AJ55" s="14" t="str">
        <f>+U21</f>
        <v>A14</v>
      </c>
      <c r="AK55" s="37">
        <v>8</v>
      </c>
      <c r="AL55" s="30">
        <f>IF(AK51+AK55=0,0,IF(AK51=AK55,2,IF(AK51&lt;AK55,3,1)))</f>
        <v>3</v>
      </c>
      <c r="AM55" s="15">
        <f>AK55-AK51</f>
        <v>3</v>
      </c>
      <c r="AN55" s="23"/>
      <c r="AO55" s="54">
        <v>47</v>
      </c>
      <c r="AP55" s="323" t="str">
        <f>+Inscrits!F13</f>
        <v>C11</v>
      </c>
      <c r="AQ55" s="286">
        <f t="shared" si="3"/>
        <v>1</v>
      </c>
      <c r="AR55" s="99">
        <f t="shared" si="4"/>
        <v>-9</v>
      </c>
      <c r="AS55" s="219">
        <f t="shared" si="5"/>
        <v>1</v>
      </c>
      <c r="AT55" s="289">
        <f t="shared" si="6"/>
        <v>1</v>
      </c>
      <c r="AU55" s="99">
        <f t="shared" si="7"/>
        <v>-9</v>
      </c>
      <c r="AV55" s="291">
        <f t="shared" si="8"/>
        <v>4</v>
      </c>
      <c r="AW55" s="286">
        <f t="shared" si="9"/>
        <v>1</v>
      </c>
      <c r="AX55" s="99">
        <f t="shared" si="10"/>
        <v>-1</v>
      </c>
      <c r="AY55" s="291">
        <f t="shared" si="11"/>
        <v>5</v>
      </c>
      <c r="AZ55" s="286">
        <f t="shared" si="17"/>
        <v>3</v>
      </c>
      <c r="BA55" s="99">
        <f t="shared" si="12"/>
        <v>-19</v>
      </c>
      <c r="BB55" s="291">
        <f t="shared" si="13"/>
        <v>10</v>
      </c>
      <c r="BC55" s="41">
        <f t="shared" si="14"/>
        <v>-19</v>
      </c>
      <c r="BD55" s="57">
        <f t="shared" si="15"/>
        <v>0</v>
      </c>
      <c r="BE55" s="363">
        <f t="shared" si="16"/>
        <v>39.189000550000003</v>
      </c>
      <c r="BF55" s="99">
        <f>IF(AP55="","",SMALL(BE$9:BE$62,ROWS(AZ$9:AZ55)))</f>
        <v>46.000000249999999</v>
      </c>
      <c r="BG55" s="88"/>
      <c r="BH55" s="95" t="str">
        <f>IF(OR(AP55="",AZ55=""),"",INDEX($AP$9:$AP$63,MATCH(BF55,$BE$9:BE$62,0)))</f>
        <v>A17</v>
      </c>
      <c r="BI55" s="294">
        <f t="shared" si="18"/>
        <v>0</v>
      </c>
      <c r="BJ55" s="7">
        <f t="shared" si="19"/>
        <v>0</v>
      </c>
      <c r="BK55" s="7">
        <f t="shared" si="20"/>
        <v>0</v>
      </c>
      <c r="BL55" s="280">
        <f>IF(BF55="","",IF(AND(BI54=BI55,BJ54=BJ55,BK54=BK55),BL54,$BL$9+46))</f>
        <v>46</v>
      </c>
      <c r="BM55" s="29"/>
      <c r="BN55" s="262"/>
    </row>
    <row r="56" spans="1:66" ht="16.5" thickBot="1">
      <c r="A56" s="128"/>
      <c r="B56" s="23"/>
      <c r="C56" s="23"/>
      <c r="D56" s="23"/>
      <c r="E56" s="23"/>
      <c r="F56" s="23"/>
      <c r="G56" s="23"/>
      <c r="H56" s="23"/>
      <c r="I56" s="25"/>
      <c r="J56" s="128"/>
      <c r="K56" s="128"/>
      <c r="L56" s="128"/>
      <c r="P56" s="23"/>
      <c r="Q56" s="128"/>
      <c r="R56" s="29"/>
      <c r="S56" s="23"/>
      <c r="T56" s="23"/>
      <c r="U56" s="23"/>
      <c r="V56" s="23"/>
      <c r="W56" s="23"/>
      <c r="X56" s="23"/>
      <c r="Y56" s="447"/>
      <c r="Z56" s="14" t="str">
        <f>+P21</f>
        <v>B12</v>
      </c>
      <c r="AA56" s="17">
        <f>IF(ISTEXT(Z56),AA55,0)</f>
        <v>10</v>
      </c>
      <c r="AB56" s="18">
        <f>IF(ISTEXT(Z56),AB55,0)</f>
        <v>3</v>
      </c>
      <c r="AC56" s="19">
        <f>IF(ISTEXT(Z56),AC55,0)</f>
        <v>9</v>
      </c>
      <c r="AD56" s="9"/>
      <c r="AE56" s="14" t="str">
        <f>+S21</f>
        <v>B14</v>
      </c>
      <c r="AF56" s="17">
        <f>IF(ISTEXT(AE56),AF55,0)</f>
        <v>7</v>
      </c>
      <c r="AG56" s="18">
        <f>IF(ISTEXT(AE56),AG55,0)</f>
        <v>3</v>
      </c>
      <c r="AH56" s="19">
        <f>IF(ISTEXT(AE56),AH55,0)</f>
        <v>6</v>
      </c>
      <c r="AI56" s="9"/>
      <c r="AJ56" s="14" t="str">
        <f>+V21</f>
        <v>B1</v>
      </c>
      <c r="AK56" s="17">
        <f>IF(ISTEXT(AJ56),AK55,0)</f>
        <v>8</v>
      </c>
      <c r="AL56" s="18">
        <f>IF(ISTEXT(AJ56),AL55,0)</f>
        <v>3</v>
      </c>
      <c r="AM56" s="19">
        <f>IF(ISTEXT(AJ56),AM55,0)</f>
        <v>3</v>
      </c>
      <c r="AN56" s="23"/>
      <c r="AO56" s="54">
        <v>48</v>
      </c>
      <c r="AP56" s="323" t="str">
        <f>+Inscrits!F14</f>
        <v>C12</v>
      </c>
      <c r="AQ56" s="286">
        <f t="shared" si="3"/>
        <v>3</v>
      </c>
      <c r="AR56" s="99">
        <f t="shared" si="4"/>
        <v>9</v>
      </c>
      <c r="AS56" s="219">
        <f t="shared" si="5"/>
        <v>10</v>
      </c>
      <c r="AT56" s="289">
        <f t="shared" si="6"/>
        <v>1</v>
      </c>
      <c r="AU56" s="99">
        <f t="shared" si="7"/>
        <v>-4</v>
      </c>
      <c r="AV56" s="291">
        <f t="shared" si="8"/>
        <v>6</v>
      </c>
      <c r="AW56" s="286">
        <f t="shared" si="9"/>
        <v>3</v>
      </c>
      <c r="AX56" s="99">
        <f t="shared" si="10"/>
        <v>1</v>
      </c>
      <c r="AY56" s="291">
        <f t="shared" si="11"/>
        <v>6</v>
      </c>
      <c r="AZ56" s="286">
        <f t="shared" si="17"/>
        <v>7</v>
      </c>
      <c r="BA56" s="99">
        <f t="shared" si="12"/>
        <v>6</v>
      </c>
      <c r="BB56" s="291">
        <f t="shared" si="13"/>
        <v>22</v>
      </c>
      <c r="BC56" s="41">
        <f t="shared" si="14"/>
        <v>0</v>
      </c>
      <c r="BD56" s="57">
        <f t="shared" si="15"/>
        <v>6</v>
      </c>
      <c r="BE56" s="363">
        <f t="shared" si="16"/>
        <v>6.9378005600000003</v>
      </c>
      <c r="BF56" s="99">
        <f>IF(AP56="","",SMALL(BE$9:BE$62,ROWS(AZ$9:AZ56)))</f>
        <v>46.00000026</v>
      </c>
      <c r="BG56" s="88"/>
      <c r="BH56" s="95" t="str">
        <f>IF(OR(AP56="",AZ56=""),"",INDEX($AP$9:$AP$63,MATCH(BF56,$BE$9:BE$62,0)))</f>
        <v>A18</v>
      </c>
      <c r="BI56" s="294">
        <f t="shared" si="18"/>
        <v>0</v>
      </c>
      <c r="BJ56" s="7">
        <f t="shared" si="19"/>
        <v>0</v>
      </c>
      <c r="BK56" s="7">
        <f t="shared" si="20"/>
        <v>0</v>
      </c>
      <c r="BL56" s="280">
        <f>IF(BF56="","",IF(AND(BI55=BI56,BJ55=BJ56,BK55=BK56),BL55,$BL$9+47))</f>
        <v>46</v>
      </c>
      <c r="BM56" s="29"/>
      <c r="BN56" s="262"/>
    </row>
    <row r="57" spans="1:66" ht="16.5" thickBot="1">
      <c r="A57" s="128"/>
      <c r="B57" s="23"/>
      <c r="C57" s="23"/>
      <c r="D57" s="23"/>
      <c r="E57" s="23"/>
      <c r="F57" s="23"/>
      <c r="G57" s="23"/>
      <c r="H57" s="23"/>
      <c r="I57" s="25"/>
      <c r="J57" s="128"/>
      <c r="K57" s="128"/>
      <c r="L57" s="128"/>
      <c r="P57" s="23"/>
      <c r="Q57" s="128"/>
      <c r="R57" s="29"/>
      <c r="S57" s="23"/>
      <c r="T57" s="23"/>
      <c r="U57" s="23"/>
      <c r="V57" s="23"/>
      <c r="W57" s="23"/>
      <c r="X57" s="23"/>
      <c r="Y57" s="448"/>
      <c r="Z57" s="16" t="str">
        <f>+Q21</f>
        <v>C12</v>
      </c>
      <c r="AA57" s="17">
        <f>IF(ISTEXT(Z57),AA55,0)</f>
        <v>10</v>
      </c>
      <c r="AB57" s="18">
        <f>IF(ISTEXT(Z57),AB55,0)</f>
        <v>3</v>
      </c>
      <c r="AC57" s="19">
        <f>IF(ISTEXT(Z57),AC55,0)</f>
        <v>9</v>
      </c>
      <c r="AD57" s="9"/>
      <c r="AE57" s="16" t="str">
        <f>+T21</f>
        <v>C15</v>
      </c>
      <c r="AF57" s="17">
        <f>IF(ISTEXT(AE57),AF55,0)</f>
        <v>7</v>
      </c>
      <c r="AG57" s="18">
        <f>IF(ISTEXT(AE57),AG55,0)</f>
        <v>3</v>
      </c>
      <c r="AH57" s="19">
        <f>IF(ISTEXT(AE57),AH55,0)</f>
        <v>6</v>
      </c>
      <c r="AI57" s="9"/>
      <c r="AJ57" s="16" t="str">
        <f>+W21</f>
        <v>C3</v>
      </c>
      <c r="AK57" s="17">
        <f>IF(ISTEXT(AJ57),AK55,0)</f>
        <v>8</v>
      </c>
      <c r="AL57" s="18">
        <f>IF(ISTEXT(AJ57),AL55,0)</f>
        <v>3</v>
      </c>
      <c r="AM57" s="19">
        <f>IF(ISTEXT(AJ57),AM55,0)</f>
        <v>3</v>
      </c>
      <c r="AN57" s="23"/>
      <c r="AO57" s="54">
        <v>49</v>
      </c>
      <c r="AP57" s="323" t="str">
        <f>+Inscrits!F15</f>
        <v>C13</v>
      </c>
      <c r="AQ57" s="286">
        <f t="shared" si="3"/>
        <v>1</v>
      </c>
      <c r="AR57" s="99">
        <f t="shared" si="4"/>
        <v>-9</v>
      </c>
      <c r="AS57" s="219">
        <f t="shared" si="5"/>
        <v>1</v>
      </c>
      <c r="AT57" s="289">
        <f t="shared" si="6"/>
        <v>3</v>
      </c>
      <c r="AU57" s="99">
        <f t="shared" si="7"/>
        <v>4</v>
      </c>
      <c r="AV57" s="291">
        <f t="shared" si="8"/>
        <v>10</v>
      </c>
      <c r="AW57" s="286">
        <f t="shared" si="9"/>
        <v>1</v>
      </c>
      <c r="AX57" s="99">
        <f t="shared" si="10"/>
        <v>-8</v>
      </c>
      <c r="AY57" s="291">
        <f t="shared" si="11"/>
        <v>1</v>
      </c>
      <c r="AZ57" s="286">
        <f t="shared" si="17"/>
        <v>5</v>
      </c>
      <c r="BA57" s="99">
        <f t="shared" si="12"/>
        <v>-13</v>
      </c>
      <c r="BB57" s="291">
        <f t="shared" si="13"/>
        <v>12</v>
      </c>
      <c r="BC57" s="41">
        <f t="shared" si="14"/>
        <v>-13</v>
      </c>
      <c r="BD57" s="57">
        <f t="shared" si="15"/>
        <v>0</v>
      </c>
      <c r="BE57" s="363">
        <f t="shared" si="16"/>
        <v>23.128800569999999</v>
      </c>
      <c r="BF57" s="99">
        <f>IF(AP57="","",SMALL(BE$9:BE$62,ROWS(AZ$9:AZ57)))</f>
        <v>46.000000419999999</v>
      </c>
      <c r="BG57" s="88"/>
      <c r="BH57" s="95" t="str">
        <f>IF(OR(AP57="",AZ57=""),"",INDEX($AP$9:$AP$63,MATCH(BF57,$BE$9:BE$62,0)))</f>
        <v>B16</v>
      </c>
      <c r="BI57" s="294">
        <f t="shared" si="18"/>
        <v>0</v>
      </c>
      <c r="BJ57" s="7">
        <f t="shared" si="19"/>
        <v>0</v>
      </c>
      <c r="BK57" s="7">
        <f t="shared" si="20"/>
        <v>0</v>
      </c>
      <c r="BL57" s="280">
        <f>IF(BF57="","",IF(AND(BI56=BI57,BJ56=BJ57,BK56=BK57),BL56,$BL$9+48))</f>
        <v>46</v>
      </c>
      <c r="BM57" s="29"/>
      <c r="BN57" s="262"/>
    </row>
    <row r="58" spans="1:66" ht="16.5" thickBot="1">
      <c r="A58" s="128"/>
      <c r="B58" s="23"/>
      <c r="C58" s="23"/>
      <c r="D58" s="23"/>
      <c r="E58" s="23"/>
      <c r="F58" s="128"/>
      <c r="G58" s="128"/>
      <c r="H58" s="23"/>
      <c r="I58" s="25"/>
      <c r="J58" s="128"/>
      <c r="K58" s="128"/>
      <c r="L58" s="128"/>
      <c r="P58" s="23"/>
      <c r="Q58" s="128"/>
      <c r="R58" s="29"/>
      <c r="S58" s="23"/>
      <c r="T58" s="23"/>
      <c r="U58" s="23"/>
      <c r="V58" s="23"/>
      <c r="W58" s="23"/>
      <c r="X58" s="23"/>
      <c r="Y58" s="128"/>
      <c r="Z58" s="70"/>
      <c r="AA58" s="70"/>
      <c r="AB58" s="70"/>
      <c r="AC58" s="70"/>
      <c r="AD58" s="73"/>
      <c r="AE58" s="73"/>
      <c r="AF58" s="73"/>
      <c r="AG58" s="70"/>
      <c r="AH58" s="70"/>
      <c r="AI58" s="73"/>
      <c r="AJ58" s="73"/>
      <c r="AK58" s="70"/>
      <c r="AL58" s="70"/>
      <c r="AM58" s="70"/>
      <c r="AN58" s="23"/>
      <c r="AO58" s="54">
        <v>50</v>
      </c>
      <c r="AP58" s="323" t="str">
        <f>+Inscrits!F16</f>
        <v>C14</v>
      </c>
      <c r="AQ58" s="286">
        <f t="shared" si="3"/>
        <v>1</v>
      </c>
      <c r="AR58" s="99">
        <f t="shared" si="4"/>
        <v>-10</v>
      </c>
      <c r="AS58" s="219">
        <f t="shared" si="5"/>
        <v>1</v>
      </c>
      <c r="AT58" s="289">
        <f t="shared" si="6"/>
        <v>1</v>
      </c>
      <c r="AU58" s="99">
        <f t="shared" si="7"/>
        <v>-6</v>
      </c>
      <c r="AV58" s="291">
        <f t="shared" si="8"/>
        <v>1</v>
      </c>
      <c r="AW58" s="286">
        <f t="shared" si="9"/>
        <v>3</v>
      </c>
      <c r="AX58" s="99">
        <f t="shared" si="10"/>
        <v>8</v>
      </c>
      <c r="AY58" s="291">
        <f t="shared" si="11"/>
        <v>9</v>
      </c>
      <c r="AZ58" s="286">
        <f t="shared" si="17"/>
        <v>5</v>
      </c>
      <c r="BA58" s="99">
        <f t="shared" si="12"/>
        <v>-8</v>
      </c>
      <c r="BB58" s="291">
        <f t="shared" si="13"/>
        <v>11</v>
      </c>
      <c r="BC58" s="41">
        <f t="shared" si="14"/>
        <v>-8</v>
      </c>
      <c r="BD58" s="57">
        <f t="shared" si="15"/>
        <v>0</v>
      </c>
      <c r="BE58" s="363">
        <f t="shared" si="16"/>
        <v>23.078900579999996</v>
      </c>
      <c r="BF58" s="99">
        <f>IF(AP58="","",SMALL(BE$9:BE$62,ROWS(AZ$9:AZ58)))</f>
        <v>46.00000043</v>
      </c>
      <c r="BG58" s="88"/>
      <c r="BH58" s="95" t="str">
        <f>IF(OR(AP58="",AZ58=""),"",INDEX($AP$9:$AP$63,MATCH(BF58,$BE$9:BE$62,0)))</f>
        <v>B17</v>
      </c>
      <c r="BI58" s="294">
        <f t="shared" si="18"/>
        <v>0</v>
      </c>
      <c r="BJ58" s="7">
        <f t="shared" si="19"/>
        <v>0</v>
      </c>
      <c r="BK58" s="7">
        <f t="shared" si="20"/>
        <v>0</v>
      </c>
      <c r="BL58" s="280">
        <f>IF(BF58="","",IF(AND(BI57=BI58,BJ57=BJ58,BK57=BK58),BL57,$BL$9+49))</f>
        <v>46</v>
      </c>
      <c r="BM58" s="29"/>
      <c r="BN58" s="262"/>
    </row>
    <row r="59" spans="1:66" ht="15.75">
      <c r="A59" s="128"/>
      <c r="B59" s="23"/>
      <c r="C59" s="23"/>
      <c r="D59" s="23"/>
      <c r="E59" s="23"/>
      <c r="F59" s="128"/>
      <c r="G59" s="128"/>
      <c r="H59" s="23"/>
      <c r="I59" s="25"/>
      <c r="J59" s="128"/>
      <c r="K59" s="128"/>
      <c r="L59" s="128"/>
      <c r="P59" s="23"/>
      <c r="Q59" s="128"/>
      <c r="R59" s="29"/>
      <c r="S59" s="23"/>
      <c r="T59" s="23"/>
      <c r="U59" s="23"/>
      <c r="V59" s="23"/>
      <c r="W59" s="23"/>
      <c r="X59" s="23"/>
      <c r="Y59" s="446">
        <v>7</v>
      </c>
      <c r="Z59" s="12" t="str">
        <f>+O22</f>
        <v>A13</v>
      </c>
      <c r="AA59" s="33">
        <v>1</v>
      </c>
      <c r="AB59" s="48">
        <f>IF(AA59+AA63=0,0,IF(AA59=AA63,2,IF(AA59&gt;AA63,3,1)))</f>
        <v>1</v>
      </c>
      <c r="AC59" s="13">
        <f>AA59-AA63</f>
        <v>-9</v>
      </c>
      <c r="AD59" s="9"/>
      <c r="AE59" s="12" t="str">
        <f>+R22</f>
        <v>A14</v>
      </c>
      <c r="AF59" s="126">
        <v>1</v>
      </c>
      <c r="AG59" s="48">
        <f>IF(AF59+AF63=0,0,IF(AF59=AF63,2,IF(AF59&gt;AF63,3,1)))</f>
        <v>1</v>
      </c>
      <c r="AH59" s="13">
        <f>AF59-AF63</f>
        <v>-11</v>
      </c>
      <c r="AI59" s="9"/>
      <c r="AJ59" s="12" t="str">
        <f>+U22</f>
        <v>A15</v>
      </c>
      <c r="AK59" s="36">
        <v>1</v>
      </c>
      <c r="AL59" s="48">
        <f>IF(AK59+AK63=0,0,IF(AK59=AK63,2,IF(AK59&gt;AK63,3,1)))</f>
        <v>1</v>
      </c>
      <c r="AM59" s="13">
        <f>AK59-AK63</f>
        <v>-8</v>
      </c>
      <c r="AN59" s="23"/>
      <c r="AO59" s="54">
        <v>51</v>
      </c>
      <c r="AP59" s="323" t="str">
        <f>+Inscrits!F17</f>
        <v>C15</v>
      </c>
      <c r="AQ59" s="286">
        <f t="shared" si="3"/>
        <v>3</v>
      </c>
      <c r="AR59" s="99">
        <f t="shared" si="4"/>
        <v>10</v>
      </c>
      <c r="AS59" s="219">
        <f t="shared" si="5"/>
        <v>11</v>
      </c>
      <c r="AT59" s="289">
        <f t="shared" si="6"/>
        <v>3</v>
      </c>
      <c r="AU59" s="99">
        <f t="shared" si="7"/>
        <v>6</v>
      </c>
      <c r="AV59" s="291">
        <f t="shared" si="8"/>
        <v>7</v>
      </c>
      <c r="AW59" s="286">
        <f t="shared" si="9"/>
        <v>1</v>
      </c>
      <c r="AX59" s="99">
        <f t="shared" si="10"/>
        <v>-4</v>
      </c>
      <c r="AY59" s="291">
        <f t="shared" si="11"/>
        <v>5</v>
      </c>
      <c r="AZ59" s="286">
        <f t="shared" si="17"/>
        <v>7</v>
      </c>
      <c r="BA59" s="99">
        <f t="shared" si="12"/>
        <v>12</v>
      </c>
      <c r="BB59" s="291">
        <f t="shared" si="13"/>
        <v>23</v>
      </c>
      <c r="BC59" s="41">
        <f t="shared" si="14"/>
        <v>0</v>
      </c>
      <c r="BD59" s="57">
        <f t="shared" si="15"/>
        <v>12</v>
      </c>
      <c r="BE59" s="363">
        <f t="shared" si="16"/>
        <v>6.8777005899999999</v>
      </c>
      <c r="BF59" s="99">
        <f>IF(AP59="","",SMALL(BE$9:BE$62,ROWS(AZ$9:AZ59)))</f>
        <v>46.000000440000001</v>
      </c>
      <c r="BG59" s="88"/>
      <c r="BH59" s="95" t="str">
        <f>IF(OR(AP59="",AZ59=""),"",INDEX($AP$9:$AP$63,MATCH(BF59,$BE$9:BE$62,0)))</f>
        <v>B18</v>
      </c>
      <c r="BI59" s="294">
        <f t="shared" si="18"/>
        <v>0</v>
      </c>
      <c r="BJ59" s="7">
        <f t="shared" si="19"/>
        <v>0</v>
      </c>
      <c r="BK59" s="7">
        <f t="shared" si="20"/>
        <v>0</v>
      </c>
      <c r="BL59" s="280">
        <f>IF(BF59="","",IF(AND(BI58=BI59,BJ58=BJ59,BK58=BK59),BL58,$BL$9+50))</f>
        <v>46</v>
      </c>
      <c r="BM59" s="29"/>
      <c r="BN59" s="262"/>
    </row>
    <row r="60" spans="1:66" ht="16.5" thickBot="1">
      <c r="A60" s="128"/>
      <c r="B60" s="29"/>
      <c r="C60" s="29"/>
      <c r="D60" s="128"/>
      <c r="E60" s="128"/>
      <c r="F60" s="128"/>
      <c r="G60" s="128"/>
      <c r="H60" s="23"/>
      <c r="I60" s="25"/>
      <c r="J60" s="128"/>
      <c r="K60" s="128"/>
      <c r="L60" s="128"/>
      <c r="P60" s="23"/>
      <c r="Q60" s="128"/>
      <c r="R60" s="29"/>
      <c r="S60" s="29"/>
      <c r="T60" s="29"/>
      <c r="U60" s="23"/>
      <c r="V60" s="23"/>
      <c r="W60" s="23"/>
      <c r="X60" s="23"/>
      <c r="Y60" s="447"/>
      <c r="Z60" s="14" t="str">
        <f>+P22</f>
        <v>B13</v>
      </c>
      <c r="AA60" s="17">
        <f>IF(ISTEXT(Z60),AA59,0)</f>
        <v>1</v>
      </c>
      <c r="AB60" s="18">
        <f>IF(ISTEXT(Z60),AB59,0)</f>
        <v>1</v>
      </c>
      <c r="AC60" s="19">
        <f>IF(ISTEXT(Z60),AC59,0)</f>
        <v>-9</v>
      </c>
      <c r="AD60" s="9"/>
      <c r="AE60" s="14" t="str">
        <f>+S22</f>
        <v>B2</v>
      </c>
      <c r="AF60" s="17">
        <f>IF(ISTEXT(AE60),AF59,0)</f>
        <v>1</v>
      </c>
      <c r="AG60" s="59">
        <f>IF(ISTEXT(AE60),AG59,0)</f>
        <v>1</v>
      </c>
      <c r="AH60" s="19">
        <f>IF(ISTEXT(AE60),AH59,0)</f>
        <v>-11</v>
      </c>
      <c r="AI60" s="9"/>
      <c r="AJ60" s="14" t="str">
        <f>+V22</f>
        <v>B4</v>
      </c>
      <c r="AK60" s="17">
        <f>IF(ISTEXT(AJ60),AK59,0)</f>
        <v>1</v>
      </c>
      <c r="AL60" s="59">
        <f>IF(ISTEXT(AJ60),AL59,0)</f>
        <v>1</v>
      </c>
      <c r="AM60" s="19">
        <f>IF(ISTEXT(AJ60),AM59,0)</f>
        <v>-8</v>
      </c>
      <c r="AN60" s="23"/>
      <c r="AO60" s="54">
        <v>52</v>
      </c>
      <c r="AP60" s="323" t="str">
        <f>+Inscrits!F18</f>
        <v>C16</v>
      </c>
      <c r="AQ60" s="286" t="str">
        <f t="shared" si="3"/>
        <v xml:space="preserve"> </v>
      </c>
      <c r="AR60" s="99" t="str">
        <f t="shared" si="4"/>
        <v xml:space="preserve"> </v>
      </c>
      <c r="AS60" s="219" t="str">
        <f t="shared" si="5"/>
        <v xml:space="preserve"> </v>
      </c>
      <c r="AT60" s="289" t="str">
        <f t="shared" si="6"/>
        <v xml:space="preserve"> </v>
      </c>
      <c r="AU60" s="99" t="str">
        <f t="shared" si="7"/>
        <v xml:space="preserve"> </v>
      </c>
      <c r="AV60" s="291" t="str">
        <f t="shared" si="8"/>
        <v xml:space="preserve"> </v>
      </c>
      <c r="AW60" s="286" t="str">
        <f t="shared" si="9"/>
        <v xml:space="preserve"> </v>
      </c>
      <c r="AX60" s="99" t="str">
        <f t="shared" si="10"/>
        <v xml:space="preserve"> </v>
      </c>
      <c r="AY60" s="291" t="str">
        <f t="shared" si="11"/>
        <v xml:space="preserve"> </v>
      </c>
      <c r="AZ60" s="286">
        <f t="shared" si="17"/>
        <v>0</v>
      </c>
      <c r="BA60" s="99">
        <f t="shared" si="12"/>
        <v>0</v>
      </c>
      <c r="BB60" s="291">
        <f t="shared" si="13"/>
        <v>0</v>
      </c>
      <c r="BC60" s="41">
        <f t="shared" si="14"/>
        <v>0</v>
      </c>
      <c r="BD60" s="57">
        <f t="shared" si="15"/>
        <v>0</v>
      </c>
      <c r="BE60" s="363">
        <f t="shared" si="16"/>
        <v>46.0000006</v>
      </c>
      <c r="BF60" s="99">
        <f>IF(AP60="","",SMALL(BE$9:BE$62,ROWS(AZ$9:AZ60)))</f>
        <v>46.0000006</v>
      </c>
      <c r="BG60" s="88"/>
      <c r="BH60" s="95" t="str">
        <f>IF(OR(AP60="",AZ60=""),"",INDEX($AP$9:$AP$63,MATCH(BF60,$BE$9:BE$62,0)))</f>
        <v>C16</v>
      </c>
      <c r="BI60" s="294">
        <f t="shared" si="18"/>
        <v>0</v>
      </c>
      <c r="BJ60" s="7">
        <f t="shared" si="19"/>
        <v>0</v>
      </c>
      <c r="BK60" s="7">
        <f t="shared" si="20"/>
        <v>0</v>
      </c>
      <c r="BL60" s="280">
        <f>IF(BF60="","",IF(AND(BI59=BI60,BJ59=BJ60,BK59=BK60),BL59,$BL$9+51))</f>
        <v>46</v>
      </c>
      <c r="BM60" s="29"/>
      <c r="BN60" s="262"/>
    </row>
    <row r="61" spans="1:66" ht="15.75">
      <c r="A61" s="128"/>
      <c r="B61" s="29"/>
      <c r="C61" s="29"/>
      <c r="D61" s="128"/>
      <c r="E61" s="128"/>
      <c r="F61" s="128"/>
      <c r="G61" s="128"/>
      <c r="H61" s="23"/>
      <c r="I61" s="25"/>
      <c r="J61" s="128"/>
      <c r="K61" s="128"/>
      <c r="L61" s="128"/>
      <c r="P61" s="23"/>
      <c r="Q61" s="128"/>
      <c r="R61" s="29"/>
      <c r="S61" s="29"/>
      <c r="T61" s="29"/>
      <c r="U61" s="29"/>
      <c r="V61" s="23"/>
      <c r="W61" s="23"/>
      <c r="X61" s="23"/>
      <c r="Y61" s="447"/>
      <c r="Z61" s="14" t="str">
        <f>+Q22</f>
        <v>C13</v>
      </c>
      <c r="AA61" s="71">
        <f>IF(ISTEXT(Z61),AA59,0)</f>
        <v>1</v>
      </c>
      <c r="AB61" s="67">
        <f>IF(ISTEXT(Z61),AB59,0)</f>
        <v>1</v>
      </c>
      <c r="AC61" s="72">
        <f>IF(ISTEXT(Z61),AC59,0)</f>
        <v>-9</v>
      </c>
      <c r="AD61" s="9"/>
      <c r="AE61" s="14" t="str">
        <f>+T22</f>
        <v>C1</v>
      </c>
      <c r="AF61" s="71">
        <f>IF(ISTEXT(AE61),AF59,0)</f>
        <v>1</v>
      </c>
      <c r="AG61" s="64">
        <f>IF(ISTEXT(AE61),AG59,0)</f>
        <v>1</v>
      </c>
      <c r="AH61" s="72">
        <f>IF(ISTEXT(AE61),AH59,0)</f>
        <v>-11</v>
      </c>
      <c r="AI61" s="9"/>
      <c r="AJ61" s="14" t="str">
        <f>+W22</f>
        <v>C4</v>
      </c>
      <c r="AK61" s="71">
        <f>IF(ISTEXT(AJ61),AK59,0)</f>
        <v>1</v>
      </c>
      <c r="AL61" s="64">
        <f>IF(ISTEXT(AJ61),AL59,0)</f>
        <v>1</v>
      </c>
      <c r="AM61" s="72">
        <f>IF(ISTEXT(AJ61),AM59,0)</f>
        <v>-8</v>
      </c>
      <c r="AN61" s="23"/>
      <c r="AO61" s="54">
        <v>53</v>
      </c>
      <c r="AP61" s="323" t="str">
        <f>+Inscrits!F19</f>
        <v>C17</v>
      </c>
      <c r="AQ61" s="286" t="str">
        <f t="shared" si="3"/>
        <v xml:space="preserve"> </v>
      </c>
      <c r="AR61" s="99" t="str">
        <f t="shared" si="4"/>
        <v xml:space="preserve"> </v>
      </c>
      <c r="AS61" s="219" t="str">
        <f t="shared" si="5"/>
        <v xml:space="preserve"> </v>
      </c>
      <c r="AT61" s="289" t="str">
        <f t="shared" si="6"/>
        <v xml:space="preserve"> </v>
      </c>
      <c r="AU61" s="99" t="str">
        <f t="shared" si="7"/>
        <v xml:space="preserve"> </v>
      </c>
      <c r="AV61" s="291" t="str">
        <f t="shared" si="8"/>
        <v xml:space="preserve"> </v>
      </c>
      <c r="AW61" s="286" t="str">
        <f t="shared" si="9"/>
        <v xml:space="preserve"> </v>
      </c>
      <c r="AX61" s="99" t="str">
        <f t="shared" si="10"/>
        <v xml:space="preserve"> </v>
      </c>
      <c r="AY61" s="291" t="str">
        <f t="shared" si="11"/>
        <v xml:space="preserve"> </v>
      </c>
      <c r="AZ61" s="286">
        <f t="shared" si="17"/>
        <v>0</v>
      </c>
      <c r="BA61" s="99">
        <f t="shared" si="12"/>
        <v>0</v>
      </c>
      <c r="BB61" s="291">
        <f t="shared" si="13"/>
        <v>0</v>
      </c>
      <c r="BC61" s="41">
        <f t="shared" si="14"/>
        <v>0</v>
      </c>
      <c r="BD61" s="57">
        <f t="shared" si="15"/>
        <v>0</v>
      </c>
      <c r="BE61" s="363">
        <f t="shared" si="16"/>
        <v>46.000000610000001</v>
      </c>
      <c r="BF61" s="99">
        <f>IF(AP61="","",SMALL(BE$9:BE$62,ROWS(AZ$9:AZ61)))</f>
        <v>46.000000610000001</v>
      </c>
      <c r="BG61" s="88"/>
      <c r="BH61" s="95" t="str">
        <f>IF(OR(AP61="",AZ61=""),"",INDEX($AP$9:$AP$63,MATCH(BF61,$BE$9:BE$62,0)))</f>
        <v>C17</v>
      </c>
      <c r="BI61" s="294">
        <f t="shared" si="18"/>
        <v>0</v>
      </c>
      <c r="BJ61" s="7">
        <f t="shared" si="19"/>
        <v>0</v>
      </c>
      <c r="BK61" s="7">
        <f t="shared" si="20"/>
        <v>0</v>
      </c>
      <c r="BL61" s="280">
        <f>IF(BF61="","",IF(AND(BI60=BI61,BJ60=BJ61,BK60=BK61),BL60,$BL$9+52))</f>
        <v>46</v>
      </c>
      <c r="BM61" s="29"/>
      <c r="BN61" s="262"/>
    </row>
    <row r="62" spans="1:66" ht="16.5" thickBot="1">
      <c r="A62" s="128"/>
      <c r="B62" s="29"/>
      <c r="C62" s="29"/>
      <c r="D62" s="128"/>
      <c r="E62" s="128"/>
      <c r="F62" s="128"/>
      <c r="G62" s="128"/>
      <c r="H62" s="23"/>
      <c r="I62" s="25"/>
      <c r="J62" s="128"/>
      <c r="K62" s="128"/>
      <c r="L62" s="128"/>
      <c r="P62" s="23"/>
      <c r="Q62" s="128"/>
      <c r="R62" s="29"/>
      <c r="S62" s="29"/>
      <c r="T62" s="29"/>
      <c r="U62" s="29"/>
      <c r="V62" s="23"/>
      <c r="W62" s="23"/>
      <c r="X62" s="23"/>
      <c r="Y62" s="447"/>
      <c r="Z62" s="32"/>
      <c r="AA62" s="21" t="s">
        <v>5</v>
      </c>
      <c r="AB62" s="21"/>
      <c r="AC62" s="22"/>
      <c r="AD62" s="1"/>
      <c r="AE62" s="32"/>
      <c r="AF62" s="21" t="s">
        <v>5</v>
      </c>
      <c r="AG62" s="21"/>
      <c r="AH62" s="22"/>
      <c r="AI62" s="1"/>
      <c r="AJ62" s="32"/>
      <c r="AK62" s="21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 t="str">
        <f t="shared" si="3"/>
        <v xml:space="preserve"> </v>
      </c>
      <c r="AR62" s="224" t="str">
        <f t="shared" si="4"/>
        <v xml:space="preserve"> </v>
      </c>
      <c r="AS62" s="225" t="str">
        <f t="shared" si="5"/>
        <v xml:space="preserve"> </v>
      </c>
      <c r="AT62" s="290" t="str">
        <f t="shared" si="6"/>
        <v xml:space="preserve"> </v>
      </c>
      <c r="AU62" s="224" t="str">
        <f t="shared" si="7"/>
        <v xml:space="preserve"> </v>
      </c>
      <c r="AV62" s="292" t="str">
        <f t="shared" si="8"/>
        <v xml:space="preserve"> </v>
      </c>
      <c r="AW62" s="287" t="str">
        <f t="shared" si="9"/>
        <v xml:space="preserve"> </v>
      </c>
      <c r="AX62" s="224" t="str">
        <f t="shared" si="10"/>
        <v xml:space="preserve"> </v>
      </c>
      <c r="AY62" s="292" t="str">
        <f t="shared" si="11"/>
        <v xml:space="preserve"> </v>
      </c>
      <c r="AZ62" s="287">
        <f t="shared" si="17"/>
        <v>0</v>
      </c>
      <c r="BA62" s="224">
        <f t="shared" si="12"/>
        <v>0</v>
      </c>
      <c r="BB62" s="292">
        <f t="shared" si="13"/>
        <v>0</v>
      </c>
      <c r="BC62" s="364">
        <f t="shared" si="14"/>
        <v>0</v>
      </c>
      <c r="BD62" s="365">
        <f t="shared" si="15"/>
        <v>0</v>
      </c>
      <c r="BE62" s="363">
        <f t="shared" si="16"/>
        <v>46.000000620000002</v>
      </c>
      <c r="BF62" s="224">
        <f>IF(AP62="","",SMALL(BE$9:BE$62,ROWS(AZ$9:AZ62)))</f>
        <v>46.000000620000002</v>
      </c>
      <c r="BG62" s="88"/>
      <c r="BH62" s="368" t="str">
        <f>IF(OR(AP62="",AZ62=""),"",INDEX($AP$9:$AP$63,MATCH(BF62,$BE$9:BE$62,0)))</f>
        <v>C18</v>
      </c>
      <c r="BI62" s="295">
        <f t="shared" si="18"/>
        <v>0</v>
      </c>
      <c r="BJ62" s="282">
        <f t="shared" si="19"/>
        <v>0</v>
      </c>
      <c r="BK62" s="282">
        <f t="shared" si="20"/>
        <v>0</v>
      </c>
      <c r="BL62" s="280">
        <f>IF(BF62="","",IF(AND(BI61=BI62,BJ61=BJ62,BK61=BK62),BL61,$BL$9+53))</f>
        <v>46</v>
      </c>
      <c r="BM62" s="29"/>
      <c r="BN62" s="262"/>
    </row>
    <row r="63" spans="1:66" ht="15.75">
      <c r="A63" s="128"/>
      <c r="B63" s="29"/>
      <c r="C63" s="29"/>
      <c r="D63" s="128"/>
      <c r="E63" s="128"/>
      <c r="F63" s="128"/>
      <c r="G63" s="128"/>
      <c r="H63" s="23"/>
      <c r="I63" s="25"/>
      <c r="J63" s="128"/>
      <c r="K63" s="128"/>
      <c r="L63" s="128"/>
      <c r="P63" s="23"/>
      <c r="Q63" s="128"/>
      <c r="R63" s="29"/>
      <c r="S63" s="29"/>
      <c r="T63" s="29"/>
      <c r="U63" s="29"/>
      <c r="V63" s="23"/>
      <c r="W63" s="23"/>
      <c r="X63" s="23"/>
      <c r="Y63" s="447"/>
      <c r="Z63" s="14" t="str">
        <f>+O23</f>
        <v>A14</v>
      </c>
      <c r="AA63" s="35">
        <v>10</v>
      </c>
      <c r="AB63" s="30">
        <f>IF(AA59+AA63=0,0,IF(AA59=AA63,2,IF(AA59&lt;AA63,3,1)))</f>
        <v>3</v>
      </c>
      <c r="AC63" s="15">
        <f>AA63-AA59</f>
        <v>9</v>
      </c>
      <c r="AD63" s="9"/>
      <c r="AE63" s="14" t="str">
        <f>+R23</f>
        <v>A15</v>
      </c>
      <c r="AF63" s="127">
        <v>12</v>
      </c>
      <c r="AG63" s="30">
        <f>IF(AF59+AF63=0,0,IF(AF59=AF63,2,IF(AF59&lt;AF63,3,1)))</f>
        <v>3</v>
      </c>
      <c r="AH63" s="15">
        <f>AF63-AF59</f>
        <v>11</v>
      </c>
      <c r="AI63" s="9"/>
      <c r="AJ63" s="14" t="str">
        <f>+U23</f>
        <v>A1</v>
      </c>
      <c r="AK63" s="37">
        <v>9</v>
      </c>
      <c r="AL63" s="30">
        <f>IF(AK59+AK63=0,0,IF(AK59=AK63,2,IF(AK59&lt;AK63,3,1)))</f>
        <v>3</v>
      </c>
      <c r="AM63" s="15">
        <f>AK63-AK59</f>
        <v>8</v>
      </c>
      <c r="AN63" s="23"/>
      <c r="AP63" s="8"/>
      <c r="AQ63" s="89">
        <f>SUM(IF(ISNA(AQ9:AQ62),0,AQ9:AQ62))</f>
        <v>89</v>
      </c>
      <c r="AR63" s="89">
        <f t="array" ref="AR63">SUM(IF(ISNA(AR9:AR62),0,AR9:AR62))</f>
        <v>-9</v>
      </c>
      <c r="AS63" s="89"/>
      <c r="AT63" s="89">
        <f>SUM(IF(ISNA(AT9:AT62),0,AT9:AT62))</f>
        <v>89</v>
      </c>
      <c r="AU63" s="89">
        <f t="array" ref="AU63">SUM(IF(ISNA(AU9:AU62),0,AU9:AU62))</f>
        <v>-11</v>
      </c>
      <c r="AV63" s="89"/>
      <c r="AW63" s="89">
        <f t="array" ref="AW63">SUM(IF(ISNA(AW9:AW62),0,AW9:AW62))</f>
        <v>89</v>
      </c>
      <c r="AX63" s="89">
        <f t="array" ref="AX63">SUM(IF(ISNA(AX9:AX62),0,AX9:AX62))</f>
        <v>-8</v>
      </c>
      <c r="AY63" s="89"/>
      <c r="AZ63" s="39">
        <f t="array" ref="AZ63">SUM(AZ9:AZ62)</f>
        <v>267</v>
      </c>
      <c r="BA63" s="39">
        <f t="array" ref="BA63">SUM(BA9:BA62)</f>
        <v>-28</v>
      </c>
      <c r="BB63" s="39"/>
      <c r="BC63" s="39"/>
      <c r="BD63" s="39"/>
      <c r="BE63" s="39"/>
      <c r="BF63" s="39"/>
      <c r="BG63" s="84"/>
      <c r="BH63" s="39"/>
      <c r="BI63" s="79"/>
      <c r="BJ63" s="39">
        <f t="array" ref="BJ63">SUM(BJ9:BJ62)</f>
        <v>-28</v>
      </c>
      <c r="BK63" s="39"/>
      <c r="BL63" s="8"/>
      <c r="BM63" s="29"/>
      <c r="BN63" s="84"/>
    </row>
    <row r="64" spans="1:66" ht="16.5" thickBot="1">
      <c r="A64" s="128"/>
      <c r="B64" s="29"/>
      <c r="C64" s="29"/>
      <c r="D64" s="128"/>
      <c r="E64" s="128"/>
      <c r="F64" s="128"/>
      <c r="G64" s="128"/>
      <c r="H64" s="23"/>
      <c r="I64" s="25"/>
      <c r="J64" s="128"/>
      <c r="K64" s="128"/>
      <c r="L64" s="128"/>
      <c r="P64" s="23"/>
      <c r="Q64" s="128"/>
      <c r="R64" s="29"/>
      <c r="S64" s="29"/>
      <c r="T64" s="29"/>
      <c r="U64" s="29"/>
      <c r="V64" s="23"/>
      <c r="W64" s="23"/>
      <c r="X64" s="23"/>
      <c r="Y64" s="447"/>
      <c r="Z64" s="14" t="str">
        <f>+P23</f>
        <v>B14</v>
      </c>
      <c r="AA64" s="17">
        <f>IF(ISTEXT(Z64),AA63,0)</f>
        <v>10</v>
      </c>
      <c r="AB64" s="18">
        <f>IF(ISTEXT(Z64),AB63,0)</f>
        <v>3</v>
      </c>
      <c r="AC64" s="19">
        <f>IF(ISTEXT(Z64),AC63,0)</f>
        <v>9</v>
      </c>
      <c r="AD64" s="9"/>
      <c r="AE64" s="14" t="str">
        <f>+S23</f>
        <v>B1</v>
      </c>
      <c r="AF64" s="17">
        <f>IF(ISTEXT(AE64),AF63,0)</f>
        <v>12</v>
      </c>
      <c r="AG64" s="18">
        <f>IF(ISTEXT(AE64),AG63,0)</f>
        <v>3</v>
      </c>
      <c r="AH64" s="19">
        <f>IF(ISTEXT(AE64),AH63,0)</f>
        <v>11</v>
      </c>
      <c r="AI64" s="9"/>
      <c r="AJ64" s="14" t="str">
        <f>+V23</f>
        <v>B3</v>
      </c>
      <c r="AK64" s="17">
        <f>IF(ISTEXT(AJ64),AK63,0)</f>
        <v>9</v>
      </c>
      <c r="AL64" s="18">
        <f>IF(ISTEXT(AJ64),AL63,0)</f>
        <v>3</v>
      </c>
      <c r="AM64" s="19">
        <f>IF(ISTEXT(AJ64),AM63,0)</f>
        <v>8</v>
      </c>
      <c r="AN64" s="23"/>
      <c r="AP64" s="8"/>
      <c r="AQ64" s="39"/>
      <c r="AR64" s="79" t="str">
        <f>IF(AR63=0,"OK","ERREUR")</f>
        <v>ERREUR</v>
      </c>
      <c r="AS64" s="75"/>
      <c r="AT64" s="39"/>
      <c r="AU64" s="79" t="str">
        <f>IF(AU63=0,"OK","ERREUR")</f>
        <v>ERREUR</v>
      </c>
      <c r="AV64" s="75"/>
      <c r="AW64" s="39"/>
      <c r="AX64" s="79" t="str">
        <f>IF(AX63=0,"OK","ERREUR")</f>
        <v>ERREUR</v>
      </c>
      <c r="AY64" s="75"/>
      <c r="AZ64" s="8"/>
      <c r="BA64" s="79" t="str">
        <f>IF(BA63=0,"OK","ERREUR")</f>
        <v>ERREUR</v>
      </c>
      <c r="BB64" s="75"/>
      <c r="BC64" s="9"/>
      <c r="BD64" s="9"/>
      <c r="BE64" s="9"/>
      <c r="BF64" s="39"/>
      <c r="BG64" s="84"/>
      <c r="BH64" s="39"/>
      <c r="BI64" s="79"/>
      <c r="BJ64" s="79" t="str">
        <f>IF(BJ63=0,"OK","ERREUR")</f>
        <v>ERREUR</v>
      </c>
      <c r="BK64" s="75"/>
      <c r="BL64" s="8"/>
      <c r="BM64" s="29"/>
    </row>
    <row r="65" spans="1:65" ht="16.5" thickBot="1">
      <c r="A65" s="128"/>
      <c r="B65" s="29"/>
      <c r="C65" s="29"/>
      <c r="D65" s="128"/>
      <c r="E65" s="128"/>
      <c r="F65" s="128"/>
      <c r="G65" s="128"/>
      <c r="H65" s="23"/>
      <c r="I65" s="25"/>
      <c r="J65" s="128"/>
      <c r="K65" s="128"/>
      <c r="L65" s="128"/>
      <c r="P65" s="23"/>
      <c r="Q65" s="128"/>
      <c r="R65" s="29"/>
      <c r="S65" s="29"/>
      <c r="T65" s="29"/>
      <c r="U65" s="29"/>
      <c r="V65" s="23"/>
      <c r="W65" s="23"/>
      <c r="X65" s="23"/>
      <c r="Y65" s="448"/>
      <c r="Z65" s="16">
        <f>+Q23</f>
        <v>0</v>
      </c>
      <c r="AA65" s="17">
        <f>IF(ISTEXT(Z65),AA63,0)</f>
        <v>0</v>
      </c>
      <c r="AB65" s="18">
        <f>IF(ISTEXT(Z65),AB63,0)</f>
        <v>0</v>
      </c>
      <c r="AC65" s="19">
        <f>IF(ISTEXT(Z65),AC63,0)</f>
        <v>0</v>
      </c>
      <c r="AD65" s="9"/>
      <c r="AE65" s="16">
        <f>+T23</f>
        <v>0</v>
      </c>
      <c r="AF65" s="17">
        <f>IF(ISTEXT(AE65),AF63,0)</f>
        <v>0</v>
      </c>
      <c r="AG65" s="18">
        <f>IF(ISTEXT(AE65),AG63,0)</f>
        <v>0</v>
      </c>
      <c r="AH65" s="19">
        <f>IF(ISTEXT(AE65),AH63,0)</f>
        <v>0</v>
      </c>
      <c r="AI65" s="9"/>
      <c r="AJ65" s="16">
        <f>+W23</f>
        <v>0</v>
      </c>
      <c r="AK65" s="17">
        <f>IF(ISTEXT(AJ65),AK63,0)</f>
        <v>0</v>
      </c>
      <c r="AL65" s="18">
        <f>IF(ISTEXT(AJ65),AL63,0)</f>
        <v>0</v>
      </c>
      <c r="AM65" s="19">
        <f>IF(ISTEXT(AJ65),AM63,0)</f>
        <v>0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G65" s="84"/>
      <c r="BH65" s="39"/>
      <c r="BI65" s="79"/>
      <c r="BJ65" s="75"/>
      <c r="BK65" s="75"/>
      <c r="BL65" s="8"/>
      <c r="BM65" s="29"/>
    </row>
    <row r="66" spans="1:65" ht="16.5" thickBot="1">
      <c r="A66" s="128"/>
      <c r="B66" s="29"/>
      <c r="C66" s="29"/>
      <c r="D66" s="128"/>
      <c r="E66" s="128"/>
      <c r="F66" s="128"/>
      <c r="G66" s="128"/>
      <c r="H66" s="23"/>
      <c r="I66" s="25"/>
      <c r="J66" s="128"/>
      <c r="K66" s="128"/>
      <c r="L66" s="128"/>
      <c r="P66" s="23"/>
      <c r="Q66" s="128"/>
      <c r="R66" s="29"/>
      <c r="S66" s="29"/>
      <c r="T66" s="29"/>
      <c r="U66" s="29"/>
      <c r="V66" s="23"/>
      <c r="W66" s="23"/>
      <c r="X66" s="23"/>
      <c r="Y66" s="128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23"/>
      <c r="AO66" s="128"/>
      <c r="AP66" s="23"/>
      <c r="AQ66" s="84"/>
      <c r="AR66" s="119"/>
      <c r="AS66" s="119"/>
      <c r="AT66" s="84"/>
      <c r="AU66" s="84"/>
      <c r="AV66" s="84"/>
      <c r="AW66" s="84"/>
      <c r="AX66" s="119"/>
      <c r="AY66" s="119"/>
      <c r="AZ66" s="119"/>
      <c r="BA66" s="119"/>
      <c r="BB66" s="119"/>
      <c r="BC66" s="119"/>
      <c r="BD66" s="119"/>
      <c r="BE66" s="119"/>
      <c r="BF66" s="119"/>
      <c r="BG66" s="84"/>
      <c r="BH66" s="119"/>
      <c r="BI66" s="128"/>
      <c r="BJ66" s="128"/>
      <c r="BK66" s="128"/>
      <c r="BL66" s="23"/>
      <c r="BM66" s="29"/>
    </row>
    <row r="67" spans="1:65" ht="15.75">
      <c r="A67" s="128"/>
      <c r="B67" s="29"/>
      <c r="C67" s="29"/>
      <c r="D67" s="128"/>
      <c r="E67" s="128"/>
      <c r="F67" s="128"/>
      <c r="G67" s="128"/>
      <c r="H67" s="23"/>
      <c r="I67" s="25"/>
      <c r="J67" s="128"/>
      <c r="K67" s="128"/>
      <c r="L67" s="128"/>
      <c r="P67" s="23"/>
      <c r="Q67" s="128"/>
      <c r="R67" s="29"/>
      <c r="S67" s="29"/>
      <c r="T67" s="29"/>
      <c r="U67" s="29"/>
      <c r="V67" s="23"/>
      <c r="W67" s="23"/>
      <c r="X67" s="23"/>
      <c r="Y67" s="446">
        <v>8</v>
      </c>
      <c r="Z67" s="12" t="str">
        <f>+O24</f>
        <v>A15</v>
      </c>
      <c r="AA67" s="33">
        <v>1</v>
      </c>
      <c r="AB67" s="48">
        <f>IF(AA67+AA71=0,0,IF(AA67=AA71,2,IF(AA67&gt;AA71,3,1)))</f>
        <v>1</v>
      </c>
      <c r="AC67" s="13">
        <f>AA67-AA71</f>
        <v>-10</v>
      </c>
      <c r="AD67" s="9"/>
      <c r="AE67" s="12" t="str">
        <f>+R24</f>
        <v>A1</v>
      </c>
      <c r="AF67" s="126">
        <v>1</v>
      </c>
      <c r="AG67" s="48">
        <f>IF(AF67+AF71=0,0,IF(AF67=AF71,2,IF(AF67&gt;AF71,3,1)))</f>
        <v>1</v>
      </c>
      <c r="AH67" s="13">
        <f>AF67-AF71</f>
        <v>-12</v>
      </c>
      <c r="AI67" s="9"/>
      <c r="AJ67" s="12" t="str">
        <f>+U24</f>
        <v>A2</v>
      </c>
      <c r="AK67" s="36">
        <v>13</v>
      </c>
      <c r="AL67" s="48">
        <f>IF(AK67+AK71=0,0,IF(AK67=AK71,2,IF(AK67&gt;AK71,3,1)))</f>
        <v>3</v>
      </c>
      <c r="AM67" s="13">
        <f>AK67-AK71</f>
        <v>11</v>
      </c>
      <c r="AN67" s="23"/>
      <c r="AO67" s="128"/>
      <c r="AP67" s="386" t="s">
        <v>28</v>
      </c>
      <c r="AQ67" s="383">
        <f>COUNTIF(AQ9:AQ56,1)</f>
        <v>21</v>
      </c>
      <c r="AR67" s="384"/>
      <c r="AS67" s="384"/>
      <c r="AT67" s="383">
        <f>COUNTIF(AT9:AT56,1)</f>
        <v>22</v>
      </c>
      <c r="AU67" s="383"/>
      <c r="AV67" s="383"/>
      <c r="AW67" s="383">
        <f>COUNTIF(AW9:AW56,1)</f>
        <v>21</v>
      </c>
      <c r="AX67" s="384"/>
      <c r="AY67" s="384"/>
      <c r="AZ67" s="383">
        <f>COUNTIF(AZ9:AZ62,3)</f>
        <v>7</v>
      </c>
      <c r="BA67" s="84"/>
      <c r="BB67" s="84"/>
      <c r="BC67" s="26">
        <f>COUNTIF(BC9:BC56,1)</f>
        <v>0</v>
      </c>
      <c r="BD67" s="26"/>
      <c r="BE67" s="26"/>
      <c r="BF67" s="26">
        <f>COUNTIF(BF9:BF56,1)</f>
        <v>0</v>
      </c>
      <c r="BG67" s="84"/>
      <c r="BH67" s="23"/>
      <c r="BI67" s="23"/>
      <c r="BJ67" s="23"/>
      <c r="BK67" s="23"/>
      <c r="BL67" s="23"/>
      <c r="BM67" s="29"/>
    </row>
    <row r="68" spans="1:65" ht="16.5" thickBot="1">
      <c r="A68" s="128"/>
      <c r="B68" s="29"/>
      <c r="C68" s="29"/>
      <c r="D68" s="128"/>
      <c r="E68" s="128"/>
      <c r="F68" s="128"/>
      <c r="G68" s="128"/>
      <c r="H68" s="23"/>
      <c r="I68" s="25"/>
      <c r="J68" s="128"/>
      <c r="K68" s="128"/>
      <c r="L68" s="128"/>
      <c r="P68" s="23"/>
      <c r="Q68" s="128"/>
      <c r="R68" s="29"/>
      <c r="S68" s="29"/>
      <c r="T68" s="29"/>
      <c r="U68" s="29"/>
      <c r="V68" s="23"/>
      <c r="W68" s="23"/>
      <c r="X68" s="23"/>
      <c r="Y68" s="447"/>
      <c r="Z68" s="14" t="str">
        <f>+P24</f>
        <v>C14</v>
      </c>
      <c r="AA68" s="17">
        <f>IF(ISTEXT(Z68),AA67,0)</f>
        <v>1</v>
      </c>
      <c r="AB68" s="18">
        <f>IF(ISTEXT(Z68),AB67,0)</f>
        <v>1</v>
      </c>
      <c r="AC68" s="19">
        <f>IF(ISTEXT(Z68),AC67,0)</f>
        <v>-10</v>
      </c>
      <c r="AD68" s="9"/>
      <c r="AE68" s="14" t="str">
        <f>+S24</f>
        <v>C2</v>
      </c>
      <c r="AF68" s="17">
        <f>IF(ISTEXT(AE68),AF67,0)</f>
        <v>1</v>
      </c>
      <c r="AG68" s="59">
        <f>IF(ISTEXT(AE68),AG67,0)</f>
        <v>1</v>
      </c>
      <c r="AH68" s="19">
        <f>IF(ISTEXT(AE68),AH67,0)</f>
        <v>-12</v>
      </c>
      <c r="AI68" s="9"/>
      <c r="AJ68" s="14" t="str">
        <f>+V24</f>
        <v>C5</v>
      </c>
      <c r="AK68" s="17">
        <f>IF(ISTEXT(AJ68),AK67,0)</f>
        <v>13</v>
      </c>
      <c r="AL68" s="59">
        <f>IF(ISTEXT(AJ68),AL67,0)</f>
        <v>3</v>
      </c>
      <c r="AM68" s="19">
        <f>IF(ISTEXT(AJ68),AM67,0)</f>
        <v>11</v>
      </c>
      <c r="AN68" s="23"/>
      <c r="AO68" s="128"/>
      <c r="AP68" s="386" t="s">
        <v>44</v>
      </c>
      <c r="AQ68" s="383">
        <f>COUNTIF(AQ9:AQ56,2)</f>
        <v>0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16</v>
      </c>
      <c r="BA68" s="84"/>
      <c r="BB68" s="84"/>
      <c r="BC68" s="26">
        <f>COUNTIF(BC9:BC56,2)</f>
        <v>0</v>
      </c>
      <c r="BD68" s="235"/>
      <c r="BE68" s="235"/>
      <c r="BF68" s="26">
        <f>COUNTIF(BF9:BF56,2)</f>
        <v>0</v>
      </c>
      <c r="BG68" s="84"/>
      <c r="BH68" s="23"/>
      <c r="BI68" s="23"/>
      <c r="BJ68" s="23"/>
      <c r="BK68" s="23"/>
      <c r="BL68" s="23"/>
      <c r="BM68" s="29"/>
    </row>
    <row r="69" spans="1:65" ht="15.75">
      <c r="A69" s="128"/>
      <c r="B69" s="29"/>
      <c r="C69" s="29"/>
      <c r="D69" s="128"/>
      <c r="E69" s="128"/>
      <c r="F69" s="128"/>
      <c r="G69" s="128"/>
      <c r="H69" s="23"/>
      <c r="I69" s="25"/>
      <c r="J69" s="128"/>
      <c r="K69" s="128"/>
      <c r="L69" s="128"/>
      <c r="P69" s="23"/>
      <c r="Q69" s="128"/>
      <c r="R69" s="29"/>
      <c r="S69" s="29"/>
      <c r="T69" s="29"/>
      <c r="U69" s="29"/>
      <c r="V69" s="23"/>
      <c r="W69" s="23"/>
      <c r="X69" s="23"/>
      <c r="Y69" s="447"/>
      <c r="Z69" s="14">
        <f>+Q24</f>
        <v>0</v>
      </c>
      <c r="AA69" s="71">
        <f>IF(ISTEXT(Z69),AA67,0)</f>
        <v>0</v>
      </c>
      <c r="AB69" s="67">
        <f>IF(ISTEXT(Z69),AB67,0)</f>
        <v>0</v>
      </c>
      <c r="AC69" s="72">
        <f>IF(ISTEXT(Z69),AC67,0)</f>
        <v>0</v>
      </c>
      <c r="AD69" s="9"/>
      <c r="AE69" s="14">
        <f>+T24</f>
        <v>0</v>
      </c>
      <c r="AF69" s="71">
        <f>IF(ISTEXT(AE69),AF67,0)</f>
        <v>0</v>
      </c>
      <c r="AG69" s="64">
        <f>IF(ISTEXT(AE69),AG67,0)</f>
        <v>0</v>
      </c>
      <c r="AH69" s="72">
        <f>IF(ISTEXT(AE69),AH67,0)</f>
        <v>0</v>
      </c>
      <c r="AI69" s="9"/>
      <c r="AJ69" s="14">
        <f>+W24</f>
        <v>0</v>
      </c>
      <c r="AK69" s="71">
        <f>IF(ISTEXT(AJ69),AK67,0)</f>
        <v>0</v>
      </c>
      <c r="AL69" s="64">
        <f>IF(ISTEXT(AJ69),AL67,0)</f>
        <v>0</v>
      </c>
      <c r="AM69" s="72">
        <f>IF(ISTEXT(AJ69),AM67,0)</f>
        <v>0</v>
      </c>
      <c r="AN69" s="23"/>
      <c r="AO69" s="23"/>
      <c r="AP69" s="386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0</v>
      </c>
      <c r="BA69" s="84"/>
      <c r="BB69" s="84"/>
      <c r="BC69" s="26">
        <f>COUNTIF(BC9:BC56,3)</f>
        <v>0</v>
      </c>
      <c r="BD69" s="235"/>
      <c r="BE69" s="235"/>
      <c r="BF69" s="26">
        <f>COUNTIF(BF9:BF56,3)</f>
        <v>0</v>
      </c>
      <c r="BG69" s="84"/>
      <c r="BH69" s="23"/>
      <c r="BI69" s="23"/>
      <c r="BJ69" s="23"/>
      <c r="BK69" s="23"/>
      <c r="BL69" s="23"/>
      <c r="BM69" s="29"/>
    </row>
    <row r="70" spans="1:65" ht="15.75">
      <c r="A70" s="128"/>
      <c r="B70" s="29"/>
      <c r="C70" s="29"/>
      <c r="D70" s="128"/>
      <c r="E70" s="128"/>
      <c r="F70" s="128"/>
      <c r="G70" s="128"/>
      <c r="H70" s="23"/>
      <c r="I70" s="25"/>
      <c r="J70" s="128"/>
      <c r="K70" s="128"/>
      <c r="L70" s="128"/>
      <c r="P70" s="23"/>
      <c r="Q70" s="128"/>
      <c r="R70" s="29"/>
      <c r="S70" s="29"/>
      <c r="T70" s="29"/>
      <c r="U70" s="29"/>
      <c r="V70" s="23"/>
      <c r="W70" s="23"/>
      <c r="X70" s="23"/>
      <c r="Y70" s="447"/>
      <c r="Z70" s="32"/>
      <c r="AA70" s="21" t="s">
        <v>5</v>
      </c>
      <c r="AB70" s="21"/>
      <c r="AC70" s="22"/>
      <c r="AD70" s="1"/>
      <c r="AE70" s="32"/>
      <c r="AF70" s="21" t="s">
        <v>5</v>
      </c>
      <c r="AG70" s="21"/>
      <c r="AH70" s="22"/>
      <c r="AI70" s="1"/>
      <c r="AJ70" s="32"/>
      <c r="AK70" s="21" t="s">
        <v>5</v>
      </c>
      <c r="AL70" s="21"/>
      <c r="AM70" s="22"/>
      <c r="AN70" s="23"/>
      <c r="AO70" s="23"/>
      <c r="AP70" s="386" t="s">
        <v>45</v>
      </c>
      <c r="AQ70" s="383">
        <f>COUNTIF(AQ9:AQ56,3)</f>
        <v>21</v>
      </c>
      <c r="AR70" s="384"/>
      <c r="AS70" s="384"/>
      <c r="AT70" s="383">
        <f>COUNTIF(AT9:AT56,3)</f>
        <v>20</v>
      </c>
      <c r="AU70" s="384"/>
      <c r="AV70" s="384"/>
      <c r="AW70" s="383">
        <f>COUNTIF(AW9:AW56,3)</f>
        <v>21</v>
      </c>
      <c r="AX70" s="384"/>
      <c r="AY70" s="384"/>
      <c r="AZ70" s="383">
        <f>COUNTIF(AZ9:AZ62,7)</f>
        <v>16</v>
      </c>
      <c r="BA70" s="84"/>
      <c r="BB70" s="84"/>
      <c r="BC70" s="26">
        <f>COUNTIF(BC9:BC56,0)</f>
        <v>26</v>
      </c>
      <c r="BD70" s="235"/>
      <c r="BE70" s="235"/>
      <c r="BF70" s="26">
        <f>COUNTIF(BF9:BF56,0)</f>
        <v>0</v>
      </c>
      <c r="BG70" s="23"/>
      <c r="BH70" s="23"/>
      <c r="BI70" s="23"/>
      <c r="BJ70" s="23"/>
      <c r="BK70" s="23"/>
      <c r="BL70" s="23"/>
      <c r="BM70" s="29"/>
    </row>
    <row r="71" spans="1:65" ht="15.75">
      <c r="A71" s="128"/>
      <c r="B71" s="29"/>
      <c r="C71" s="29"/>
      <c r="D71" s="128"/>
      <c r="E71" s="128"/>
      <c r="F71" s="128"/>
      <c r="G71" s="128"/>
      <c r="H71" s="23"/>
      <c r="I71" s="25"/>
      <c r="J71" s="128"/>
      <c r="K71" s="128"/>
      <c r="L71" s="128"/>
      <c r="P71" s="23"/>
      <c r="Q71" s="128"/>
      <c r="R71" s="29"/>
      <c r="S71" s="29"/>
      <c r="T71" s="29"/>
      <c r="U71" s="29"/>
      <c r="V71" s="23"/>
      <c r="W71" s="23"/>
      <c r="X71" s="23"/>
      <c r="Y71" s="447"/>
      <c r="Z71" s="14" t="str">
        <f>+O25</f>
        <v>B15</v>
      </c>
      <c r="AA71" s="35">
        <v>11</v>
      </c>
      <c r="AB71" s="30">
        <f>IF(AA67+AA71=0,0,IF(AA67=AA71,2,IF(AA67&lt;AA71,3,1)))</f>
        <v>3</v>
      </c>
      <c r="AC71" s="15">
        <f>AA71-AA67</f>
        <v>10</v>
      </c>
      <c r="AD71" s="9"/>
      <c r="AE71" s="14" t="str">
        <f>+R25</f>
        <v>B15</v>
      </c>
      <c r="AF71" s="127">
        <v>13</v>
      </c>
      <c r="AG71" s="30">
        <f>IF(AF67+AF71=0,0,IF(AF67=AF71,2,IF(AF67&lt;AF71,3,1)))</f>
        <v>3</v>
      </c>
      <c r="AH71" s="15">
        <f>AF71-AF67</f>
        <v>12</v>
      </c>
      <c r="AI71" s="9"/>
      <c r="AJ71" s="14" t="str">
        <f>+U25</f>
        <v>B15</v>
      </c>
      <c r="AK71" s="37">
        <v>2</v>
      </c>
      <c r="AL71" s="30">
        <f>IF(AK67+AK71=0,0,IF(AK67=AK71,2,IF(AK67&lt;AK71,3,1)))</f>
        <v>1</v>
      </c>
      <c r="AM71" s="15">
        <f>AK71-AK67</f>
        <v>-11</v>
      </c>
      <c r="AN71" s="23"/>
      <c r="AO71" s="23"/>
      <c r="AP71" s="386" t="s">
        <v>46</v>
      </c>
      <c r="AQ71" s="383">
        <f>COUNTIF(AQ9:AQ56,0)</f>
        <v>0</v>
      </c>
      <c r="AR71" s="384"/>
      <c r="AS71" s="384"/>
      <c r="AT71" s="383">
        <f>COUNTIF(AT9:AT56,0)</f>
        <v>0</v>
      </c>
      <c r="AU71" s="384"/>
      <c r="AV71" s="384"/>
      <c r="AW71" s="383">
        <f>COUNTIF(AW9:AW56,0)</f>
        <v>0</v>
      </c>
      <c r="AX71" s="384"/>
      <c r="AY71" s="384"/>
      <c r="AZ71" s="383">
        <f>COUNTIF(AZ10:AZ63,9)</f>
        <v>6</v>
      </c>
      <c r="BA71" s="84"/>
      <c r="BB71" s="84"/>
      <c r="BC71" s="26">
        <f>COUNTIF(BC9:BC63,#N/A)</f>
        <v>0</v>
      </c>
      <c r="BD71" s="235"/>
      <c r="BE71" s="235"/>
      <c r="BF71" s="26">
        <f>COUNTIF(BF9:BF63,#N/A)</f>
        <v>0</v>
      </c>
      <c r="BG71" s="23"/>
      <c r="BH71" s="23"/>
      <c r="BI71" s="23"/>
      <c r="BJ71" s="23"/>
      <c r="BK71" s="23"/>
      <c r="BL71" s="23"/>
      <c r="BM71" s="29"/>
    </row>
    <row r="72" spans="1:65" ht="16.5" thickBot="1">
      <c r="A72" s="128"/>
      <c r="B72" s="29"/>
      <c r="C72" s="29"/>
      <c r="D72" s="128"/>
      <c r="E72" s="128"/>
      <c r="F72" s="128"/>
      <c r="G72" s="128"/>
      <c r="H72" s="23"/>
      <c r="I72" s="25"/>
      <c r="J72" s="128"/>
      <c r="K72" s="128"/>
      <c r="L72" s="128"/>
      <c r="P72" s="23"/>
      <c r="Q72" s="128"/>
      <c r="R72" s="29"/>
      <c r="S72" s="29"/>
      <c r="T72" s="29"/>
      <c r="U72" s="29"/>
      <c r="V72" s="23"/>
      <c r="W72" s="23"/>
      <c r="X72" s="23"/>
      <c r="Y72" s="447"/>
      <c r="Z72" s="14" t="str">
        <f>+P25</f>
        <v>C15</v>
      </c>
      <c r="AA72" s="17">
        <f>IF(ISTEXT(Z72),AA71,0)</f>
        <v>11</v>
      </c>
      <c r="AB72" s="18">
        <f>IF(ISTEXT(Z72),AB71,0)</f>
        <v>3</v>
      </c>
      <c r="AC72" s="19">
        <f>IF(ISTEXT(Z72),AC71,0)</f>
        <v>10</v>
      </c>
      <c r="AD72" s="9"/>
      <c r="AE72" s="14" t="str">
        <f>+S25</f>
        <v>C3</v>
      </c>
      <c r="AF72" s="17">
        <f>IF(ISTEXT(AE72),AF71,0)</f>
        <v>13</v>
      </c>
      <c r="AG72" s="18">
        <f>IF(ISTEXT(AE72),AG71,0)</f>
        <v>3</v>
      </c>
      <c r="AH72" s="19">
        <f>IF(ISTEXT(AE72),AH71,0)</f>
        <v>12</v>
      </c>
      <c r="AI72" s="9"/>
      <c r="AJ72" s="14" t="str">
        <f>+V25</f>
        <v>C6</v>
      </c>
      <c r="AK72" s="17">
        <f>IF(ISTEXT(AJ72),AK71,0)</f>
        <v>2</v>
      </c>
      <c r="AL72" s="18">
        <f>IF(ISTEXT(AJ72),AL71,0)</f>
        <v>1</v>
      </c>
      <c r="AM72" s="19">
        <f>IF(ISTEXT(AJ72),AM71,0)</f>
        <v>-11</v>
      </c>
      <c r="AN72" s="23"/>
      <c r="AO72" s="23"/>
      <c r="AP72" s="386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A72" s="84"/>
      <c r="BB72" s="84"/>
      <c r="BC72" s="26">
        <f>SUM(BC67:BC71)</f>
        <v>26</v>
      </c>
      <c r="BD72" s="26"/>
      <c r="BE72" s="26"/>
      <c r="BF72" s="26">
        <f>SUM(BF67:BF71)</f>
        <v>0</v>
      </c>
      <c r="BG72" s="23"/>
      <c r="BH72" s="23"/>
      <c r="BI72" s="23"/>
      <c r="BJ72" s="23"/>
      <c r="BK72" s="23"/>
      <c r="BL72" s="23"/>
      <c r="BM72" s="29"/>
    </row>
    <row r="73" spans="1:65" ht="16.5" thickBot="1">
      <c r="A73" s="128"/>
      <c r="B73" s="29"/>
      <c r="C73" s="29"/>
      <c r="D73" s="128"/>
      <c r="E73" s="128"/>
      <c r="F73" s="128"/>
      <c r="G73" s="128"/>
      <c r="H73" s="23"/>
      <c r="I73" s="25"/>
      <c r="J73" s="128"/>
      <c r="K73" s="128"/>
      <c r="L73" s="128"/>
      <c r="P73" s="23"/>
      <c r="Q73" s="128"/>
      <c r="R73" s="29"/>
      <c r="S73" s="29"/>
      <c r="T73" s="29"/>
      <c r="U73" s="29"/>
      <c r="V73" s="23"/>
      <c r="W73" s="23"/>
      <c r="X73" s="23"/>
      <c r="Y73" s="448"/>
      <c r="Z73" s="16">
        <f>+Q25</f>
        <v>0</v>
      </c>
      <c r="AA73" s="17">
        <f>IF(ISTEXT(Z73),AA71,0)</f>
        <v>0</v>
      </c>
      <c r="AB73" s="18">
        <f>IF(ISTEXT(Z73),AB71,0)</f>
        <v>0</v>
      </c>
      <c r="AC73" s="19">
        <f>IF(ISTEXT(Z73),AC71,0)</f>
        <v>0</v>
      </c>
      <c r="AD73" s="9"/>
      <c r="AE73" s="16">
        <f>+T25</f>
        <v>0</v>
      </c>
      <c r="AF73" s="17">
        <f>IF(ISTEXT(AE73),AF71,0)</f>
        <v>0</v>
      </c>
      <c r="AG73" s="18">
        <f>IF(ISTEXT(AE73),AG71,0)</f>
        <v>0</v>
      </c>
      <c r="AH73" s="19">
        <f>IF(ISTEXT(AE73),AH71,0)</f>
        <v>0</v>
      </c>
      <c r="AI73" s="9"/>
      <c r="AJ73" s="16">
        <f>+W25</f>
        <v>0</v>
      </c>
      <c r="AK73" s="17">
        <f>IF(ISTEXT(AJ73),AK71,0)</f>
        <v>0</v>
      </c>
      <c r="AL73" s="18">
        <f>IF(ISTEXT(AJ73),AL71,0)</f>
        <v>0</v>
      </c>
      <c r="AM73" s="19">
        <f>IF(ISTEXT(AJ73),AM71,0)</f>
        <v>0</v>
      </c>
      <c r="AN73" s="23"/>
      <c r="AO73" s="23"/>
      <c r="AP73" s="386"/>
      <c r="AQ73" s="383">
        <f>SUM(AQ67:AQ72)</f>
        <v>42</v>
      </c>
      <c r="AR73" s="383"/>
      <c r="AS73" s="383"/>
      <c r="AT73" s="383">
        <f>SUM(AT67:AT72)</f>
        <v>42</v>
      </c>
      <c r="AU73" s="383"/>
      <c r="AV73" s="383"/>
      <c r="AW73" s="383">
        <f>SUM(AW67:AW72)</f>
        <v>42</v>
      </c>
      <c r="AX73" s="384"/>
      <c r="AY73" s="384"/>
      <c r="AZ73" s="383">
        <f>SUM(AZ67:AZ72)</f>
        <v>45</v>
      </c>
      <c r="BA73" s="23"/>
      <c r="BB73" s="23"/>
      <c r="BC73" s="23"/>
      <c r="BD73" s="23"/>
      <c r="BE73" s="23"/>
      <c r="BF73" s="23"/>
      <c r="BG73" s="23"/>
      <c r="BH73" s="23"/>
      <c r="BI73" s="23"/>
      <c r="BJ73" s="29"/>
      <c r="BK73" s="29"/>
      <c r="BL73" s="29"/>
      <c r="BM73" s="29"/>
    </row>
    <row r="74" spans="1:65" ht="16.5" thickBot="1">
      <c r="A74" s="128"/>
      <c r="B74" s="29"/>
      <c r="C74" s="29"/>
      <c r="D74" s="128"/>
      <c r="E74" s="128"/>
      <c r="F74" s="128"/>
      <c r="G74" s="128"/>
      <c r="H74" s="23"/>
      <c r="I74" s="25"/>
      <c r="J74" s="128"/>
      <c r="K74" s="128"/>
      <c r="L74" s="128"/>
      <c r="P74" s="23"/>
      <c r="Q74" s="128"/>
      <c r="R74" s="29"/>
      <c r="S74" s="29"/>
      <c r="T74" s="29"/>
      <c r="U74" s="29"/>
      <c r="V74" s="23"/>
      <c r="W74" s="23"/>
      <c r="X74" s="23"/>
      <c r="Y74" s="128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9"/>
      <c r="BK74" s="29"/>
      <c r="BL74" s="29"/>
      <c r="BM74" s="29"/>
    </row>
    <row r="75" spans="1:65" ht="15.75">
      <c r="A75" s="128"/>
      <c r="B75" s="29"/>
      <c r="C75" s="29"/>
      <c r="D75" s="128"/>
      <c r="E75" s="128"/>
      <c r="F75" s="128"/>
      <c r="G75" s="128"/>
      <c r="H75" s="23"/>
      <c r="I75" s="25"/>
      <c r="J75" s="128"/>
      <c r="K75" s="128"/>
      <c r="L75" s="128"/>
      <c r="P75" s="23"/>
      <c r="Q75" s="128"/>
      <c r="R75" s="29"/>
      <c r="S75" s="29"/>
      <c r="T75" s="29"/>
      <c r="U75" s="29"/>
      <c r="V75" s="23"/>
      <c r="W75" s="23"/>
      <c r="X75" s="23"/>
      <c r="Y75" s="446">
        <v>9</v>
      </c>
      <c r="Z75" s="12">
        <f>+O26</f>
        <v>0</v>
      </c>
      <c r="AA75" s="33">
        <v>0</v>
      </c>
      <c r="AB75" s="48">
        <f>IF(AA75+AA79=0,0,IF(AA75=AA79,2,IF(AA75&gt;AA79,3,1)))</f>
        <v>0</v>
      </c>
      <c r="AC75" s="13">
        <f>AA75-AA79</f>
        <v>0</v>
      </c>
      <c r="AD75" s="9"/>
      <c r="AE75" s="12">
        <f>+R26</f>
        <v>0</v>
      </c>
      <c r="AF75" s="126">
        <v>0</v>
      </c>
      <c r="AG75" s="48">
        <f>IF(AF75+AF79=0,0,IF(AF75=AF79,2,IF(AF75&gt;AF79,3,1)))</f>
        <v>0</v>
      </c>
      <c r="AH75" s="13">
        <f>AF75-AF79</f>
        <v>0</v>
      </c>
      <c r="AI75" s="9"/>
      <c r="AJ75" s="12">
        <f>+U26</f>
        <v>0</v>
      </c>
      <c r="AK75" s="36">
        <v>0</v>
      </c>
      <c r="AL75" s="48">
        <f>IF(AK75+AK79=0,0,IF(AK75=AK79,2,IF(AK75&gt;AK79,3,1)))</f>
        <v>0</v>
      </c>
      <c r="AM75" s="13">
        <f>AK75-AK79</f>
        <v>0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9"/>
      <c r="BK75" s="29"/>
      <c r="BL75" s="29"/>
      <c r="BM75" s="29"/>
    </row>
    <row r="76" spans="1:65" ht="16.5" thickBot="1">
      <c r="A76" s="128"/>
      <c r="B76" s="29"/>
      <c r="C76" s="29"/>
      <c r="D76" s="128"/>
      <c r="E76" s="128"/>
      <c r="F76" s="128"/>
      <c r="G76" s="128"/>
      <c r="H76" s="23"/>
      <c r="I76" s="25"/>
      <c r="J76" s="128"/>
      <c r="K76" s="128"/>
      <c r="L76" s="128"/>
      <c r="P76" s="23"/>
      <c r="Q76" s="128"/>
      <c r="R76" s="29"/>
      <c r="S76" s="29"/>
      <c r="T76" s="29"/>
      <c r="U76" s="29"/>
      <c r="V76" s="23"/>
      <c r="W76" s="23"/>
      <c r="X76" s="23"/>
      <c r="Y76" s="447"/>
      <c r="Z76" s="14">
        <f>+P26</f>
        <v>0</v>
      </c>
      <c r="AA76" s="17">
        <f>IF(ISTEXT(Z76),AA75,0)</f>
        <v>0</v>
      </c>
      <c r="AB76" s="18">
        <f>IF(ISTEXT(Z76),AB75,0)</f>
        <v>0</v>
      </c>
      <c r="AC76" s="19">
        <f>IF(ISTEXT(Z76),AC75,0)</f>
        <v>0</v>
      </c>
      <c r="AD76" s="9"/>
      <c r="AE76" s="14">
        <f>+S26</f>
        <v>0</v>
      </c>
      <c r="AF76" s="17">
        <f>IF(ISTEXT(AE76),AF75,0)</f>
        <v>0</v>
      </c>
      <c r="AG76" s="59">
        <f>IF(ISTEXT(AE76),AG75,0)</f>
        <v>0</v>
      </c>
      <c r="AH76" s="19">
        <f>IF(ISTEXT(AE76),AH75,0)</f>
        <v>0</v>
      </c>
      <c r="AI76" s="9"/>
      <c r="AJ76" s="14">
        <f>+V26</f>
        <v>0</v>
      </c>
      <c r="AK76" s="17">
        <f>IF(ISTEXT(AJ76),AK75,0)</f>
        <v>0</v>
      </c>
      <c r="AL76" s="59">
        <f>IF(ISTEXT(AJ76),AL75,0)</f>
        <v>0</v>
      </c>
      <c r="AM76" s="19">
        <f>IF(ISTEXT(AJ76),AM75,0)</f>
        <v>0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9"/>
      <c r="BK76" s="29"/>
      <c r="BL76" s="29"/>
      <c r="BM76" s="29"/>
    </row>
    <row r="77" spans="1:65" ht="15.75">
      <c r="A77" s="128"/>
      <c r="B77" s="29"/>
      <c r="C77" s="29"/>
      <c r="D77" s="128"/>
      <c r="E77" s="128"/>
      <c r="F77" s="128"/>
      <c r="G77" s="128"/>
      <c r="H77" s="23"/>
      <c r="I77" s="25"/>
      <c r="J77" s="128"/>
      <c r="K77" s="128"/>
      <c r="L77" s="128"/>
      <c r="P77" s="23"/>
      <c r="Q77" s="128"/>
      <c r="R77" s="29"/>
      <c r="S77" s="29"/>
      <c r="T77" s="29"/>
      <c r="U77" s="29"/>
      <c r="V77" s="23"/>
      <c r="W77" s="23"/>
      <c r="X77" s="23"/>
      <c r="Y77" s="447"/>
      <c r="Z77" s="14">
        <f>+Q26</f>
        <v>0</v>
      </c>
      <c r="AA77" s="71">
        <f>IF(ISTEXT(Z77),AA75,0)</f>
        <v>0</v>
      </c>
      <c r="AB77" s="67">
        <f>IF(ISTEXT(Z77),AB75,0)</f>
        <v>0</v>
      </c>
      <c r="AC77" s="72">
        <f>IF(ISTEXT(Z77),AC75,0)</f>
        <v>0</v>
      </c>
      <c r="AD77" s="9"/>
      <c r="AE77" s="14">
        <f>+T26</f>
        <v>0</v>
      </c>
      <c r="AF77" s="71">
        <f>IF(ISTEXT(AE77),AF75,0)</f>
        <v>0</v>
      </c>
      <c r="AG77" s="64">
        <f>IF(ISTEXT(AE77),AG75,0)</f>
        <v>0</v>
      </c>
      <c r="AH77" s="72">
        <f>IF(ISTEXT(AE77),AH75,0)</f>
        <v>0</v>
      </c>
      <c r="AI77" s="9"/>
      <c r="AJ77" s="14">
        <f>+W26</f>
        <v>0</v>
      </c>
      <c r="AK77" s="71">
        <f>IF(ISTEXT(AJ77),AK75,0)</f>
        <v>0</v>
      </c>
      <c r="AL77" s="64">
        <f>IF(ISTEXT(AJ77),AL75,0)</f>
        <v>0</v>
      </c>
      <c r="AM77" s="72">
        <f>IF(ISTEXT(AJ77),AM75,0)</f>
        <v>0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9"/>
      <c r="BK77" s="29"/>
      <c r="BL77" s="29"/>
      <c r="BM77" s="29"/>
    </row>
    <row r="78" spans="1:65" ht="15.75">
      <c r="A78" s="128"/>
      <c r="B78" s="29"/>
      <c r="C78" s="29"/>
      <c r="D78" s="128"/>
      <c r="E78" s="128"/>
      <c r="F78" s="128"/>
      <c r="G78" s="128"/>
      <c r="H78" s="23"/>
      <c r="I78" s="25"/>
      <c r="J78" s="128"/>
      <c r="K78" s="128"/>
      <c r="L78" s="128"/>
      <c r="P78" s="23"/>
      <c r="Q78" s="128"/>
      <c r="R78" s="29"/>
      <c r="S78" s="29"/>
      <c r="T78" s="29"/>
      <c r="U78" s="29"/>
      <c r="V78" s="23"/>
      <c r="W78" s="23"/>
      <c r="X78" s="23"/>
      <c r="Y78" s="447"/>
      <c r="Z78" s="32"/>
      <c r="AA78" s="21" t="s">
        <v>5</v>
      </c>
      <c r="AB78" s="21"/>
      <c r="AC78" s="22"/>
      <c r="AD78" s="1"/>
      <c r="AE78" s="32"/>
      <c r="AF78" s="21" t="s">
        <v>5</v>
      </c>
      <c r="AG78" s="21"/>
      <c r="AH78" s="22"/>
      <c r="AI78" s="1"/>
      <c r="AJ78" s="32"/>
      <c r="AK78" s="21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9"/>
      <c r="BK78" s="29"/>
      <c r="BL78" s="29"/>
      <c r="BM78" s="29"/>
    </row>
    <row r="79" spans="1:65" ht="15.75">
      <c r="A79" s="128"/>
      <c r="B79" s="29"/>
      <c r="C79" s="29"/>
      <c r="D79" s="128"/>
      <c r="E79" s="128"/>
      <c r="F79" s="128"/>
      <c r="G79" s="128"/>
      <c r="H79" s="23"/>
      <c r="I79" s="25"/>
      <c r="J79" s="128"/>
      <c r="K79" s="128"/>
      <c r="L79" s="128"/>
      <c r="P79" s="23"/>
      <c r="Q79" s="128"/>
      <c r="R79" s="29"/>
      <c r="S79" s="29"/>
      <c r="T79" s="29"/>
      <c r="U79" s="29"/>
      <c r="V79" s="23"/>
      <c r="W79" s="23"/>
      <c r="X79" s="23"/>
      <c r="Y79" s="447"/>
      <c r="Z79" s="14">
        <f>+O27</f>
        <v>0</v>
      </c>
      <c r="AA79" s="35">
        <v>0</v>
      </c>
      <c r="AB79" s="30">
        <f>IF(AA75+AA79=0,0,IF(AA75=AA79,2,IF(AA75&lt;AA79,3,1)))</f>
        <v>0</v>
      </c>
      <c r="AC79" s="15">
        <f>AA79-AA75</f>
        <v>0</v>
      </c>
      <c r="AD79" s="9"/>
      <c r="AE79" s="14">
        <f>+R27</f>
        <v>0</v>
      </c>
      <c r="AF79" s="127">
        <v>0</v>
      </c>
      <c r="AG79" s="30">
        <f>IF(AF75+AF79=0,0,IF(AF75=AF79,2,IF(AF75&lt;AF79,3,1)))</f>
        <v>0</v>
      </c>
      <c r="AH79" s="15">
        <f>AF79-AF75</f>
        <v>0</v>
      </c>
      <c r="AI79" s="9"/>
      <c r="AJ79" s="14">
        <f>+U27</f>
        <v>0</v>
      </c>
      <c r="AK79" s="37">
        <v>0</v>
      </c>
      <c r="AL79" s="30">
        <f>IF(AK75+AK79=0,0,IF(AK75=AK79,2,IF(AK75&lt;AK79,3,1)))</f>
        <v>0</v>
      </c>
      <c r="AM79" s="15">
        <f>AK79-AK75</f>
        <v>0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9"/>
      <c r="BK79" s="29"/>
      <c r="BL79" s="29"/>
      <c r="BM79" s="29"/>
    </row>
    <row r="80" spans="1:65" ht="16.5" thickBot="1">
      <c r="A80" s="128"/>
      <c r="B80" s="29"/>
      <c r="C80" s="29"/>
      <c r="D80" s="128"/>
      <c r="E80" s="128"/>
      <c r="F80" s="128"/>
      <c r="G80" s="128"/>
      <c r="H80" s="23"/>
      <c r="I80" s="25"/>
      <c r="J80" s="128"/>
      <c r="K80" s="128"/>
      <c r="L80" s="128"/>
      <c r="P80" s="23"/>
      <c r="Q80" s="128"/>
      <c r="R80" s="29"/>
      <c r="S80" s="29"/>
      <c r="T80" s="29"/>
      <c r="U80" s="29"/>
      <c r="V80" s="23"/>
      <c r="W80" s="23"/>
      <c r="X80" s="23"/>
      <c r="Y80" s="447"/>
      <c r="Z80" s="14">
        <f>+P27</f>
        <v>0</v>
      </c>
      <c r="AA80" s="17">
        <f>IF(ISTEXT(Z80),AA79,0)</f>
        <v>0</v>
      </c>
      <c r="AB80" s="18">
        <f>IF(ISTEXT(Z80),AB79,0)</f>
        <v>0</v>
      </c>
      <c r="AC80" s="19">
        <f>IF(ISTEXT(Z80),AC79,0)</f>
        <v>0</v>
      </c>
      <c r="AD80" s="9"/>
      <c r="AE80" s="14">
        <f>+S27</f>
        <v>0</v>
      </c>
      <c r="AF80" s="17">
        <f>IF(ISTEXT(AE80),AF79,0)</f>
        <v>0</v>
      </c>
      <c r="AG80" s="18">
        <f>IF(ISTEXT(AE80),AG79,0)</f>
        <v>0</v>
      </c>
      <c r="AH80" s="19">
        <f>IF(ISTEXT(AE80),AH79,0)</f>
        <v>0</v>
      </c>
      <c r="AI80" s="9"/>
      <c r="AJ80" s="14">
        <f>+V27</f>
        <v>0</v>
      </c>
      <c r="AK80" s="17">
        <f>IF(ISTEXT(AJ80),AK79,0)</f>
        <v>0</v>
      </c>
      <c r="AL80" s="18">
        <f>IF(ISTEXT(AJ80),AL79,0)</f>
        <v>0</v>
      </c>
      <c r="AM80" s="19">
        <f>IF(ISTEXT(AJ80),AM79,0)</f>
        <v>0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9"/>
      <c r="BK80" s="29"/>
      <c r="BL80" s="29"/>
      <c r="BM80" s="29"/>
    </row>
    <row r="81" spans="1:65" ht="16.5" thickBot="1">
      <c r="A81" s="128"/>
      <c r="B81" s="29"/>
      <c r="C81" s="29"/>
      <c r="D81" s="128"/>
      <c r="E81" s="128"/>
      <c r="F81" s="128"/>
      <c r="G81" s="128"/>
      <c r="H81" s="23"/>
      <c r="I81" s="25"/>
      <c r="J81" s="128"/>
      <c r="K81" s="128"/>
      <c r="L81" s="128"/>
      <c r="P81" s="23"/>
      <c r="Q81" s="128"/>
      <c r="R81" s="29"/>
      <c r="S81" s="29"/>
      <c r="T81" s="29"/>
      <c r="U81" s="29"/>
      <c r="V81" s="23"/>
      <c r="W81" s="23"/>
      <c r="X81" s="23"/>
      <c r="Y81" s="448"/>
      <c r="Z81" s="16">
        <f>+Q27</f>
        <v>0</v>
      </c>
      <c r="AA81" s="17">
        <f>IF(ISTEXT(Z81),AA79,0)</f>
        <v>0</v>
      </c>
      <c r="AB81" s="18">
        <f>IF(ISTEXT(Z81),AB79,0)</f>
        <v>0</v>
      </c>
      <c r="AC81" s="19">
        <f>IF(ISTEXT(Z81),AC79,0)</f>
        <v>0</v>
      </c>
      <c r="AD81" s="9"/>
      <c r="AE81" s="16">
        <f>+T27</f>
        <v>0</v>
      </c>
      <c r="AF81" s="17">
        <f>IF(ISTEXT(AE81),AF79,0)</f>
        <v>0</v>
      </c>
      <c r="AG81" s="18">
        <f>IF(ISTEXT(AE81),AG79,0)</f>
        <v>0</v>
      </c>
      <c r="AH81" s="19">
        <f>IF(ISTEXT(AE81),AH79,0)</f>
        <v>0</v>
      </c>
      <c r="AI81" s="9"/>
      <c r="AJ81" s="16">
        <f>+W27</f>
        <v>0</v>
      </c>
      <c r="AK81" s="17">
        <f>IF(ISTEXT(AJ81),AK79,0)</f>
        <v>0</v>
      </c>
      <c r="AL81" s="18">
        <f>IF(ISTEXT(AJ81),AL79,0)</f>
        <v>0</v>
      </c>
      <c r="AM81" s="19">
        <f>IF(ISTEXT(AJ81),AM79,0)</f>
        <v>0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9"/>
      <c r="BK81" s="29"/>
      <c r="BL81" s="29"/>
      <c r="BM81" s="29"/>
    </row>
    <row r="82" spans="1:65" ht="15.75">
      <c r="A82" s="128"/>
      <c r="B82" s="29"/>
      <c r="C82" s="29"/>
      <c r="D82" s="128"/>
      <c r="E82" s="128"/>
      <c r="F82" s="128"/>
      <c r="G82" s="128"/>
      <c r="H82" s="23"/>
      <c r="I82" s="25"/>
      <c r="J82" s="128"/>
      <c r="K82" s="128"/>
      <c r="L82" s="128"/>
      <c r="P82" s="23"/>
      <c r="Q82" s="128"/>
      <c r="R82" s="29"/>
      <c r="S82" s="29"/>
      <c r="T82" s="29"/>
      <c r="U82" s="29"/>
      <c r="V82" s="23"/>
      <c r="W82" s="23"/>
      <c r="X82" s="23"/>
      <c r="Y82" s="128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</row>
    <row r="83" spans="1:65" ht="15.75">
      <c r="A83" s="128"/>
      <c r="B83" s="29"/>
      <c r="C83" s="29"/>
      <c r="D83" s="128"/>
      <c r="E83" s="128"/>
      <c r="F83" s="128"/>
      <c r="G83" s="128"/>
      <c r="H83" s="23"/>
      <c r="I83" s="25"/>
      <c r="J83" s="128"/>
      <c r="K83" s="128"/>
      <c r="L83" s="128"/>
      <c r="P83" s="23"/>
      <c r="Q83" s="128"/>
      <c r="R83" s="29"/>
      <c r="S83" s="29"/>
      <c r="T83" s="29"/>
      <c r="U83" s="29"/>
      <c r="V83" s="23"/>
      <c r="W83" s="23"/>
      <c r="X83" s="23"/>
      <c r="Y83" s="128"/>
      <c r="Z83" s="8"/>
      <c r="AA83" s="8"/>
      <c r="AB83" s="79">
        <f t="array" ref="AB83">SUM(AB11:AB81)</f>
        <v>89</v>
      </c>
      <c r="AC83" s="79">
        <f t="array" ref="AC83">SUM(AC11:AC81)</f>
        <v>-9</v>
      </c>
      <c r="AD83" s="23"/>
      <c r="AE83" s="23"/>
      <c r="AF83" s="23"/>
      <c r="AG83" s="79">
        <f t="array" ref="AG83">SUM(AG11:AG81)</f>
        <v>89</v>
      </c>
      <c r="AH83" s="79">
        <f t="array" ref="AH83">SUM(AH11:AH81)</f>
        <v>-11</v>
      </c>
      <c r="AI83" s="23"/>
      <c r="AJ83" s="23"/>
      <c r="AK83" s="23"/>
      <c r="AL83" s="79">
        <f t="array" ref="AL83">SUM(AL11:AL81)</f>
        <v>89</v>
      </c>
      <c r="AM83" s="79">
        <f t="array" ref="AM83">SUM(AM11:AM81)</f>
        <v>-8</v>
      </c>
      <c r="AN83" s="23"/>
      <c r="AO83" s="23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</row>
    <row r="84" spans="1:65" ht="15.75">
      <c r="A84" s="128"/>
      <c r="B84" s="29"/>
      <c r="C84" s="29"/>
      <c r="D84" s="128"/>
      <c r="E84" s="128"/>
      <c r="F84" s="128"/>
      <c r="G84" s="128"/>
      <c r="H84" s="23"/>
      <c r="I84" s="25"/>
      <c r="J84" s="128"/>
      <c r="K84" s="128"/>
      <c r="L84" s="128"/>
      <c r="P84" s="23"/>
      <c r="Q84" s="128"/>
      <c r="R84" s="29"/>
      <c r="S84" s="29"/>
      <c r="T84" s="29"/>
      <c r="U84" s="29"/>
      <c r="V84" s="23"/>
      <c r="W84" s="23"/>
      <c r="X84" s="23"/>
      <c r="Y84" s="128"/>
      <c r="Z84" s="8"/>
      <c r="AA84" s="8"/>
      <c r="AB84" s="8"/>
      <c r="AC84" s="79" t="str">
        <f>IF(AC83=0,"OK","ERREUR")</f>
        <v>ERREUR</v>
      </c>
      <c r="AD84" s="23"/>
      <c r="AE84" s="23"/>
      <c r="AF84" s="23"/>
      <c r="AG84" s="8"/>
      <c r="AH84" s="79" t="str">
        <f>IF(AH83=0,"OK","ERREUR")</f>
        <v>ERREUR</v>
      </c>
      <c r="AI84" s="23"/>
      <c r="AJ84" s="23"/>
      <c r="AK84" s="23"/>
      <c r="AL84" s="8"/>
      <c r="AM84" s="79" t="str">
        <f>IF(AM83=0,"OK","ERREUR")</f>
        <v>ERREUR</v>
      </c>
      <c r="AN84" s="23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</row>
    <row r="85" spans="1:65" ht="15.75">
      <c r="A85" s="128"/>
      <c r="B85" s="29"/>
      <c r="C85" s="29"/>
      <c r="D85" s="128"/>
      <c r="E85" s="128"/>
      <c r="F85" s="128"/>
      <c r="G85" s="128"/>
      <c r="H85" s="23"/>
      <c r="I85" s="25"/>
      <c r="J85" s="128"/>
      <c r="K85" s="128"/>
      <c r="L85" s="128"/>
      <c r="P85" s="23"/>
      <c r="Q85" s="128"/>
      <c r="R85" s="29"/>
      <c r="S85" s="29"/>
      <c r="T85" s="29"/>
      <c r="U85" s="29"/>
      <c r="V85" s="23"/>
      <c r="W85" s="23"/>
      <c r="X85" s="23"/>
      <c r="Y85" s="12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</row>
    <row r="86" spans="1:65" ht="15.75">
      <c r="A86" s="128"/>
      <c r="B86" s="29"/>
      <c r="C86" s="29"/>
      <c r="D86" s="128"/>
      <c r="E86" s="128"/>
      <c r="F86" s="128"/>
      <c r="G86" s="128"/>
      <c r="H86" s="23"/>
      <c r="I86" s="25"/>
      <c r="J86" s="128"/>
      <c r="K86" s="128"/>
      <c r="L86" s="128"/>
      <c r="P86" s="23"/>
      <c r="Q86" s="128"/>
      <c r="R86" s="29"/>
      <c r="S86" s="29"/>
      <c r="T86" s="29"/>
      <c r="U86" s="29"/>
      <c r="V86" s="23"/>
      <c r="W86" s="23"/>
      <c r="X86" s="23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</row>
    <row r="87" spans="1:65" ht="15.75">
      <c r="A87" s="128"/>
      <c r="B87" s="29"/>
      <c r="C87" s="29"/>
      <c r="D87" s="128"/>
      <c r="E87" s="128"/>
      <c r="F87" s="128"/>
      <c r="G87" s="128"/>
      <c r="H87" s="23"/>
      <c r="I87" s="25"/>
      <c r="J87" s="128"/>
      <c r="K87" s="128"/>
      <c r="L87" s="128"/>
      <c r="P87" s="23"/>
      <c r="Q87" s="128"/>
      <c r="R87" s="29"/>
      <c r="S87" s="29"/>
      <c r="T87" s="29"/>
      <c r="U87" s="29"/>
      <c r="V87" s="23"/>
      <c r="W87" s="23"/>
      <c r="X87" s="23"/>
      <c r="AN87" s="29"/>
      <c r="AO87" s="29"/>
      <c r="BM87" s="29"/>
    </row>
    <row r="88" spans="1:65" ht="15.75">
      <c r="A88" s="128"/>
      <c r="B88" s="29"/>
      <c r="C88" s="29"/>
      <c r="D88" s="128"/>
      <c r="E88" s="128"/>
      <c r="F88" s="128"/>
      <c r="G88" s="128"/>
      <c r="H88" s="23"/>
      <c r="I88" s="25"/>
      <c r="J88" s="128"/>
      <c r="K88" s="128"/>
      <c r="L88" s="128"/>
      <c r="P88" s="23"/>
      <c r="Q88" s="128"/>
      <c r="R88" s="29"/>
      <c r="S88" s="29"/>
      <c r="T88" s="29"/>
      <c r="U88" s="29"/>
      <c r="V88" s="23"/>
      <c r="W88" s="23"/>
      <c r="X88" s="23"/>
      <c r="AN88" s="29"/>
      <c r="AO88" s="29"/>
      <c r="BM88" s="29"/>
    </row>
    <row r="89" spans="1:65" ht="15.75">
      <c r="A89" s="128"/>
      <c r="B89" s="29"/>
      <c r="C89" s="29"/>
      <c r="D89" s="128"/>
      <c r="E89" s="128"/>
      <c r="F89" s="128"/>
      <c r="G89" s="128"/>
      <c r="H89" s="23"/>
      <c r="I89" s="25"/>
      <c r="J89" s="128"/>
      <c r="K89" s="128"/>
      <c r="L89" s="128"/>
      <c r="P89" s="23"/>
      <c r="Q89" s="128"/>
      <c r="R89" s="29"/>
      <c r="S89" s="29"/>
      <c r="T89" s="29"/>
      <c r="U89" s="29"/>
      <c r="V89" s="23"/>
      <c r="W89" s="23"/>
      <c r="X89" s="23"/>
      <c r="AN89" s="29"/>
      <c r="BM89" s="29"/>
    </row>
  </sheetData>
  <sheetProtection sheet="1" objects="1" scenarios="1" formatCells="0" formatColumns="0" formatRows="0" insertColumns="0" insertRows="0" insertHyperlinks="0" deleteColumns="0" deleteRows="0"/>
  <mergeCells count="34">
    <mergeCell ref="Y67:Y73"/>
    <mergeCell ref="Y75:Y81"/>
    <mergeCell ref="Y11:Y17"/>
    <mergeCell ref="Y19:Y25"/>
    <mergeCell ref="Y27:Y33"/>
    <mergeCell ref="Y35:Y41"/>
    <mergeCell ref="Y43:Y49"/>
    <mergeCell ref="B1:D1"/>
    <mergeCell ref="N1:P1"/>
    <mergeCell ref="B5:D5"/>
    <mergeCell ref="Y51:Y57"/>
    <mergeCell ref="Y59:Y65"/>
    <mergeCell ref="Q3:S3"/>
    <mergeCell ref="Q5:Q6"/>
    <mergeCell ref="S5:S6"/>
    <mergeCell ref="T5:T6"/>
    <mergeCell ref="B9:C9"/>
    <mergeCell ref="D9:E9"/>
    <mergeCell ref="F9:G9"/>
    <mergeCell ref="J9:L9"/>
    <mergeCell ref="O9:Q9"/>
    <mergeCell ref="D7:E7"/>
    <mergeCell ref="BH7:BL7"/>
    <mergeCell ref="Z7:AC7"/>
    <mergeCell ref="AE7:AH7"/>
    <mergeCell ref="AJ7:AM7"/>
    <mergeCell ref="AQ7:AS7"/>
    <mergeCell ref="AT7:AV7"/>
    <mergeCell ref="AW7:AY7"/>
    <mergeCell ref="D8:E8"/>
    <mergeCell ref="O8:W8"/>
    <mergeCell ref="R9:T9"/>
    <mergeCell ref="U9:W9"/>
    <mergeCell ref="AZ7:BB7"/>
  </mergeCells>
  <conditionalFormatting sqref="J10:L27">
    <cfRule type="duplicateValues" dxfId="52" priority="96"/>
  </conditionalFormatting>
  <conditionalFormatting sqref="O10:Q27">
    <cfRule type="cellIs" dxfId="51" priority="94" operator="equal">
      <formula>0</formula>
    </cfRule>
    <cfRule type="duplicateValues" dxfId="50" priority="95"/>
  </conditionalFormatting>
  <conditionalFormatting sqref="R10:T27">
    <cfRule type="cellIs" dxfId="49" priority="92" operator="equal">
      <formula>0</formula>
    </cfRule>
    <cfRule type="duplicateValues" dxfId="48" priority="93"/>
  </conditionalFormatting>
  <conditionalFormatting sqref="U10:W27">
    <cfRule type="cellIs" dxfId="47" priority="90" operator="equal">
      <formula>0</formula>
    </cfRule>
    <cfRule type="duplicateValues" dxfId="46" priority="91"/>
  </conditionalFormatting>
  <conditionalFormatting sqref="AC55:AC57 AH55:AH57 AM55:AM57 AC59:AC61 AH59:AH61 AM59:AM61 AC63:AC69 AH63:AH69 AM63:AM69 AC71:AC81 AH71:AH81 AM71:AM81 AC11:AC12 AH11:AH12 AM11:AM13 AC15:AC17 AH15:AH17 AM15:AM17 AC19:AC21 AH19:AH21 AM19:AM21 AC23:AC25 AH23:AH25 AM23:AM25 AC27:AC29 AH27:AH29 AM27:AM29 AC31:AC37 AH31:AH37 AM31:AM37 AC39:AC45 AH39:AH45 AM39:AM45 AC47:AC53 AH47:AH53 AM47:AM53 BC9:BD62">
    <cfRule type="cellIs" dxfId="45" priority="89" stopIfTrue="1" operator="lessThan">
      <formula>0</formula>
    </cfRule>
  </conditionalFormatting>
  <conditionalFormatting sqref="AH84 AM84 AC84">
    <cfRule type="colorScale" priority="88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AM83 AH83 AC83">
    <cfRule type="colorScale" priority="87">
      <colorScale>
        <cfvo type="num" val="-1"/>
        <cfvo type="percentile" val="0"/>
        <cfvo type="num" val="1"/>
        <color rgb="FFFF0000"/>
        <color rgb="FF00FF00"/>
        <color rgb="FFFF0000"/>
      </colorScale>
    </cfRule>
  </conditionalFormatting>
  <conditionalFormatting sqref="AM84">
    <cfRule type="containsText" dxfId="44" priority="85" operator="containsText" text="ERREUR">
      <formula>NOT(ISERROR(SEARCH("ERREUR",AM84)))</formula>
    </cfRule>
    <cfRule type="containsText" dxfId="43" priority="86" operator="containsText" text="OK">
      <formula>NOT(ISERROR(SEARCH("OK",AM84)))</formula>
    </cfRule>
  </conditionalFormatting>
  <conditionalFormatting sqref="AH84 AC84">
    <cfRule type="containsText" dxfId="42" priority="84" operator="containsText" text="OK">
      <formula>NOT(ISERROR(SEARCH("OK",AC84)))</formula>
    </cfRule>
  </conditionalFormatting>
  <conditionalFormatting sqref="BL55:BL60">
    <cfRule type="duplicateValues" dxfId="41" priority="79"/>
  </conditionalFormatting>
  <conditionalFormatting sqref="E10:E27">
    <cfRule type="cellIs" dxfId="40" priority="77" operator="equal">
      <formula>0</formula>
    </cfRule>
    <cfRule type="cellIs" dxfId="39" priority="78" operator="equal">
      <formula>6.5</formula>
    </cfRule>
  </conditionalFormatting>
  <conditionalFormatting sqref="C10:C27 G10:G27">
    <cfRule type="cellIs" dxfId="38" priority="76" operator="equal">
      <formula>0</formula>
    </cfRule>
  </conditionalFormatting>
  <conditionalFormatting sqref="E10:E27">
    <cfRule type="top10" dxfId="37" priority="66" rank="1"/>
    <cfRule type="cellIs" dxfId="36" priority="67" operator="equal">
      <formula>0</formula>
    </cfRule>
  </conditionalFormatting>
  <conditionalFormatting sqref="BN9:BN18">
    <cfRule type="duplicateValues" dxfId="35" priority="64"/>
  </conditionalFormatting>
  <conditionalFormatting sqref="BA64:BB65 AX64:AY65 AU64:AV65 AR64:AS65 BJ64:BK65">
    <cfRule type="containsText" dxfId="34" priority="52" operator="containsText" text="ERREUR">
      <formula>NOT(ISERROR(SEARCH("ERREUR",AR64)))</formula>
    </cfRule>
    <cfRule type="containsText" dxfId="33" priority="53" operator="containsText" text="OK">
      <formula>NOT(ISERROR(SEARCH("OK",AR64)))</formula>
    </cfRule>
  </conditionalFormatting>
  <conditionalFormatting sqref="AH83 AM83 AC83">
    <cfRule type="colorScale" priority="42">
      <colorScale>
        <cfvo type="num" val="-10"/>
        <cfvo type="percentile" val="0"/>
        <cfvo type="num" val="10"/>
        <color rgb="FFFF66FF"/>
        <color rgb="FF00FF00"/>
        <color rgb="FFFF00FF"/>
      </colorScale>
    </cfRule>
  </conditionalFormatting>
  <conditionalFormatting sqref="O10:W27">
    <cfRule type="cellIs" dxfId="32" priority="38" stopIfTrue="1" operator="equal">
      <formula>0</formula>
    </cfRule>
  </conditionalFormatting>
  <conditionalFormatting sqref="AH83">
    <cfRule type="colorScale" priority="37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AM84 AH84 AC84 BA64 AX64 AU64 AR64 BJ64">
    <cfRule type="containsText" dxfId="31" priority="35" operator="containsText" text="ERREUR">
      <formula>NOT(ISERROR(SEARCH("ERREUR",AC64)))</formula>
    </cfRule>
    <cfRule type="containsText" dxfId="30" priority="36" operator="containsText" text="OK">
      <formula>NOT(ISERROR(SEARCH("OK",AC64)))</formula>
    </cfRule>
  </conditionalFormatting>
  <conditionalFormatting sqref="BA63 AM83 AR63 AU63 AX63 BJ63">
    <cfRule type="colorScale" priority="29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AC83">
    <cfRule type="colorScale" priority="27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28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A63:BB63 BJ63">
    <cfRule type="colorScale" priority="26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BL9:BL60">
    <cfRule type="duplicateValues" dxfId="29" priority="238"/>
  </conditionalFormatting>
  <conditionalFormatting sqref="BL55:BL62">
    <cfRule type="duplicateValues" dxfId="28" priority="303"/>
  </conditionalFormatting>
  <conditionalFormatting sqref="BL9:BL62">
    <cfRule type="duplicateValues" dxfId="27" priority="319"/>
  </conditionalFormatting>
  <conditionalFormatting sqref="BL62">
    <cfRule type="duplicateValues" dxfId="26" priority="2"/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CC99"/>
  </sheetPr>
  <dimension ref="A1:BN89"/>
  <sheetViews>
    <sheetView zoomScale="70" zoomScaleNormal="70" workbookViewId="0">
      <selection activeCell="Q3" sqref="Q3:S3"/>
    </sheetView>
  </sheetViews>
  <sheetFormatPr baseColWidth="10" defaultRowHeight="12.75"/>
  <cols>
    <col min="2" max="2" width="20.7109375" customWidth="1"/>
    <col min="3" max="3" width="6.28515625" customWidth="1"/>
    <col min="4" max="4" width="23.85546875" customWidth="1"/>
    <col min="5" max="5" width="6.5703125" customWidth="1"/>
    <col min="6" max="6" width="24.28515625" customWidth="1"/>
    <col min="7" max="7" width="5.85546875" customWidth="1"/>
    <col min="8" max="8" width="6.5703125" hidden="1" customWidth="1"/>
    <col min="9" max="9" width="7.5703125" hidden="1" customWidth="1"/>
    <col min="10" max="10" width="20" hidden="1" customWidth="1"/>
    <col min="11" max="11" width="22" hidden="1" customWidth="1"/>
    <col min="12" max="12" width="19.42578125" hidden="1" customWidth="1"/>
    <col min="13" max="13" width="7.140625" customWidth="1"/>
    <col min="14" max="14" width="9.140625" customWidth="1"/>
    <col min="15" max="15" width="22.42578125" customWidth="1"/>
    <col min="16" max="16" width="21.28515625" customWidth="1"/>
    <col min="17" max="17" width="20.7109375" customWidth="1"/>
    <col min="18" max="18" width="22.140625" customWidth="1"/>
    <col min="19" max="19" width="20.85546875" customWidth="1"/>
    <col min="20" max="20" width="20" customWidth="1"/>
    <col min="21" max="21" width="22.28515625" customWidth="1"/>
    <col min="22" max="22" width="20" customWidth="1"/>
    <col min="23" max="23" width="20.42578125" customWidth="1"/>
    <col min="24" max="24" width="5.28515625" customWidth="1"/>
    <col min="25" max="25" width="8.28515625" customWidth="1"/>
    <col min="26" max="26" width="20.5703125" customWidth="1"/>
    <col min="27" max="27" width="7.42578125" customWidth="1"/>
    <col min="28" max="28" width="7.5703125" customWidth="1"/>
    <col min="29" max="29" width="6.28515625" customWidth="1"/>
    <col min="30" max="30" width="3.42578125" customWidth="1"/>
    <col min="31" max="31" width="20.85546875" customWidth="1"/>
    <col min="32" max="32" width="6.7109375" customWidth="1"/>
    <col min="33" max="33" width="5" customWidth="1"/>
    <col min="34" max="34" width="5.7109375" customWidth="1"/>
    <col min="35" max="35" width="3.85546875" customWidth="1"/>
    <col min="36" max="36" width="21.140625" customWidth="1"/>
    <col min="37" max="37" width="8.85546875" customWidth="1"/>
    <col min="38" max="38" width="5.85546875" customWidth="1"/>
    <col min="39" max="39" width="6.7109375" customWidth="1"/>
    <col min="40" max="40" width="4.85546875" customWidth="1"/>
    <col min="41" max="41" width="11.42578125" customWidth="1"/>
    <col min="42" max="42" width="23.7109375" customWidth="1"/>
    <col min="43" max="43" width="8.140625" customWidth="1"/>
    <col min="44" max="44" width="8" customWidth="1"/>
    <col min="45" max="45" width="9" customWidth="1"/>
    <col min="46" max="46" width="8.7109375" customWidth="1"/>
    <col min="47" max="50" width="8.5703125" customWidth="1"/>
    <col min="51" max="51" width="8.42578125" customWidth="1"/>
    <col min="52" max="56" width="11.42578125" customWidth="1"/>
    <col min="57" max="57" width="17.5703125" hidden="1" customWidth="1"/>
    <col min="58" max="58" width="11.42578125" hidden="1" customWidth="1"/>
    <col min="59" max="59" width="11.42578125" customWidth="1"/>
    <col min="60" max="60" width="24.140625" customWidth="1"/>
    <col min="61" max="64" width="11.42578125" customWidth="1"/>
    <col min="65" max="65" width="6.5703125" customWidth="1"/>
    <col min="66" max="66" width="0" hidden="1" customWidth="1"/>
  </cols>
  <sheetData>
    <row r="1" spans="1:66" ht="27" thickBot="1">
      <c r="A1" s="128"/>
      <c r="B1" s="420" t="s">
        <v>36</v>
      </c>
      <c r="C1" s="420"/>
      <c r="D1" s="420"/>
      <c r="E1" s="132"/>
      <c r="F1" s="132"/>
      <c r="G1" s="132"/>
      <c r="H1" s="132"/>
      <c r="I1" s="132"/>
      <c r="J1" s="84"/>
      <c r="K1" s="84"/>
      <c r="L1" s="133" t="s">
        <v>37</v>
      </c>
      <c r="N1" s="443" t="s">
        <v>121</v>
      </c>
      <c r="O1" s="444"/>
      <c r="P1" s="445"/>
      <c r="R1" s="84"/>
      <c r="S1" s="84"/>
      <c r="T1" s="132"/>
      <c r="X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</row>
    <row r="2" spans="1:66" ht="18.75">
      <c r="A2" s="128"/>
      <c r="B2" s="29"/>
      <c r="C2" s="29"/>
      <c r="D2" s="80"/>
      <c r="E2" s="80"/>
      <c r="F2" s="128"/>
      <c r="G2" s="128"/>
      <c r="H2" s="23"/>
      <c r="I2" s="25"/>
      <c r="J2" s="128"/>
      <c r="K2" s="128"/>
      <c r="L2" s="128"/>
      <c r="P2" s="23"/>
      <c r="Q2" s="128"/>
      <c r="R2" s="29"/>
      <c r="S2" s="29"/>
      <c r="T2" s="29"/>
      <c r="U2" s="45"/>
      <c r="V2" s="45"/>
      <c r="W2" s="45"/>
      <c r="X2" s="45"/>
      <c r="AA2" s="45"/>
      <c r="AB2" s="45"/>
      <c r="AC2" s="45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9"/>
      <c r="BA2" s="29"/>
      <c r="BB2" s="29"/>
      <c r="BC2" s="29"/>
    </row>
    <row r="3" spans="1:66" ht="23.25">
      <c r="A3" s="134"/>
      <c r="B3" s="277" t="s">
        <v>62</v>
      </c>
      <c r="C3" s="29"/>
      <c r="D3" s="276" t="s">
        <v>53</v>
      </c>
      <c r="H3" s="23"/>
      <c r="I3" s="25"/>
      <c r="J3" s="128"/>
      <c r="K3" s="128"/>
      <c r="L3" s="128"/>
      <c r="P3" s="23"/>
      <c r="Q3" s="442" t="s">
        <v>38</v>
      </c>
      <c r="R3" s="442"/>
      <c r="S3" s="442"/>
      <c r="T3" s="29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9"/>
      <c r="BD3" s="29"/>
      <c r="BE3" s="29"/>
      <c r="BF3" s="29"/>
    </row>
    <row r="4" spans="1:66" ht="24" thickBot="1">
      <c r="A4" s="134"/>
      <c r="B4" s="134"/>
      <c r="C4" s="29"/>
      <c r="D4" s="80"/>
      <c r="E4" s="80"/>
      <c r="F4" s="128"/>
      <c r="I4" s="25"/>
      <c r="J4" s="128"/>
      <c r="K4" s="128"/>
      <c r="L4" s="128"/>
      <c r="P4" s="23"/>
      <c r="Q4" s="128"/>
      <c r="R4" s="156"/>
      <c r="S4" s="156"/>
      <c r="V4" s="47"/>
      <c r="W4" s="46"/>
      <c r="X4" s="44" t="s">
        <v>22</v>
      </c>
      <c r="Y4" s="45"/>
      <c r="Z4" s="45"/>
      <c r="AA4" s="46"/>
      <c r="AB4" s="45"/>
      <c r="AC4" s="45"/>
      <c r="AD4" s="45"/>
      <c r="AE4" s="45"/>
      <c r="AF4" s="45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9"/>
      <c r="BB4" s="29"/>
      <c r="BC4" s="29"/>
      <c r="BD4" s="29"/>
      <c r="BE4" s="29"/>
      <c r="BF4" s="29"/>
    </row>
    <row r="5" spans="1:66" ht="26.25" thickBot="1">
      <c r="A5" s="135">
        <f>+Q5</f>
        <v>54</v>
      </c>
      <c r="B5" s="424" t="s">
        <v>120</v>
      </c>
      <c r="C5" s="425"/>
      <c r="D5" s="426"/>
      <c r="P5" s="84"/>
      <c r="Q5" s="451">
        <v>54</v>
      </c>
      <c r="R5" s="84"/>
      <c r="S5" s="479">
        <f>IF(Q5=8,2,IF($Q$5=9,2,IF($Q$5=10,2,IF($Q$5=11,2,IF($Q$5=12,2,IF($Q$5=13,3,IF(Q5=14,3,IF($Q$5=15,3,IF(Q5=16,3,IF($Q$5=17,3,IF(Q5=18,3,IF($Q$5=19,4,IF(Q5=20,4,IF($Q$5=21,4,IF(Q5=22,4,IF($Q$5=23,4,IF(Q5=24,4,IF($Q$5=25,5,IF(Q5=26,5,IF($Q$5=27,5,IF(Q5=28,5,IF($Q$5=29,5,IF(Q5=30,5,IF($Q$5=31,6,IF(Q5=32,6,IF($Q$5=33,6,IF($Q$5=34,6,IF($Q$5=35,6,IF($Q$5=36,6,IF($Q$5=37,7,IF($Q$5=38,7,IF($Q$5=39,7,IF($Q$5=40,7,IF($Q$5=41,7,IF($Q$5=42,7,IF($Q$5=43,8,IF($Q$5=44,8,IF($Q$5=45,8,IF($Q$5=46,8,IF($Q$5=47,8,IF($Q$5=48,8,IF($Q$5=49,9,IF($Q$5=50,9,IF($Q$5=51,9,IF($Q$5=52,9,IF($Q$5=53,9,IF($Q$5=54,9,0)))))))))))))))))))))))))))))))))))))))))))))))</f>
        <v>9</v>
      </c>
      <c r="T5" s="477" t="s">
        <v>39</v>
      </c>
      <c r="U5" s="23"/>
      <c r="V5" s="23"/>
      <c r="W5" s="23"/>
      <c r="X5" s="45" t="s">
        <v>23</v>
      </c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9"/>
      <c r="BB5" s="29"/>
      <c r="BC5" s="29"/>
      <c r="BD5" s="29"/>
      <c r="BE5" s="29"/>
      <c r="BF5" s="29"/>
    </row>
    <row r="6" spans="1:66" ht="31.5" customHeight="1" thickBot="1">
      <c r="P6" s="84"/>
      <c r="Q6" s="452"/>
      <c r="R6" s="84"/>
      <c r="S6" s="480"/>
      <c r="T6" s="484"/>
      <c r="Y6" s="12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50"/>
      <c r="BI6" s="50"/>
      <c r="BJ6" s="50"/>
      <c r="BK6" s="50"/>
      <c r="BL6" s="50"/>
      <c r="BM6" s="50"/>
    </row>
    <row r="7" spans="1:66" ht="27" customHeight="1" thickTop="1" thickBot="1">
      <c r="D7" s="440" t="s">
        <v>60</v>
      </c>
      <c r="E7" s="441"/>
      <c r="Y7" s="128"/>
      <c r="Z7" s="427" t="s">
        <v>1</v>
      </c>
      <c r="AA7" s="428"/>
      <c r="AB7" s="428"/>
      <c r="AC7" s="429"/>
      <c r="AD7" s="25"/>
      <c r="AE7" s="430" t="s">
        <v>2</v>
      </c>
      <c r="AF7" s="431"/>
      <c r="AG7" s="431"/>
      <c r="AH7" s="432"/>
      <c r="AI7" s="25"/>
      <c r="AJ7" s="433" t="s">
        <v>3</v>
      </c>
      <c r="AK7" s="434"/>
      <c r="AL7" s="434"/>
      <c r="AM7" s="435"/>
      <c r="AO7" s="128"/>
      <c r="AP7" s="283" t="s">
        <v>0</v>
      </c>
      <c r="AQ7" s="421" t="s">
        <v>1</v>
      </c>
      <c r="AR7" s="422"/>
      <c r="AS7" s="423"/>
      <c r="AT7" s="465" t="s">
        <v>2</v>
      </c>
      <c r="AU7" s="466"/>
      <c r="AV7" s="476"/>
      <c r="AW7" s="470" t="s">
        <v>3</v>
      </c>
      <c r="AX7" s="471"/>
      <c r="AY7" s="472"/>
      <c r="AZ7" s="481" t="s">
        <v>7</v>
      </c>
      <c r="BA7" s="482"/>
      <c r="BB7" s="483"/>
      <c r="BC7" s="51"/>
      <c r="BD7" s="42"/>
      <c r="BE7" s="25"/>
      <c r="BF7" s="25"/>
      <c r="BG7" s="84"/>
      <c r="BH7" s="481" t="s">
        <v>21</v>
      </c>
      <c r="BI7" s="482"/>
      <c r="BJ7" s="482"/>
      <c r="BK7" s="482"/>
      <c r="BL7" s="483"/>
      <c r="BM7" s="84"/>
    </row>
    <row r="8" spans="1:66" ht="21.75" thickTop="1" thickBot="1">
      <c r="A8" s="193"/>
      <c r="D8" s="453" t="s">
        <v>61</v>
      </c>
      <c r="E8" s="454"/>
      <c r="G8" s="194"/>
      <c r="H8" s="195"/>
      <c r="I8" s="194"/>
      <c r="J8" s="194"/>
      <c r="K8" s="194"/>
      <c r="L8" s="194"/>
      <c r="N8" s="193"/>
      <c r="O8" s="473" t="s">
        <v>9</v>
      </c>
      <c r="P8" s="474"/>
      <c r="Q8" s="474"/>
      <c r="R8" s="474"/>
      <c r="S8" s="474"/>
      <c r="T8" s="474"/>
      <c r="U8" s="474"/>
      <c r="V8" s="474"/>
      <c r="W8" s="475"/>
      <c r="X8" s="195"/>
      <c r="Y8" s="128"/>
      <c r="Z8" s="24"/>
      <c r="AA8" s="24"/>
      <c r="AB8" s="24"/>
      <c r="AC8" s="24"/>
      <c r="AD8" s="25"/>
      <c r="AE8" s="24"/>
      <c r="AF8" s="24"/>
      <c r="AG8" s="24"/>
      <c r="AH8" s="23"/>
      <c r="AI8" s="24"/>
      <c r="AJ8" s="24"/>
      <c r="AK8" s="25"/>
      <c r="AL8" s="25"/>
      <c r="AM8" s="24"/>
      <c r="AN8" s="195"/>
      <c r="AO8" s="128"/>
      <c r="AP8" s="105" t="s">
        <v>6</v>
      </c>
      <c r="AQ8" s="106" t="s">
        <v>10</v>
      </c>
      <c r="AR8" s="107" t="s">
        <v>11</v>
      </c>
      <c r="AS8" s="110" t="s">
        <v>12</v>
      </c>
      <c r="AT8" s="112" t="s">
        <v>10</v>
      </c>
      <c r="AU8" s="110" t="s">
        <v>11</v>
      </c>
      <c r="AV8" s="222" t="s">
        <v>12</v>
      </c>
      <c r="AW8" s="109" t="s">
        <v>10</v>
      </c>
      <c r="AX8" s="110" t="s">
        <v>11</v>
      </c>
      <c r="AY8" s="222" t="s">
        <v>12</v>
      </c>
      <c r="AZ8" s="124" t="s">
        <v>16</v>
      </c>
      <c r="BA8" s="113" t="s">
        <v>11</v>
      </c>
      <c r="BB8" s="223" t="s">
        <v>12</v>
      </c>
      <c r="BC8" s="101" t="s">
        <v>19</v>
      </c>
      <c r="BD8" s="221" t="s">
        <v>20</v>
      </c>
      <c r="BE8" s="220" t="s">
        <v>14</v>
      </c>
      <c r="BF8" s="117" t="s">
        <v>15</v>
      </c>
      <c r="BG8" s="84"/>
      <c r="BH8" s="118" t="s">
        <v>6</v>
      </c>
      <c r="BI8" s="123" t="s">
        <v>16</v>
      </c>
      <c r="BJ8" s="49" t="s">
        <v>17</v>
      </c>
      <c r="BK8" s="281" t="s">
        <v>12</v>
      </c>
      <c r="BL8" s="270" t="s">
        <v>18</v>
      </c>
      <c r="BM8" s="194"/>
      <c r="BN8" s="261" t="s">
        <v>16</v>
      </c>
    </row>
    <row r="9" spans="1:66" ht="21" thickBot="1">
      <c r="A9" s="129"/>
      <c r="B9" s="455" t="s">
        <v>33</v>
      </c>
      <c r="C9" s="456"/>
      <c r="D9" s="457" t="s">
        <v>34</v>
      </c>
      <c r="E9" s="456"/>
      <c r="F9" s="458" t="s">
        <v>35</v>
      </c>
      <c r="G9" s="456"/>
      <c r="H9" s="23"/>
      <c r="I9" s="136"/>
      <c r="J9" s="459" t="s">
        <v>40</v>
      </c>
      <c r="K9" s="460"/>
      <c r="L9" s="461"/>
      <c r="N9" s="81"/>
      <c r="O9" s="450" t="s">
        <v>1</v>
      </c>
      <c r="P9" s="450"/>
      <c r="Q9" s="450"/>
      <c r="R9" s="485" t="s">
        <v>2</v>
      </c>
      <c r="S9" s="486"/>
      <c r="T9" s="486"/>
      <c r="U9" s="487" t="s">
        <v>3</v>
      </c>
      <c r="V9" s="488"/>
      <c r="W9" s="489"/>
      <c r="X9" s="23"/>
      <c r="Y9" s="40" t="s">
        <v>30</v>
      </c>
      <c r="Z9" s="26" t="s">
        <v>4</v>
      </c>
      <c r="AA9" s="26" t="s">
        <v>12</v>
      </c>
      <c r="AB9" s="26" t="s">
        <v>10</v>
      </c>
      <c r="AC9" s="26" t="s">
        <v>11</v>
      </c>
      <c r="AD9" s="24"/>
      <c r="AE9" s="26" t="s">
        <v>4</v>
      </c>
      <c r="AF9" s="26" t="s">
        <v>12</v>
      </c>
      <c r="AG9" s="26" t="s">
        <v>10</v>
      </c>
      <c r="AH9" s="26" t="s">
        <v>11</v>
      </c>
      <c r="AI9" s="24"/>
      <c r="AJ9" s="26" t="s">
        <v>4</v>
      </c>
      <c r="AK9" s="26" t="s">
        <v>12</v>
      </c>
      <c r="AL9" s="26" t="s">
        <v>10</v>
      </c>
      <c r="AM9" s="26" t="s">
        <v>11</v>
      </c>
      <c r="AN9" s="23"/>
      <c r="AO9" s="53">
        <v>1</v>
      </c>
      <c r="AP9" s="320" t="str">
        <f>+Inscrits!B3</f>
        <v>A1</v>
      </c>
      <c r="AQ9" s="285">
        <f>IF(ISNA(VLOOKUP(AP9,$Z$11:$AC$81,3,0))," ",IF(VLOOKUP(AP9,$Z$11:$AC$81,3,0)=0,"0",VLOOKUP(AP9,$Z$11:$AC$81,3,0)))</f>
        <v>1</v>
      </c>
      <c r="AR9" s="38">
        <f>IF(ISNA(VLOOKUP(AP9,$Z$11:$AC$81,4,0))," ",IF(VLOOKUP(AP9,$Z$11:$AC$81,4,0)=0,"0",VLOOKUP(AP9,$Z$11:$AC$81,4,0)))</f>
        <v>-3</v>
      </c>
      <c r="AS9" s="94">
        <f>IF(ISNA(VLOOKUP(AP9,$Z$11:$AC$81,2,0))," ",IF(VLOOKUP(AP9,$Z$11:$AC$81,2,0)=0,"0",VLOOKUP(AP9,$Z$11:$AC$81,2,0)))</f>
        <v>5</v>
      </c>
      <c r="AT9" s="91">
        <f>IF(ISNA(VLOOKUP(AP9,$AE$11:$AH$81,3,0))," ",IF(VLOOKUP(AP9,$AE$11:$AH$81,3,0)=0,"0",VLOOKUP(AP9,$AE$11:$AH$81,3,0)))</f>
        <v>3</v>
      </c>
      <c r="AU9" s="38">
        <f>IF(ISNA(VLOOKUP(AP9,$AE$11:$AH$81,4,0))," ",IF(VLOOKUP(AP9,$AE$11:$AH$81,4,0)=0,"0",VLOOKUP(AP9,$AE$11:$AH$81,4,0)))</f>
        <v>8</v>
      </c>
      <c r="AV9" s="288">
        <f>IF(ISNA(VLOOKUP(AP9,$AE$11:$AH$81,2,0))," ",IF(VLOOKUP(AP9,$AE$11:$AH$81,2,0)=0,"0",VLOOKUP(AP9,$AE$11:$AH$81,2,0)))</f>
        <v>13</v>
      </c>
      <c r="AW9" s="285">
        <f>IF(ISNA(VLOOKUP(AP9,$AJ$11:$AM$81,3,0))," ",IF(VLOOKUP(AP9,$AJ$11:$AM$81,3,0)=0,"0",VLOOKUP(AP9,$AJ$11:$AM$81,3,0)))</f>
        <v>3</v>
      </c>
      <c r="AX9" s="38">
        <f>IF(ISNA(VLOOKUP(AP9,$AJ$11:$AM$81,4,0))," ",IF(VLOOKUP(AP9,$AJ$11:$AM$81,4,0)=0,"0",VLOOKUP(AP9,$AJ$11:$AM$81,4,0)))</f>
        <v>5</v>
      </c>
      <c r="AY9" s="288">
        <f>IF(ISNA(VLOOKUP(AP9,$AJ$11:$AM$81,2,0))," ",IF(VLOOKUP(AP9,$AJ$11:$AM$81,2,0)=0,"0",VLOOKUP(AP9,$AJ$11:$AM$81,2,0)))</f>
        <v>13</v>
      </c>
      <c r="AZ9" s="285">
        <f>SUMIFS(AQ9:AW9,$AQ$8:$AW$8,"Pts",AQ9:AW9,"&lt;&gt;#N/A")</f>
        <v>7</v>
      </c>
      <c r="BA9" s="38">
        <f>SUMIFS(AQ9:AX9,$AQ$8:$AX$8,"GA",AQ9:AX9,"&lt;&gt;#N/A")</f>
        <v>10</v>
      </c>
      <c r="BB9" s="288">
        <f>SUMIFS(AQ9:AY9,$AQ$8:$AY$8,"Score",AQ9:AY9,"&lt;&gt;#N/A")</f>
        <v>31</v>
      </c>
      <c r="BC9" s="293">
        <f>IF(BA9="","",IF(BA9&lt;0,BA9,0))</f>
        <v>0</v>
      </c>
      <c r="BD9" s="217">
        <f>IF(BA9="","",IF(BA9&gt;0,BA9,0))</f>
        <v>10</v>
      </c>
      <c r="BE9" s="218">
        <f>IF(OR(AP9="",AZ9="",BA9="",BB9=""),"",RANK(AZ9,$AZ$9:$AZ$62)+SUM(-BA9/100)-(+BB9/10000)+COUNTIF(AP$9:AP$62,"&lt;="&amp;AP9+1)/1000000+ROW()/100000000)</f>
        <v>5.8969000900000008</v>
      </c>
      <c r="BF9" s="99">
        <f>IF(AP9="","",SMALL(BE$9:BE$62,ROWS(AZ$9:AZ9)))</f>
        <v>0.82700057999999999</v>
      </c>
      <c r="BG9" s="88"/>
      <c r="BH9" s="99" t="str">
        <f>IF(OR(AP9="",AZ9=""),"",INDEX($AP$9:$AP$63,MATCH(BF9,$BE$9:BE$62,0)))</f>
        <v>C14</v>
      </c>
      <c r="BI9" s="7">
        <f t="shared" ref="BI9:BI40" si="0">IF(AP9="","",INDEX($AZ$9:$AZ$63,MATCH(BF9,$BE$9:$BE$62,0)))</f>
        <v>9</v>
      </c>
      <c r="BJ9" s="7">
        <f t="shared" ref="BJ9:BJ40" si="1">IF(AP9="","",INDEX($BA$9:$BA$63,MATCH(BF9,$BE$9:$BE$62,0)))</f>
        <v>17</v>
      </c>
      <c r="BK9" s="7">
        <f t="shared" ref="BK9:BK40" si="2">IF(AP9="","",INDEX($BB$9:$BB$63,MATCH(BF9,$BE$9:$BE$62,0)))</f>
        <v>30</v>
      </c>
      <c r="BL9" s="278">
        <f>IF(BF9="","",1)</f>
        <v>1</v>
      </c>
      <c r="BM9" s="29"/>
      <c r="BN9" s="82"/>
    </row>
    <row r="10" spans="1:66" ht="21" thickBot="1">
      <c r="A10" s="130">
        <v>1</v>
      </c>
      <c r="B10" s="392" t="s">
        <v>66</v>
      </c>
      <c r="C10" s="271">
        <f>IF($Q$5&gt;7,1,0)</f>
        <v>1</v>
      </c>
      <c r="D10" s="400" t="s">
        <v>84</v>
      </c>
      <c r="E10" s="271">
        <f>IF($Q$5&gt;7,1,0)</f>
        <v>1</v>
      </c>
      <c r="F10" s="399" t="s">
        <v>102</v>
      </c>
      <c r="G10" s="271">
        <f>IF($Q$5&gt;7,1,0)</f>
        <v>1</v>
      </c>
      <c r="H10" s="23"/>
      <c r="I10" s="201">
        <v>1</v>
      </c>
      <c r="J10" s="203" t="str">
        <f>IF(ISNA(MATCH(I10,$C$10:$C$27,0)),"",INDEX(B$10:$B$27,MATCH(I10,$C$10:$C$27,0)))</f>
        <v>A1</v>
      </c>
      <c r="K10" s="186" t="str">
        <f>IF(ISNA(MATCH(I10,$E$10:$E$27,0)),"",INDEX($D$10:D$27,MATCH(I10,$E$10:$E$27,0)))</f>
        <v>B1</v>
      </c>
      <c r="L10" s="187" t="str">
        <f>IF(ISNA(MATCH(I10,$G$10:$G$27,0)),"",INDEX($F$10:F$27,MATCH(I10,$G$10:$G$27,0)))</f>
        <v>C1</v>
      </c>
      <c r="N10" s="82">
        <v>1</v>
      </c>
      <c r="O10" s="138" t="str">
        <f>IF($Q$5&lt;55&gt;7,J10,0)</f>
        <v>A1</v>
      </c>
      <c r="P10" s="139" t="str">
        <f>IF($Q$5&gt;=8,K10,0)</f>
        <v>B1</v>
      </c>
      <c r="Q10" s="140" t="str">
        <f>IF($Q$5&gt;9,L10,IF($Q$5=9,L10,0))</f>
        <v>C1</v>
      </c>
      <c r="R10" s="178" t="str">
        <f>IF($Q$5=8,K12,IF($Q$5=9,O13,IF($Q$5=10,J12,IF($Q$5=11,J10,IF($Q$5=12,J10,IF($Q$5=13,J11,IF($Q$5=14,J11,IF($Q$5=15,J11,IF($Q$5=16,J11,IF($Q$5=17,J10,IF($Q$5=18,J10,IF($Q$5=19,J11,IF($Q$5=20,J10,IF($Q$5=21,J10,IF($Q$5=22,J11,IF($Q$5=23,J11,IF($Q$5=24,J11,IF($Q$5=25,J11,IF($Q$5=26,J11,IF($Q$5=27,J11,IF($Q$5=28,J11,IF($Q$5=29,J11,IF($Q$5=30,J11,IF($Q$5=31,J11,IF($Q$5=32,J11,IF($Q$5=33,J11,IF($Q$5=34,J11,IF($Q$5=35,J11,IF($Q$5=36,J11,IF($Q$5=37,J11,IF($Q$5=38,J11,IF($Q$5=39,J11,IF($Q$5=40,J11,IF($Q$5=41,J11,IF($Q$5=42,J11,IF($Q$5=43,J11,IF($Q$5=44,J11,IF($Q$5=45,J11,IF($Q$5=46,J11,IF($Q$5=47,J11,IF($Q$5=48,J11,IF($Q$5=49,J11,IF($Q$5=50,J11,IF($Q$5=51,J11,IF($Q$5=52,J11,IF($Q$5=53,J11,IF($Q$5=54,J11,0)))))))))))))))))))))))))))))))))))))))))))))))</f>
        <v>A2</v>
      </c>
      <c r="S10" s="157" t="str">
        <f>IF($Q$5=8,L11,IF($Q$5=9,L11,IF($Q$5=10,K10,IF($Q$5=11,K13,IF($Q$5=12,K13,IF($Q$5=13,L10,IF($Q$5=14,K12,IF($Q$5=15,K13,IF($Q$5=16,K12,IF($Q$5=17,K13,IF($Q$5=18,K13,IF($Q$5=19,K13,IF($Q$5=20,P17,IF($Q$5=21,K13,IF($Q$5=22,K13,IF($Q$5=23,K13,IF($Q$5=24,K16,IF($Q$5=25,K13,IF($Q$5=26,K16,IF($Q$5=27,K13,IF($Q$5=28,K13,IF($Q$5=29,K13,IF($Q$5=30,K13,IF($Q$5=31,K13,IF($Q$5=32,K13,IF($Q$5=33,K13,IF($Q$5=34,K13,IF($Q$5=35,K13,IF($Q$5=36,K12,IF($Q$5=37,K12,IF($Q$5=38,K12,IF($Q$5=39,K12,IF($Q$5=40,K12,IF($Q$5=41,K12,IF($Q$5=42,K12,IF($Q$5=43,K12,IF($Q$5=44,K12,IF($Q$5=45,K12,IF($Q$5=46,K12,IF($Q$5=47,K12,IF($Q$5=48,K12,IF($Q$5=49,K12,IF($Q$5=50,K12,IF($Q$5=51,K12,IF($Q$5=52,K12,IF($Q$5=53,K12,IF($Q$5=54,K12,0)))))))))))))))))))))))))))))))))))))))))))))))</f>
        <v>B3</v>
      </c>
      <c r="T10" s="179" t="str">
        <f>IF($Q$5=9,P13,IF($Q$5=10,L12,IF($Q$5=11,L11,IF($Q$5=12,L12,IF($Q$5=13,P15,IF($Q$5=14,P15,IF($Q$5=15,P14,IF($Q$5=16,L13,IF($Q$5=17,L12,IF($Q$5=18,L12,IF($Q$5=19,P17,IF($Q$5=20,L12,IF($Q$5=21,P10,IF($Q$5=22,L12,IF($Q$5=23,L12,IF($Q$5=24,L12,IF($Q$5=25,L12,IF($Q$5=26,L12,IF($Q$5=27,L12,IF($Q$5=28,L12,IF($Q$5=29,L12,IF($Q$5=30,L12,IF($Q$5=31,L12,IF($Q$5=32,L12,IF($Q$5=33,L12,IF($Q$5=34,L12,IF($Q$5=35,L12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)))))))</f>
        <v>C4</v>
      </c>
      <c r="U10" s="191" t="str">
        <f>IF($Q$5=8,J11,IF($Q$5=9,R11,IF($Q$5=10,J13,IF($Q$5=11,J13,IF($Q$5=12,J10,IF($Q$5=13,R12,IF($Q$5=14,R11,IF($Q$5=15,R11,IF($Q$5=16,R15,IF($Q$5=17,R10,IF(Q$5=18,R10,IF($Q$5=19,R13,IF($Q$5=20,R10,IF($Q$5=21,O10,IF($Q$5=22,R17,IF($Q$5=23,R11,IF($Q$5=24,R17,IF($Q$5=25,R19,IF($Q$5=26,R19,IF($Q$5=27,R18,IF($Q$5=28,R19,IF($Q$5=29,R19,IF($Q$5=30,R19,IF($Q$5=31,R20,IF($Q$5=32,R21,IF($Q$5=33,O10,IF($Q$5=34,O10,IF($Q$5=35,R21,IF($Q$5=36,O12,IF($Q$5=37,R11,IF($Q$5=38,R11,IF($Q$5=39,R11,IF($Q$5=40,R11,IF($Q$5=41,R11,IF($Q$5=42,R11,IF($Q$5=43,R11,IF($Q$5=44,R11,IF($Q$5=45,R11,IF($Q$5=46,R11,IF($Q$5=47,R11,IF($Q$5=48,R11,IF($Q$5=49,R11,IF($Q$5=50,R11,IF($Q$5=51,R11,IF($Q$5=52,R11,IF($Q$5=53,R11,IF($Q$5=54,R11,0)))))))))))))))))))))))))))))))))))))))))))))))</f>
        <v>A3</v>
      </c>
      <c r="V10" s="157" t="str">
        <f>IF($Q$5=8,L10,IF($Q$5=9,T10,IF($Q$5=10,K12,IF($Q$5=11,S12,IF($Q$5=12,P12,IF($Q$5=13,S13,IF($Q$5=14,S12,IF($Q$5=15,S14,IF($Q$5=16,S10,IF($Q$5=17,S13,IF($Q$5=18,S13,IF($Q$5=19,S14,IF($Q$5=20,S13,IF($Q$5=21,S13,IF($Q$5=22,S13,IF($Q$5=23,S13,IF($Q$5=24,S13,IF($Q$5=25,S10,IF($Q$5=26,S13,IF($Q$5=27,S13,IF($Q$5=28,S10,IF($Q$5=29,S13,IF($Q$5=30,S13,IF($Q$5=31,S13,IF($Q$5=32,S10,IF($Q$5=33,S10,IF($Q$5=34,S10,IF($Q$5=35,S10,IF($Q$5=36,S12,IF($Q$5=37,S12,IF($Q$5=38,S12,IF($Q$5=39,S12,IF($Q$5=40,S12,IF($Q$5=41,S12,IF($Q$5=42,S12,IF($Q$5=43,S12,IF($Q$5=44,S12,IF($Q$5=45,S12,IF($Q$5=46,S12,IF($Q$5=47,S12,IF($Q$5=48,S12,IF($Q$5=49,S12,IF($Q$5=50,S12,IF($Q$5=51,S12,IF($Q$5=52,S12,IF($Q$5=53,S12,IF($Q$5=54,S12,0)))))))))))))))))))))))))))))))))))))))))))))))</f>
        <v>B5</v>
      </c>
      <c r="W10" s="172" t="str">
        <f>IF($Q$5=9,L11,IF($Q$5=10,L11,IF($Q$5=11,T11,IF($Q$5=12,T11,IF($Q$5=13,S11,IF($Q$5=14,S14,IF($Q$5=15,T12,IF($Q$5=16,T11,IF($Q$5=17,T12,IF($Q$5=18,T12,IF($Q$5=19,T12,IF($Q$5=20,T12,IF($Q$5=21,T12,IF($Q$5=22,T12,IF(Q$5=23,T12,IF($Q$5=24,T12,IF($Q$5=25,T12,IF($Q$5=26,T12,IF($Q$5=27,T12,IF($Q$5=28,T12,IF($Q$5=29,T11,IF($Q$5=30,T12,IF($Q$5=31,T12,IF($Q$5=32,T11,IF($Q$5=33,T11,IF($Q$5=34,T11,IF($Q$5=35,T11,IF($Q$5=36,T13,IF($Q$5=37,T13,IF($Q$5=38,T13,IF($Q$5=39,T13,IF($Q$5=40,T13,IF($Q$5=41,T13,IF($Q$5=42,T13,IF($Q$5=43,T13,IF($Q$5=44,T13,IF($Q$5=45,T13,IF($Q$5=46,T13,IF($Q$5=47,T13,IF($Q$5=48,T13,IF($Q$5=49,T13,IF($Q$5=50,T13,IF($Q$5=51,T13,IF($Q$5=52,T13,IF($Q$5=53,T13,IF($Q$5=54,T13,0))))))))))))))))))))))))))))))))))))))))))))))</f>
        <v>C7</v>
      </c>
      <c r="X10" s="23"/>
      <c r="Y10" s="128"/>
      <c r="Z10" s="27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3"/>
      <c r="AO10" s="54">
        <v>2</v>
      </c>
      <c r="AP10" s="321" t="str">
        <f>+Inscrits!B4</f>
        <v>A2</v>
      </c>
      <c r="AQ10" s="286">
        <f t="shared" ref="AQ10:AQ62" si="3">IF(ISNA(VLOOKUP(AP10,$Z$11:$AC$81,3,0))," ",IF(VLOOKUP(AP10,$Z$11:$AC$81,3,0)=0,"0",VLOOKUP(AP10,$Z$11:$AC$81,3,0)))</f>
        <v>3</v>
      </c>
      <c r="AR10" s="99">
        <f t="shared" ref="AR10:AR62" si="4">IF(ISNA(VLOOKUP(AP10,$Z$11:$AC$81,4,0))," ",IF(VLOOKUP(AP10,$Z$11:$AC$81,4,0)=0,"0",VLOOKUP(AP10,$Z$11:$AC$81,4,0)))</f>
        <v>3</v>
      </c>
      <c r="AS10" s="219">
        <f t="shared" ref="AS10:AS62" si="5">IF(ISNA(VLOOKUP(AP10,$Z$11:$AC$81,2,0))," ",IF(VLOOKUP(AP10,$Z$11:$AC$81,2,0)=0,"0",VLOOKUP(AP10,$Z$11:$AC$81,2,0)))</f>
        <v>8</v>
      </c>
      <c r="AT10" s="289">
        <f t="shared" ref="AT10:AT62" si="6">IF(ISNA(VLOOKUP(AP10,$AE$11:$AH$81,3,0))," ",IF(VLOOKUP(AP10,$AE$11:$AH$81,3,0)=0,"0",VLOOKUP(AP10,$AE$11:$AH$81,3,0)))</f>
        <v>3</v>
      </c>
      <c r="AU10" s="99">
        <f t="shared" ref="AU10:AU62" si="7">IF(ISNA(VLOOKUP(AP10,$AE$11:$AH$81,4,0))," ",IF(VLOOKUP(AP10,$AE$11:$AH$81,4,0)=0,"0",VLOOKUP(AP10,$AE$11:$AH$81,4,0)))</f>
        <v>2</v>
      </c>
      <c r="AV10" s="291">
        <f t="shared" ref="AV10:AV62" si="8">IF(ISNA(VLOOKUP(AP10,$AE$11:$AH$81,2,0))," ",IF(VLOOKUP(AP10,$AE$11:$AH$81,2,0)=0,"0",VLOOKUP(AP10,$AE$11:$AH$81,2,0)))</f>
        <v>12</v>
      </c>
      <c r="AW10" s="286">
        <f t="shared" ref="AW10:AW62" si="9">IF(ISNA(VLOOKUP(AP10,$AJ$11:$AM$81,3,0))," ",IF(VLOOKUP(AP10,$AJ$11:$AM$81,3,0)=0,"0",VLOOKUP(AP10,$AJ$11:$AM$81,3,0)))</f>
        <v>1</v>
      </c>
      <c r="AX10" s="99">
        <f t="shared" ref="AX10:AX62" si="10">IF(ISNA(VLOOKUP(AP10,$AJ$11:$AM$81,4,0))," ",IF(VLOOKUP(AP10,$AJ$11:$AM$81,4,0)=0,"0",VLOOKUP(AP10,$AJ$11:$AM$81,4,0)))</f>
        <v>-5</v>
      </c>
      <c r="AY10" s="291">
        <f t="shared" ref="AY10:AY62" si="11">IF(ISNA(VLOOKUP(AP10,$AJ$11:$AM$81,2,0))," ",IF(VLOOKUP(AP10,$AJ$11:$AM$81,2,0)=0,"0",VLOOKUP(AP10,$AJ$11:$AM$81,2,0)))</f>
        <v>8</v>
      </c>
      <c r="AZ10" s="286">
        <f>SUMIFS(AQ10:AW10,$AQ$8:$AW$8,"Pts",AQ10:AW10,"&lt;&gt;#N/A")</f>
        <v>7</v>
      </c>
      <c r="BA10" s="99">
        <f t="shared" ref="BA10:BA62" si="12">SUMIFS(AQ10:AX10,$AQ$8:$AX$8,"GA",AQ10:AX10,"&lt;&gt;#N/A")</f>
        <v>0</v>
      </c>
      <c r="BB10" s="291">
        <f t="shared" ref="BB10:BB62" si="13">SUMIFS(AQ10:AY10,$AQ$8:$AY$8,"Score",AQ10:AY10,"&lt;&gt;#N/A")</f>
        <v>28</v>
      </c>
      <c r="BC10" s="294">
        <f t="shared" ref="BC10:BC62" si="14">IF(BA10="","",IF(BA10&lt;0,BA10,0))</f>
        <v>0</v>
      </c>
      <c r="BD10" s="7">
        <f t="shared" ref="BD10:BD62" si="15">IF(BA10="","",IF(BA10&gt;0,BA10,0))</f>
        <v>0</v>
      </c>
      <c r="BE10" s="218">
        <f t="shared" ref="BE10:BE62" si="16">IF(OR(AP10="",AZ10="",BA10="",BB10=""),"",RANK(AZ10,$AZ$9:$AZ$62)+SUM(-BA10/100)-(+BB10/10000)+COUNTIF(AP$9:AP$62,"&lt;="&amp;AP10+1)/1000000+ROW()/100000000)</f>
        <v>5.9972001000000006</v>
      </c>
      <c r="BF10" s="99">
        <f>IF(AP10="","",SMALL(BE$9:BE$62,ROWS(AZ$9:AZ10)))</f>
        <v>0.84700050999999998</v>
      </c>
      <c r="BG10" s="88"/>
      <c r="BH10" s="99" t="str">
        <f>IF(OR(AP10="",AZ10=""),"",INDEX($AP$9:$AP$63,MATCH(BF10,$BE$9:BE$62,0)))</f>
        <v>C7</v>
      </c>
      <c r="BI10" s="7">
        <f t="shared" si="0"/>
        <v>9</v>
      </c>
      <c r="BJ10" s="7">
        <f t="shared" si="1"/>
        <v>15</v>
      </c>
      <c r="BK10" s="7">
        <f t="shared" si="2"/>
        <v>30</v>
      </c>
      <c r="BL10" s="279">
        <f>IF(BF10="","",IF(AND(BI9=BI10,BJ9=BJ10,BK9=BK10),BL9,$BL$9+1))</f>
        <v>2</v>
      </c>
      <c r="BM10" s="29"/>
      <c r="BN10" s="3"/>
    </row>
    <row r="11" spans="1:66" ht="21" thickBot="1">
      <c r="A11" s="131">
        <v>2</v>
      </c>
      <c r="B11" s="393" t="s">
        <v>67</v>
      </c>
      <c r="C11" s="272">
        <f>IF($Q$5&gt;7,2,0)</f>
        <v>2</v>
      </c>
      <c r="D11" s="398" t="s">
        <v>85</v>
      </c>
      <c r="E11" s="272">
        <f>IF($Q$5&gt;7,2,0)</f>
        <v>2</v>
      </c>
      <c r="F11" s="396" t="s">
        <v>103</v>
      </c>
      <c r="G11" s="272">
        <f>IF($Q$5&gt;7,2,0)</f>
        <v>2</v>
      </c>
      <c r="H11" s="23"/>
      <c r="I11" s="202">
        <v>2</v>
      </c>
      <c r="J11" s="204" t="str">
        <f>IF(ISNA(MATCH(I11,$C$10:$C$27,0)),"",INDEX(B$10:$B$27,MATCH(I11,$C$10:$C$27,0)))</f>
        <v>A2</v>
      </c>
      <c r="K11" s="137" t="str">
        <f>IF(ISNA(MATCH(I11,$E$10:$E$27,0)),"",INDEX($D$10:D$27,MATCH(I11,$E$10:$E$27,0)))</f>
        <v>B2</v>
      </c>
      <c r="L11" s="188" t="str">
        <f>IF(ISNA(MATCH(I11,$G$10:$G$27,0)),"",INDEX($F$10:F$27,MATCH(I11,$G$10:$G$27,0)))</f>
        <v>C2</v>
      </c>
      <c r="N11" s="52" t="s">
        <v>5</v>
      </c>
      <c r="O11" s="141" t="str">
        <f>IF($Q$5&gt;=8,J11,0)</f>
        <v>A2</v>
      </c>
      <c r="P11" s="144" t="str">
        <f>IF($Q$5&gt;=8,K11,0)</f>
        <v>B2</v>
      </c>
      <c r="Q11" s="152" t="str">
        <f>IF($Q$5=10,L11,IF($Q$5=11,L11,IF($Q$5=12,L11,IF($Q$5=14,L11,IF($Q$5=15,L11,IF($Q$5=16,L11,IF($Q$5=17,L11,IF($Q$5=18,L11,IF($Q$5=19,L11,IF($Q$5=20,L11,IF($Q$5=21,L11,IF($Q$5=22,L11,IF($Q$5=23,L11,IF($Q$5=24,L11,IF($Q$5=25,L11,IF($Q$5=26,L11,IF($Q$5=27,L11,IF($Q$5=28,L11,IF($Q$5=29,L11,IF($Q$5=30,L11,IF($Q$5=31,L11,IF($Q$5=32,L11,IF($Q$5=33,L11,IF($Q$5=34,L11,IF($Q$5=35,L11,IF($Q$5=36,L11,IF($Q$5=37,L11,IF($Q$5=38,L11,IF($Q$5=39,L11,IF($Q$5=40,L11,IF($Q$5=41,L11,IF($Q$5=42,L11,IF($Q$5=43,L11,IF($Q$5=44,L11,IF($Q$5=45,L11,IF($Q$5=46,L11,IF($Q$5=47,L11,IF($Q$5=48,L11,IF($Q$5=49,L11,IF($Q$5=50,L11,IF($Q$5=51,L11,IF($Q$5=52,L11,IF($Q$5=53,L11,IF($Q$5=54,L11,0))))))))))))))))))))))))))))))))))))))))))))</f>
        <v>C2</v>
      </c>
      <c r="R11" s="158" t="str">
        <f>IF($Q$5=8,J10,IF($Q$5=9,O10,IF($Q$5=10,J13,IF($Q$5=11,J12,IF($Q$5=12,J13,IF($Q$5=13,J12,IF($Q$5=14,J12,IF($Q$5=15,J12,IF($Q$5=16,J12,IF($Q$5=17,J12,IF($Q$5=18,J12,IF($Q$5=19,J13,IF($Q$5=20,J12,IF($Q$5=21,J12,IF($Q$5=22,J12,IF($Q$5=23,J12,IF($Q$5=24,J12,IF($Q$5=25,J12,IF($Q$5=26,J12,IF($Q$5=27,J12,IF($Q$5=28,J12,IF($Q$5=29,J12,IF($Q$5=30,J12,IF($Q$5=31,J12,IF($Q$5=32,J12,IF($Q$5=33,J12,IF($Q$5=34,J12,IF($Q$5=35,J12,IF($Q$5=36,J12,IF($Q$5=37,J12,IF($Q$5=38,J12,IF($Q$5=39,J12,IF($Q$5=40,J12,IF($Q$5=41,J12,IF($Q$5=42,J12,IF($Q$5=43,J12,IF($Q$5=44,J12,IF($Q$5=45,J12,IF($Q$5=46,J12,IF($Q$5=47,J12,IF($Q$5=48,J12,IF($Q$5=49,J12,IF($Q$5=50,J12,IF($Q$5=51,J12,IF($Q$5=52,J12,IF($Q$5=53,J12,IF($Q$5=54,J12,0)))))))))))))))))))))))))))))))))))))))))))))))</f>
        <v>A3</v>
      </c>
      <c r="S11" s="159" t="str">
        <f>IF($Q$5=8,L10,IF($Q$5=9,K11,IF($Q$5=10,L11,IF($Q$5=11,K10,IF($Q$5=12,K12,IF($Q$5=13,P13,IF($Q$5=14,K13,IF($Q$5=15,K10,IF($Q$5=16,K13,IF($Q$5=17,K14,IF($Q$5=18,K14,IF($Q$5=19,K14,IF($Q$5=20,K14,IF($Q$5=21,K14,IF($Q$5=22,K14,IF($Q$5=23,K14,IF($Q$5=24,K14,IF($Q$5=25,K14,IF($Q$5=26,K14,IF(Q$5=27,K14,IF($Q$5=28,K14,IF($Q$5=29,K14,IF($Q$5=30,K14,IF($Q$5=31,K14,IF($Q$5=32,K14,IF($Q$5=33,K14,IF($Q$5=34,K14,IF($Q$5=35,K14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T11" s="180" t="str">
        <f>IF($Q$5=10,L10,IF($Q$5=11,L12,IF($Q$5=12,L11,IF($Q$5=14,L10,IF($Q$5=15,P15,IF($Q$5=16,P15,IF($Q$5=17,L11,IF($Q$5=18,L13,IF($Q$5=19,L10,IF($Q$5=20,L11,IF($Q$5=21,P17,IF($Q$5=22,L13,IF($Q$5=23,L13,IF($Q$5=24,L13,IF($Q$5=25,L13,IF($Q$5=26,L13,IF($Q$5=27,L13,IF($Q$5=28,L13,IF($Q$5=29,L10,IF($Q$5=30,L10,IF($Q$5=31,L13,IF($Q$5=32,L11,IF($Q$5=33,L11,IF($Q$5=34,L11,IF($Q$5=35,L11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))))))))</f>
        <v>C5</v>
      </c>
      <c r="U11" s="185" t="str">
        <f>IF($Q$5=8,J12,IF($Q$5=9,R12,IF($Q$5=10,J10,IF($Q$5=11,O11,IF($Q$5=12,O12,IF($Q$5=13,R11,IF($Q$5=14,R12,IF($Q$5=15,O13,IF($Q$5=16,O12,IF($Q$5=17,R12,IF($Q$5=18,R14,IF($Q$5=19,R14,IF($Q$5=20,R13,IF($Q$5=21,O14,IF($Q$5=22,O12,IF(Q$5=23,R13,IF($Q$5=24,O13,IF($Q$5=25,R12,IF($Q$5=26,O13,IF($Q$5=27,O13,IF($Q$5=28,O13,IF($Q$5=29,O13,IF($Q$5=30,O13,IF($Q$5=31,O13,IF($Q$5=32,R12,IF($Q$5=33,O13,IF($Q$5=34,O13,IF($Q$5=35,R12,IF($Q$5=36,O13,IF($Q$5=37,O13,IF($Q$5=38,O13,IF($Q$5=39,O13,IF($Q$5=40,O13,IF($Q$5=41,O13,IF($Q$5=42,R12,IF($Q$5=43,R12,IF($Q$5=44,O13,IF($Q$5=45,O13,IF($Q$5=46,R12,IF($Q$5=47,O13,IF($Q$5=48,O13,IF($Q$5=49,O13,IF($Q$5=50,O13,IF($Q$5=51,O13,IF($Q$5=52,O13,IF($Q$5=53,R12,IF($Q$5=54,O13,0)))))))))))))))))))))))))))))))))))))))))))))))</f>
        <v>A4</v>
      </c>
      <c r="V11" s="163" t="str">
        <f>IF($Q$5=8,K10,IF($Q$5=9,S12,IF($Q$5=10,K10,IF(Q$5=11,S10,IF($Q$5=12,S10,IF($Q$5=13,R15,IF($Q$5=14,S10,IF($Q$5=15,S10,IF($Q$5=16,S11,IF($Q$5=17,S10,IF($Q$5=18,S12,IF($Q$5=19,S10,IF($Q$5=20,S10,IF($Q$5=21,S17,IF($Q$5=22,S10,IF($Q$5=23,S10,IF($Q$5=24,S10,IF($Q$5=25,S13,IF($Q$5=26,S10,IF($Q$5=27,S10,IF($Q$5=28,S13,IF($Q$5=29,S10,IF($Q$5=30,S11,IF($Q$5=31,S10,IF($Q$5=32,S11,IF($Q$5=33,S11,IF($Q$5=34,S11,IF($Q$5=35,S11,IF($Q$5=36,S13,IF($Q$5=37,S13,IF($Q$5=38,S13,IF($Q$5=39,S13,IF($Q$5=40,S13,IF($Q$5=41,S13,IF($Q$5=42,S13,IF($Q$5=43,S13,IF($Q$5=44,S13,IF($Q$5=45,S13,IF($Q$5=46,S13,IF($Q$5=47,S13,IF($Q$5=48,S13,IF($Q$5=49,S13,IF($Q$5=50,S13,IF($Q$5=51,S13,IF($Q$5=52,S13,IF($Q$5=53,S13,IF($Q$5=54,S13,0)))))))))))))))))))))))))))))))))))))))))))))))</f>
        <v>B6</v>
      </c>
      <c r="W11" s="173" t="str">
        <f>IF($Q$5=10,L12,IF($Q$5=11,T10,IF($Q$5=12,Q10,IF(Q$5=14,T11,IF($Q$5=15,T11,IF(Q$5=16,S15,IF($Q$5=17,T13,IF($Q$5=18,T13,IF($Q$5=19,S17,IF($Q$5=20,T11,IF($Q$5=21,T10,IF($Q$5=22,T13,IF($Q$5=23,T13,IF($Q$5=24,T13,IF($Q$5=25,T13,IF($Q$5=26,T13,IF($Q$5=27,T13,IF($Q$5=28,T13,IF($Q$5=29,T13,IF($Q$5=30,T13,IF($Q$5=31,T13,IF($Q$5=32,T10,IF($Q$5=33,T10,IF($Q$5=34,T10,IF($Q$5=35,T10,IF($Q$5=36,T14,IF($Q$5=37,T14,IF($Q$5=38,T14,IF($Q$5=39,T14,IF($Q$5=40,T14,IF($Q$5=41,T14,IF($Q$5=42,T14,IF($Q$5=43,T14,IF($Q$5=44,T14,IF($Q$5=45,T14,IF($Q$5=46,T14,IF($Q$5=47,T14,IF($Q$5=48,T14,IF($Q$5=49,T14,IF($Q$5=50,T14,IF($Q$5=51,T14,IF($Q$5=52,T14,IF($Q$5=53,T14,IF($Q$5=54,T14,0))))))))))))))))))))))))))))))))))))))))))))</f>
        <v>C8</v>
      </c>
      <c r="X11" s="23"/>
      <c r="Y11" s="446">
        <v>1</v>
      </c>
      <c r="Z11" s="12" t="str">
        <f>+O10</f>
        <v>A1</v>
      </c>
      <c r="AA11" s="33">
        <v>5</v>
      </c>
      <c r="AB11" s="48">
        <f>IF(AA11+AA15=0,0,IF(AA11=AA15,2,IF(AA11&gt;AA15,3,1)))</f>
        <v>1</v>
      </c>
      <c r="AC11" s="13">
        <f>AA11-AA15</f>
        <v>-3</v>
      </c>
      <c r="AD11" s="9"/>
      <c r="AE11" s="12" t="str">
        <f>+R10</f>
        <v>A2</v>
      </c>
      <c r="AF11" s="126">
        <v>12</v>
      </c>
      <c r="AG11" s="48">
        <f>IF(AF11+AF15=0,0,IF(AF11=AF15,2,IF(AF11&gt;AF15,3,1)))</f>
        <v>3</v>
      </c>
      <c r="AH11" s="13">
        <f>AF11-AF15</f>
        <v>2</v>
      </c>
      <c r="AI11" s="9"/>
      <c r="AJ11" s="12" t="str">
        <f>+U10</f>
        <v>A3</v>
      </c>
      <c r="AK11" s="36">
        <v>8</v>
      </c>
      <c r="AL11" s="48">
        <f>IF(AK11+AK15=0,0,IF(AK11=AK15,2,IF(AK11&gt;AK15,3,1)))</f>
        <v>3</v>
      </c>
      <c r="AM11" s="13">
        <f>AK11-AK15</f>
        <v>3</v>
      </c>
      <c r="AN11" s="23"/>
      <c r="AO11" s="54">
        <v>3</v>
      </c>
      <c r="AP11" s="321" t="str">
        <f>+Inscrits!B5</f>
        <v>A3</v>
      </c>
      <c r="AQ11" s="286">
        <f t="shared" si="3"/>
        <v>1</v>
      </c>
      <c r="AR11" s="99">
        <f t="shared" si="4"/>
        <v>-7</v>
      </c>
      <c r="AS11" s="219">
        <f t="shared" si="5"/>
        <v>4</v>
      </c>
      <c r="AT11" s="289">
        <f t="shared" si="6"/>
        <v>1</v>
      </c>
      <c r="AU11" s="99">
        <f t="shared" si="7"/>
        <v>-2</v>
      </c>
      <c r="AV11" s="291">
        <f t="shared" si="8"/>
        <v>10</v>
      </c>
      <c r="AW11" s="286">
        <f t="shared" si="9"/>
        <v>3</v>
      </c>
      <c r="AX11" s="99">
        <f t="shared" si="10"/>
        <v>3</v>
      </c>
      <c r="AY11" s="291">
        <f t="shared" si="11"/>
        <v>8</v>
      </c>
      <c r="AZ11" s="286">
        <f t="shared" ref="AZ11:AZ62" si="17">SUMIFS(AQ11:AW11,$AQ$8:$AW$8,"Pts",AQ11:AW11,"&lt;&gt;#N/A")</f>
        <v>5</v>
      </c>
      <c r="BA11" s="99">
        <f t="shared" si="12"/>
        <v>-6</v>
      </c>
      <c r="BB11" s="291">
        <f t="shared" si="13"/>
        <v>22</v>
      </c>
      <c r="BC11" s="294">
        <f t="shared" si="14"/>
        <v>-6</v>
      </c>
      <c r="BD11" s="7">
        <f t="shared" si="15"/>
        <v>0</v>
      </c>
      <c r="BE11" s="218">
        <f t="shared" si="16"/>
        <v>30.057800109999999</v>
      </c>
      <c r="BF11" s="99">
        <f>IF(AP11="","",SMALL(BE$9:BE$62,ROWS(AZ$9:AZ11)))</f>
        <v>0.89690043000000008</v>
      </c>
      <c r="BG11" s="88"/>
      <c r="BH11" s="99" t="str">
        <f>IF(OR(AP11="",AZ11=""),"",INDEX($AP$9:$AP$63,MATCH(BF11,$BE$9:BE$62,0)))</f>
        <v>B17</v>
      </c>
      <c r="BI11" s="7">
        <f t="shared" si="0"/>
        <v>9</v>
      </c>
      <c r="BJ11" s="7">
        <f t="shared" si="1"/>
        <v>10</v>
      </c>
      <c r="BK11" s="7">
        <f t="shared" si="2"/>
        <v>31</v>
      </c>
      <c r="BL11" s="280">
        <f>IF(BF11="","",IF(AND(BI10=BI11,BJ10=BJ11,BK10=BK11),BL10,$BL$9+2))</f>
        <v>3</v>
      </c>
      <c r="BM11" s="29"/>
      <c r="BN11" s="3"/>
    </row>
    <row r="12" spans="1:66" ht="21" thickBot="1">
      <c r="A12" s="131">
        <v>3</v>
      </c>
      <c r="B12" s="393" t="s">
        <v>68</v>
      </c>
      <c r="C12" s="272">
        <f>IF($Q$5&gt;7,3,0)</f>
        <v>3</v>
      </c>
      <c r="D12" s="398" t="s">
        <v>86</v>
      </c>
      <c r="E12" s="272">
        <f>IF($Q$5&gt;7,3,0)</f>
        <v>3</v>
      </c>
      <c r="F12" s="396" t="s">
        <v>104</v>
      </c>
      <c r="G12" s="272">
        <f>IF($Q$5=8,0,3)</f>
        <v>3</v>
      </c>
      <c r="H12" s="23"/>
      <c r="I12" s="202">
        <v>3</v>
      </c>
      <c r="J12" s="204" t="str">
        <f>IF(ISNA(MATCH(I12,$C$10:$C$27,0)),"",INDEX(B$10:$B$27,MATCH(I12,$C$10:$C$27,0)))</f>
        <v>A3</v>
      </c>
      <c r="K12" s="137" t="str">
        <f>IF(ISNA(MATCH(I12,$E$10:$E$27,0)),"",INDEX($D$10:D$27,MATCH(I12,$E$10:$E$27,0)))</f>
        <v>B3</v>
      </c>
      <c r="L12" s="188" t="str">
        <f>IF(ISNA(MATCH(I12,$G$10:$G$27,0)),"",INDEX($F$10:F$27,MATCH(I12,$G$10:$G$27,0)))</f>
        <v>C3</v>
      </c>
      <c r="N12" s="82">
        <v>2</v>
      </c>
      <c r="O12" s="138" t="str">
        <f>IF($Q$5&gt;=8,J12,0)</f>
        <v>A3</v>
      </c>
      <c r="P12" s="139" t="str">
        <f>IF($Q$5&gt;=10,K12,IF($Q$5=8,L10,IF($Q$5=9,L11,0)))</f>
        <v>B3</v>
      </c>
      <c r="Q12" s="153" t="str">
        <f>IF($Q$5=11,L12,IF($Q$5=12,L12,IF($Q$5=15,L14,IF($Q$5=16,L12,IF($Q$5=17,L12,IF($Q$5=18,L12,IF($Q$5=19,L12,IF($Q$5=20,L12,IF($Q$5=21,L12,IF($Q$5=22,L12,IF($Q$5=23,L12,IF($Q$5=24,L12,IF($Q$5=25,L12,IF($Q$5=26,L12,IF($Q$5=27,L12,IF($Q$5=28,L12,IF($Q$5=29,L12,IF($Q$5=30,L12,IF($Q$5=31,L12,IF($Q$5=32,L12,IF($Q$5=33,L12,IF($Q$5=34,L12,IF($Q$5=35,L12,IF($Q$5=36,L12,IF($Q$5=37,L12,IF($Q$5=38,L12,IF($Q$5=39,L12,IF($Q$5=40,L12,IF($Q$5=41,L12,IF($Q$5=42,L12,IF($Q$5=43,L12,IF($Q$5=44,L12,IF($Q$5=45,L12,IF($Q$5=46,L12,IF($Q$5=47,L12,IF($Q$5=48,L12,IF($Q$5=49,L12,IF($Q$5=50,L12,IF($Q$5=51,L12,IF($Q$5=52,L12,IF($Q$5=53,L12,IF($Q$5=54,L12,0))))))))))))))))))))))))))))))))))))))))))</f>
        <v>C3</v>
      </c>
      <c r="R12" s="160" t="str">
        <f>IF($Q$5=8,J11,IF($Q$5=9,O11,IF($Q$5=10,J10,IF($Q$5=11,J11,IF(Q$5=12,J12,IF($Q$5=13,J10,IF($Q$5=14,J13,IF($Q$5=15,J13,IF($Q$5=16,J13,IF($Q$5=17,J14,IF($Q$5=18,J14,IF($Q$5=19,J12,IF($Q$5=20,J11,IF($Q$5=21,J11,IF($Q$5=22,J13,IF($Q$5=23,J13,IF($Q$5=24,J13,IF($Q$5=25,J13,IF($Q$5=26,J13,IF($Q$5=27,J13,IF($Q$5=28,J13,IF($Q$5=29,J13,IF($Q$5=30,J13,IF($Q$5=31,J13,IF($Q$5=32,J13,IF($Q$5=33,J13,IF($Q$5=34,J13,IF($Q$5=35,J13,IF($Q$5=36,J13,IF($Q$5=37,J13,IF($Q$5=38,J13,IF($Q$5=39,J13,IF($Q$5=40,J13,IF($Q$5=41,J13,IF($Q$5=42,J13,IF($Q$5=43,J13,IF($Q$5=44,J13,IF($Q$5=45,J13,IF($Q$5=46,J13,IF($Q$5=47,J13,IF($Q$5=48,J13,IF($Q$5=49,J13,IF($Q$5=50,C13,IF($Q$5=51,C13,IF($Q$5=52,C13,IF($Q$5=53,O13,IF($Q$5=54,O13,0)))))))))))))))))))))))))))))))))))))))))))))))</f>
        <v>A4</v>
      </c>
      <c r="S12" s="157" t="str">
        <f>IF($Q$5=8,K11,IF($Q$5=9,P10,IF($Q$5=10,K11,IF($Q$5=11,K11,IF($Q$5=12,K11,IF($Q$5=13,K11,IF($Q$5=14,K10,IF($Q$5=15,K11,IF($Q$5=16,K14,IF($Q$5=17,K11,IF($Q$5=18,K11,IF($Q$5=19,K11,IF($Q$5=20,K10,IF($Q$5=21,K11,IF($Q$5=22,K11,IF($Q$5=23,K15,IF($Q$5=24,K10,IF($Q$5=25,K11,IF($Q$5=26,K11,IF($Q$5=27,K11,IF($Q$5=28,K11,IF($Q$5=29,K11,IF($Q$5=30,K11,IF($Q$5=31,K10,IF($Q$5=32,K11,IF($Q$5=33,K11,IF($Q$5=34,K11,IF($Q$5=35,K11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)))))</f>
        <v>B5</v>
      </c>
      <c r="T12" s="179" t="str">
        <f>IF($Q$5=11,L10,IF($Q$5=12,L10,IF($Q$5=15,Q12,IF($Q$5=16,L10,IF($Q$5=17,L13,IF($Q$5=18,L15,IF($Q$5=19,P15,IF($Q$5=20,L13,IF($Q$5=21,L13,IF($Q$5=22,L14,IF($Q$5=23,L11,IF($Q$5=24,L11,IF($Q$5=25,P19,IF($Q$5=26,P19,IF($Q$5=27,P19,IF($Q$5=28,L10,IF($Q$5=29,L13,IF($Q$5=30,L14,IF($Q$5=31,L14,IF($Q$5=32,L14,IF($Q$5=33,L14,IF($Q$5=34,L14,IF($Q$5=35,L14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)))))))))</f>
        <v>C6</v>
      </c>
      <c r="U12" s="165" t="str">
        <f>IF($Q$5=8,J10,IF($Q$5=9,O12,IF($Q$5=10,J11,IF($Q$5=11,O10,IF($Q$5=12,O11,IF($Q$5=13,R14,IF(Q$5=14,R13,IF($Q$5=15,R13,IF(Q$5=16,O14,IF($Q$5=17,O13,IF($Q$5=18,R11,IF($Q$5=19,R12,IF($Q$5=20,R12,IF($Q$5=21,O13,IF($Q$5=22,R10,IF($Q$5=23,O13,IF($Q$5=24,O12,IF($Q$5=25,O12,IF($Q$5=26,O12,IF($Q$5=27,O12,IF($Q$5=28,O12,IF($Q$5=29,O12,IF($Q$5=30,O12,IF($Q$5=31,O12,IF($Q$5=32,O12,IF($Q$5=33,O12,IF($Q$5=34,O12,IF($Q$5=35,R11,IF($Q$5=36,O14,IF($Q$5=37,O14,IF($Q$5=38,O14,IF($Q$5=39,O14,IF($Q$5=40,O14,IF($Q$5=41,O14,IF($Q$5=42,O14,IF($Q$5=43,O14,IF($Q$5=44,O14,IF($Q$5=45,O14,IF($Q$5=46,O14,IF($Q$5=47,O14,IF($Q$5=48,O14,IF($Q$5=49,R13,IF($Q$5=50,O14,IF($Q$5=51,O14,IF($Q$5=52,O14,IF($Q$5=53,O14,IF($Q$5=54,O14,0)))))))))))))))))))))))))))))))))))))))))))))))</f>
        <v>A5</v>
      </c>
      <c r="V12" s="157" t="str">
        <f>IF($Q$5=8,L11,IF($Q$5=9,Q10,IF($Q$5=10,L10,IF($Q$5=11,S13,IF($Q$5=12,P10,IF($Q$5=13,S10,IF($Q$5=14,S13,IF($Q$5=15,S11,IF($Q$5=16,S14,IF($Q$5=17,S11,IF($Q$5=18,S11,IF($Q$5=19,S11,IF($Q$5=20,S11,IF($Q$5=21,S11,IF($Q$5=22,S11,IF($Q$5=23,S11,IF($Q$5=24,S11,IF($Q$5=25,S11,IF($Q$5=26,S11,IF($Q$5=27,S11,IF($Q$5=28,S11,IF($Q$5=29,S11,IF($Q$5=30,S10,IF($Q$5=31,S11,IF($Q$5=32,S16,IF($Q$5=33,S16,IF($Q$5=34,S16,IF($Q$5=35,S16,IF($Q$5=36,S14,IF($Q$5=37,S14,IF($Q$5=38,S14,IF($Q$5=39,S14,IF($Q$5=40,S14,IF($Q$5=41,S14,IF($Q$5=42,S14,IF($Q$5=43,S14,IF($Q$5=44,S14,IF($Q$5=45,S14,IF($Q$5=46,S14,IF($Q$5=47,S14,IF($Q$5=48,S14,IF($Q$5=49,S14,IF($Q$5=50,S14,IF($Q$5=51,S14,IF($Q$5=52,S14,IF($Q$5=53,S14,IF($Q$5=54,S14,0)))))))))))))))))))))))))))))))))))))))))))))))</f>
        <v>B7</v>
      </c>
      <c r="W12" s="172" t="str">
        <f>IF($Q$5=11,T12,IF($Q$5=12,T13,IF($Q$5=14,T14,IF($Q$5=15,S15,IF(Q$5=16,T10,IF($Q$5=17,T14,IF($Q$5=18,T14,IF($Q$5=19,S16,IF($Q$5=20,S16,IF($Q$5=21,T14,IF($Q$5=22,T14,IF($Q$5=23,T14,IF($Q$5=24,T14,IF($Q$5=25,S19,IF($Q$5=26,T14,IF($Q$5=27,T14,IF($Q$5=28,T14,IF($Q$5=29,T14,IF($Q$5=30,T14,IF($Q$5=31,T14,IF($Q$5=32,T12,IF($Q$5=33,T12,IF($Q$5=34,T12,IF($Q$5=35,T12,IF($Q$5=36,T15,IF($Q$5=37,T15,IF($Q$5=38,T15,IF($Q$5=39,T15,IF($Q$5=40,T15,IF($Q$5=41,T15,IF($Q$5=42,T15,IF($Q$5=43,T15,IF($Q$5=44,T15,IF($Q$5=45,T15,IF($Q$5=46,T15,IF($Q$5=47,T15,IF($Q$5=48,T15,IF($Q$5=49,T15,IF($Q$5=50,T15,IF($Q$5=51,T15,IF($Q$5=52,T15,IF($Q$5=53,T15,IF($Q$5=54,T15,0)))))))))))))))))))))))))))))))))))))))))))</f>
        <v>C9</v>
      </c>
      <c r="X12" s="23"/>
      <c r="Y12" s="447"/>
      <c r="Z12" s="14" t="str">
        <f>+P10</f>
        <v>B1</v>
      </c>
      <c r="AA12" s="59">
        <f>IF(ISTEXT(Z12),AA11,0)</f>
        <v>5</v>
      </c>
      <c r="AB12" s="59">
        <f>IF(ISTEXT(Z12),AB11,0)</f>
        <v>1</v>
      </c>
      <c r="AC12" s="60">
        <f>IF(ISTEXT(Z12),AC11,0)</f>
        <v>-3</v>
      </c>
      <c r="AD12" s="11"/>
      <c r="AE12" s="14" t="str">
        <f>+S10</f>
        <v>B3</v>
      </c>
      <c r="AF12" s="59">
        <f>IF(ISTEXT(AE12),AF11,0)</f>
        <v>12</v>
      </c>
      <c r="AG12" s="59">
        <f>IF(ISTEXT(AE12),AG11,0)</f>
        <v>3</v>
      </c>
      <c r="AH12" s="61">
        <f>IF(ISTEXT(AE12),AH11,0)</f>
        <v>2</v>
      </c>
      <c r="AI12" s="11"/>
      <c r="AJ12" s="14" t="str">
        <f>+V10</f>
        <v>B5</v>
      </c>
      <c r="AK12" s="18">
        <f>IF(ISTEXT(AJ12),AK11,0)</f>
        <v>8</v>
      </c>
      <c r="AL12" s="59">
        <f>IF(ISTEXT(AJ12),AL11,0)</f>
        <v>3</v>
      </c>
      <c r="AM12" s="62">
        <f>IF(ISTEXT(AJ12),AM11,0)</f>
        <v>3</v>
      </c>
      <c r="AN12" s="23"/>
      <c r="AO12" s="54">
        <v>4</v>
      </c>
      <c r="AP12" s="321" t="str">
        <f>+Inscrits!B6</f>
        <v>A4</v>
      </c>
      <c r="AQ12" s="286">
        <f t="shared" si="3"/>
        <v>3</v>
      </c>
      <c r="AR12" s="99">
        <f t="shared" si="4"/>
        <v>7</v>
      </c>
      <c r="AS12" s="219">
        <f t="shared" si="5"/>
        <v>11</v>
      </c>
      <c r="AT12" s="289">
        <f t="shared" si="6"/>
        <v>1</v>
      </c>
      <c r="AU12" s="99">
        <f t="shared" si="7"/>
        <v>-3</v>
      </c>
      <c r="AV12" s="291">
        <f t="shared" si="8"/>
        <v>6</v>
      </c>
      <c r="AW12" s="286">
        <f t="shared" si="9"/>
        <v>1</v>
      </c>
      <c r="AX12" s="99">
        <f t="shared" si="10"/>
        <v>-3</v>
      </c>
      <c r="AY12" s="291">
        <f t="shared" si="11"/>
        <v>5</v>
      </c>
      <c r="AZ12" s="286">
        <f t="shared" si="17"/>
        <v>5</v>
      </c>
      <c r="BA12" s="99">
        <f t="shared" si="12"/>
        <v>1</v>
      </c>
      <c r="BB12" s="291">
        <f t="shared" si="13"/>
        <v>22</v>
      </c>
      <c r="BC12" s="294">
        <f t="shared" si="14"/>
        <v>0</v>
      </c>
      <c r="BD12" s="7">
        <f t="shared" si="15"/>
        <v>1</v>
      </c>
      <c r="BE12" s="218">
        <f t="shared" si="16"/>
        <v>29.987800119999999</v>
      </c>
      <c r="BF12" s="99">
        <f>IF(AP12="","",SMALL(BE$9:BE$62,ROWS(AZ$9:AZ12)))</f>
        <v>0.91650042000000009</v>
      </c>
      <c r="BG12" s="88"/>
      <c r="BH12" s="99" t="str">
        <f>IF(OR(AP12="",AZ12=""),"",INDEX($AP$9:$AP$63,MATCH(BF12,$BE$9:BE$62,0)))</f>
        <v>B16</v>
      </c>
      <c r="BI12" s="7">
        <f t="shared" si="0"/>
        <v>9</v>
      </c>
      <c r="BJ12" s="7">
        <f t="shared" si="1"/>
        <v>8</v>
      </c>
      <c r="BK12" s="7">
        <f t="shared" si="2"/>
        <v>35</v>
      </c>
      <c r="BL12" s="280">
        <f>IF(BF12="","",IF(AND(BI11=BI12,BJ11=BJ12,BK11=BK12),BL11,$BL$9+3))</f>
        <v>4</v>
      </c>
      <c r="BM12" s="29"/>
      <c r="BN12" s="3"/>
    </row>
    <row r="13" spans="1:66" ht="21" thickBot="1">
      <c r="A13" s="131">
        <v>4</v>
      </c>
      <c r="B13" s="393" t="s">
        <v>69</v>
      </c>
      <c r="C13" s="273">
        <f>IF($Q$5=8,0,IF($Q$5=9,0,4))</f>
        <v>4</v>
      </c>
      <c r="D13" s="398" t="s">
        <v>87</v>
      </c>
      <c r="E13" s="272">
        <f>IF($Q$5&gt;=11,4,0)</f>
        <v>4</v>
      </c>
      <c r="F13" s="396" t="s">
        <v>105</v>
      </c>
      <c r="G13" s="272">
        <f>IF($Q$5&gt;=12,4,0)</f>
        <v>4</v>
      </c>
      <c r="H13" s="23"/>
      <c r="I13" s="196">
        <v>4</v>
      </c>
      <c r="J13" s="204" t="str">
        <f>IF(ISNA(MATCH(I13,$C$10:$C$27,0)),"",INDEX(B$10:$B$27,MATCH(I13,$C$10:$C$27,0)))</f>
        <v>A4</v>
      </c>
      <c r="K13" s="137" t="str">
        <f>IF(ISNA(MATCH(I13,$E$10:$E$27,0)),"",INDEX($D$10:D$27,MATCH(I13,$E$10:$E$27,0)))</f>
        <v>B4</v>
      </c>
      <c r="L13" s="188" t="str">
        <f>IF(ISNA(MATCH(I13,$G$10:$G$27,0)),"",INDEX($F$10:F$27,MATCH(I13,$G$10:$G$27,0)))</f>
        <v>C4</v>
      </c>
      <c r="N13" s="52" t="s">
        <v>5</v>
      </c>
      <c r="O13" s="208" t="str">
        <f>IF($Q$5&gt;=10,J13,IF($Q$5=8,K12,IF($Q$5=9,K12,0)))</f>
        <v>A4</v>
      </c>
      <c r="P13" s="142" t="str">
        <f>IF($Q$5=8,L11,IF($Q$5=9,L12,IF($Q$5=10,L12,IF($Q$5=11,K13,IF($Q$5=12,K13,IF($Q$5=13,L11,IF($Q$5=14,K13,IF($Q$5=15,K13,IF($Q$5=16,K13,IF($Q$5=17,K13,IF($Q$5=18,K13,IF($Q$5=19,K13,IF($Q$5=20,K13,IF($Q$5=21,K13,IF(Q$5=22,K13,IF($Q$5=23,K13,IF($Q$5=24,K13,IF($Q$5=25,K13,IF($Q$5=26,K13,IF($Q$5=27,K13,IF($Q$5=28,K13,IF($Q$5=29,K13,IF($Q$5=30,K13,IF($Q$5=31,K13,IF($Q$5=32,K13,IF($Q$5=33,K13,IF($Q$5=34,K13,IF($Q$5=35,K13,IF($Q$5=36,K13,IF($Q$5=37,K13,IF($Q$5=38,K13,IF($Q$5=39,K13,IF($Q$5=40,K13,IF($Q$5=41,K13,IF($Q$5=42,K13,IF($Q$5=43,K13,IF($Q$5=44,K13,IF($Q$5=45,K13,IF($Q$5=46,K13,IF($Q$5=47,K13,IF($Q$5=48,K13,IF($Q$5=49,K13,IF($Q$5=50,K13,IF($Q$5=51,K13,IF($Q$5=52,K13,IF($Q$5=53,K13,IF($Q$5=54,K13,0)))))))))))))))))))))))))))))))))))))))))))))))</f>
        <v>B4</v>
      </c>
      <c r="Q13" s="152" t="str">
        <f>IF($Q$5=12,L13,IF($Q$5=16,L13,IF($Q$5=17,L13,IF($Q$5=18,L13,IF($Q$5=20,L13,IF($Q$5=21,L13,IF($Q$5=22,L13,IF($Q$5=23,L13,IF($Q$5=24,L13,IF($Q$5=25,L13,IF($Q$5=26,L13,IF($Q$5=27,L13,IF($Q$5=28,L13,IF($Q$5=29,L13,IF($Q$5=30,L13,IF($Q$5=31,L13,IF($Q$5=32,L13,IF($Q$5=33,L13,IF($Q$5=34,L13,IF($Q$5=35,L13,IF($Q$5=36,L13,IF($Q$5=37,L13,IF($Q$5=38,L13,IF($Q$5=39,L13,IF($Q$5=40,L13,IF($Q$5=41,L13,IF($Q$5=42,L13,IF($Q$5=43,L13,IF($Q$5=44,L13,IF($Q$5=45,L13,IF($Q$5=46,L13,IF($Q$5=47,L13,IF($Q$5=48,L13,IF($Q$5=49,L13,IF($Q$5=50,L13,IF($Q$5=51,L13,IF($Q$5=52,L13,IF($Q$5=53,L13,IF($Q$5=54,L13,0)))))))))))))))))))))))))))))))))))))))</f>
        <v>C4</v>
      </c>
      <c r="R13" s="161" t="str">
        <f>IF($Q$5=8,J12,IF($Q$5=9,O12,IF($Q$5=10,J11,IF($Q$5=11,J13,IF($Q$5=12,J11,IF($Q$5=13,J14,IF($Q$5=14,J14,IF($Q$5=15,J14,IF($Q$5=16,J14,IF($Q$5=17,J13,IF($Q$5=18,J11,IF($Q$5=19,J10,IF($Q$5=20,J13,IF($Q$5=21,J14,IF($Q$5=22,J14,IF($Q$5=23,J14,IF($Q$5=24,J14,IF($Q$5=25,J14,IF($Q$5=26,J14,IF($Q$5=27,J14,IF($Q$5=28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))))</f>
        <v>A5</v>
      </c>
      <c r="S13" s="162" t="str">
        <f>IF($Q$5=8,K10,IF($Q$5=9,Q10,IF($Q$5=10,K12,IF($Q$5=11,K12,IF($Q$5=12,K10,IF($Q$5=13,K12,IF($Q$5=14,K11,IF($Q$5=15,P12,IF($Q$5=16,K10,IF($Q$5=17,K12,IF($Q$5=18,K12,IF($Q$5=19,K12,IF($Q$5=20,K12,IF($Q$5=21,K12,IF($Q$5=22,K12,IF($Q$5=23,K16,IF($Q$5=24,K12,IF($Q$5=25,K12,IF($Q$5=26,K12,IF($Q$5=27,K12,IF($Q$5=28,K12,IF($Q$5=29,K12,IF($Q$5=30,K12,IF($Q$5=31,K12,IF($Q$5=32,K12,IF($Q$5=33,K12,IF($Q$5=34,K12,IF($Q$5=35,K12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)))))</f>
        <v>B6</v>
      </c>
      <c r="T13" s="181" t="str">
        <f>IF($Q$5=12,L13,IF($Q$5=16,L11,IF($Q$5=17,L14,IF($Q$5=18,L14,IF($Q$5=19,0,IF($Q$5=20,P16,IF($Q$5=21,L14,IF($Q$5=22,L15,IF($Q$5=23,L16,IF($Q$5=24,L15,IF($Q$5=25,L14,IF($Q$5=26,L14,IF($Q$5=27,L14,IF($Q$5=28,L14,IF($Q$5=29,L14,IF($Q$5=30,L15,IF($Q$5=31,L11,IF($Q$5=32,L13,IF($Q$5=33,L13,IF($Q$5=34,L13,IF($Q$5=35,L13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))))))))))</f>
        <v>C7</v>
      </c>
      <c r="U13" s="184" t="str">
        <f>IF($Q$5=8,K12,IF($Q$5=9,R10,IF($Q$5=10,J12,IF($Q$5=11,O12,IF($Q$5=12,O13,IF($Q$5=13,R13,IF($Q$5=14,R14,IF($Q$5=15,R14,IF(Q$5=16,O15,IF($Q$5=17,R11,IF($Q$5=18,O14,IF($Q$5=19,R11,IF($Q$5=20,R11,IF($Q$5=21,R12,IF($Q$5=22,O13,IF($Q$5=23,R14,IF($Q$5=24,O14,IF($Q$5=25,R13,IF($Q$5=26,O14,IF($Q$5=27,O14,IF($Q$5=28,O14,IF($Q$5=29,O14,IF($Q$5=30,O14,IF($Q$5=31,O14,IF($Q$5=32,O14,IF($Q$5=33,O14,IF($Q$5=34,O14,IF($Q$5=35,R13,IF($Q$5=36,O15,IF($Q$5=37,O15,IF($Q$5=38,O15,IF($Q$5=39,O15,IF($Q$5=40,O15,IF($Q$5=41,O15,IF($Q$5=42,O15,IF($Q$5=43,O15,IF($Q$5=44,O15,IF($Q$5=45,O15,IF($Q$5=46,O15,IF($Q$5=47,O15,IF($Q$5=48,O15,IF($Q$5=49,R14,IF($Q$5=50,O15,IF($Q$5=51,O15,IF($Q$5=52,O15,IF($Q$5=53,O15,IF($Q$5=54,O15,0)))))))))))))))))))))))))))))))))))))))))))))))</f>
        <v>A6</v>
      </c>
      <c r="V13" s="162" t="str">
        <f>IF($Q$5=8,K11,IF($Q$5=9,S11,IF($Q$5=10,K11,IF($Q$5=11,S11,IF($Q$5=12,S12,IF($Q$5=13,S14,IF($Q$5=14,S11,IF($Q$5=15,S12,IF($Q$5=16,S13,IF($Q$5=17,S14,IF($Q$5=18,S14,IF($Q$5=19,S12,IF($Q$5=20,S14,IF($Q$5=21,S14,IF($Q$5=22,S14,IF($Q$5=23,S14,IF($Q$5=24,S14,IF($Q$5=25,S14,IF($Q$5=26,S14,IF($Q$5=27,S14,IF($Q$5=28,S14,IF($Q$5=29,S16,IF($Q$5=30,S14,IF($Q$5=31,S14,IF($Q$5=32,S17,IF($Q$5=33,S17,IF($Q$5=34,S17,IF($Q$5=35,S17,IF($Q$5=36,S15,IF($Q$5=37,S15,IF($Q$5=38,S15,IF($Q$5=39,S15,IF($Q$5=40,S15,IF($Q$5=41,S15,IF($Q$5=42,S15,IF($Q$5=43,S15,IF($Q$5=44,S15,IF($Q$5=45,S15,IF($Q$5=46,S15,IF($Q$5=47,S15,IF($Q$5=48,S15,IF($Q$5=49,S15,IF($Q$5=50,S15,IF($Q$5=51,S15,IF($Q$5=52,S15,IF($Q$5=53,S15,IF($Q$5=54,S15,0)))))))))))))))))))))))))))))))))))))))))))))))</f>
        <v>B8</v>
      </c>
      <c r="W13" s="174" t="str">
        <f>IF($Q$5=12,T10,IF($Q$5=16,T13,IF($Q$5=17,T11,IF($Q$5=18,T15,IF($Q$5=20,T13,IF($Q$5=21,T11,IF($Q$5=22,T15,IF($Q$5=23,T15,IF($Q$5=24,T15,IF($Q$5=25,T14,IF($Q$5=26,T15,IF($Q$5=27,T15,IF($Q$5=28,T15,IF($Q$5=29,T15,IF($Q$5=30,T15,IF($Q$5=31,T15,IF($Q$5=32,T14,IF($Q$5=33,T14,IF($Q$5=34,T14,IF($Q$5=35,T14,IF($Q$5=36,T16,IF($Q$5=37,T16,IF($Q$5=38,T16,IF($Q$5=39,T16,IF($Q$5=40,T16,IF($Q$5=41,T16,IF($Q$5=42,T16,IF($Q$5=43,T16,IF($Q$5=44,T16,IF($Q$5=45,T16,IF($Q$5=46,T16,IF($Q$5=47,T16,IF($Q$5=48,T16,IF($Q$5=49,T16,IF($Q$5=50,T16,IF($Q$5=51,T16,IF($Q$5=52,T16,IF($Q$5=53,T16,IF($Q$5=54,T16,0)))))))))))))))))))))))))))))))))))))))</f>
        <v>C10</v>
      </c>
      <c r="X13" s="23"/>
      <c r="Y13" s="447"/>
      <c r="Z13" s="14" t="str">
        <f>+Q10</f>
        <v>C1</v>
      </c>
      <c r="AA13" s="63">
        <f>IF(ISTEXT(Z13),AA11,0)</f>
        <v>5</v>
      </c>
      <c r="AB13" s="64">
        <f>IF(ISTEXT(Z13),AB11,0)</f>
        <v>1</v>
      </c>
      <c r="AC13" s="65">
        <f>IF(ISTEXT(Z13),AC11,0)</f>
        <v>-3</v>
      </c>
      <c r="AD13" s="11"/>
      <c r="AE13" s="14" t="str">
        <f>+T10</f>
        <v>C4</v>
      </c>
      <c r="AF13" s="63">
        <f>IF(ISTEXT(AE13),AF11,0)</f>
        <v>12</v>
      </c>
      <c r="AG13" s="64">
        <f>IF(ISTEXT(AE13),AG11,0)</f>
        <v>3</v>
      </c>
      <c r="AH13" s="66">
        <f>IF(ISTEXT(AE13),AH11,0)</f>
        <v>2</v>
      </c>
      <c r="AI13" s="11"/>
      <c r="AJ13" s="14" t="str">
        <f>+W10</f>
        <v>C7</v>
      </c>
      <c r="AK13" s="67">
        <f>IF(ISTEXT(AJ13),AK11,0)</f>
        <v>8</v>
      </c>
      <c r="AL13" s="64">
        <f>IF(ISTEXT(AJ13),AL11,0)</f>
        <v>3</v>
      </c>
      <c r="AM13" s="68">
        <f>IF(ISTEXT(AJ13),AM11,0)</f>
        <v>3</v>
      </c>
      <c r="AN13" s="23"/>
      <c r="AO13" s="54">
        <v>5</v>
      </c>
      <c r="AP13" s="321" t="str">
        <f>+Inscrits!B7</f>
        <v>A5</v>
      </c>
      <c r="AQ13" s="286">
        <f t="shared" si="3"/>
        <v>3</v>
      </c>
      <c r="AR13" s="99">
        <f t="shared" si="4"/>
        <v>6</v>
      </c>
      <c r="AS13" s="219">
        <f t="shared" si="5"/>
        <v>13</v>
      </c>
      <c r="AT13" s="289">
        <f t="shared" si="6"/>
        <v>3</v>
      </c>
      <c r="AU13" s="99">
        <f t="shared" si="7"/>
        <v>3</v>
      </c>
      <c r="AV13" s="291">
        <f t="shared" si="8"/>
        <v>9</v>
      </c>
      <c r="AW13" s="286">
        <f t="shared" si="9"/>
        <v>1</v>
      </c>
      <c r="AX13" s="99">
        <f t="shared" si="10"/>
        <v>-8</v>
      </c>
      <c r="AY13" s="291">
        <f t="shared" si="11"/>
        <v>4</v>
      </c>
      <c r="AZ13" s="286">
        <f t="shared" si="17"/>
        <v>7</v>
      </c>
      <c r="BA13" s="99">
        <f t="shared" si="12"/>
        <v>1</v>
      </c>
      <c r="BB13" s="291">
        <f t="shared" si="13"/>
        <v>26</v>
      </c>
      <c r="BC13" s="294">
        <f t="shared" si="14"/>
        <v>0</v>
      </c>
      <c r="BD13" s="7">
        <f t="shared" si="15"/>
        <v>1</v>
      </c>
      <c r="BE13" s="218">
        <f t="shared" si="16"/>
        <v>5.9874001300000002</v>
      </c>
      <c r="BF13" s="99">
        <f>IF(AP13="","",SMALL(BE$9:BE$62,ROWS(AZ$9:AZ13)))</f>
        <v>0.94720037999999995</v>
      </c>
      <c r="BG13" s="88"/>
      <c r="BH13" s="99" t="str">
        <f>IF(OR(AP13="",AZ13=""),"",INDEX($AP$9:$AP$63,MATCH(BF13,$BE$9:BE$62,0)))</f>
        <v>B12</v>
      </c>
      <c r="BI13" s="7">
        <f t="shared" si="0"/>
        <v>9</v>
      </c>
      <c r="BJ13" s="7">
        <f t="shared" si="1"/>
        <v>5</v>
      </c>
      <c r="BK13" s="7">
        <f t="shared" si="2"/>
        <v>28</v>
      </c>
      <c r="BL13" s="280">
        <f>IF(BF13="","",IF(AND(BI12=BI13,BJ12=BJ13,BK12=BK13),BL12,$BL$9+4))</f>
        <v>5</v>
      </c>
      <c r="BM13" s="29"/>
      <c r="BN13" s="3"/>
    </row>
    <row r="14" spans="1:66" ht="20.25">
      <c r="A14" s="131">
        <v>5</v>
      </c>
      <c r="B14" s="393" t="s">
        <v>70</v>
      </c>
      <c r="C14" s="272">
        <f>IF($Q$5&gt;=13,5,0)</f>
        <v>5</v>
      </c>
      <c r="D14" s="398" t="s">
        <v>88</v>
      </c>
      <c r="E14" s="272">
        <f>IF($Q$5&gt;=14,5,0)</f>
        <v>5</v>
      </c>
      <c r="F14" s="396" t="s">
        <v>106</v>
      </c>
      <c r="G14" s="272">
        <f>IF($Q$5&gt;=15,5,0)</f>
        <v>5</v>
      </c>
      <c r="H14" s="23"/>
      <c r="I14" s="196">
        <v>5</v>
      </c>
      <c r="J14" s="204" t="str">
        <f>IF(ISNA(MATCH(I14,$C$10:$C$27,0)),"",INDEX(B$10:$B$27,MATCH(I14,$C$10:$C$27,0)))</f>
        <v>A5</v>
      </c>
      <c r="K14" s="137" t="str">
        <f>IF(ISNA(MATCH(I14,$E$10:$E$27,0)),"",INDEX($D$10:D$27,MATCH(I14,$E$10:$E$27,0)))</f>
        <v>B5</v>
      </c>
      <c r="L14" s="188" t="str">
        <f>IF(ISNA(MATCH(I14,$G$10:$G$27,0)),"",INDEX($F$10:F$27,MATCH(I14,$G$10:$G$27,0)))</f>
        <v>C5</v>
      </c>
      <c r="N14" s="82">
        <v>3</v>
      </c>
      <c r="O14" s="138" t="str">
        <f>IF($Q$5=13,J14,IF($Q$5=14,J14,IF($Q$5=15,J14,IF($Q$5=16,J14,IF($Q$5=17,J14,IF($Q$5=18,J14,IF($Q$5=19,J14,IF($Q$5=20,J14,IF($Q$5=21,J14,IF($Q$5=22,J14,IF($Q$5=23,J14,IF($Q$5=24,J14,IF($Q$5=25,J14,IF($Q$5=26,J14,IF($Q$5=27,J14,IF($Q$5=28,J14,IF($Q$5=29,J14,IF($Q$5=29,J14,IF($Q$5=30,J14,IF($Q$5=31,J14,IF($Q$5=32,J14,IF($Q$5=33,J14,IF($Q$5=34,J14,IF($Q$5=35,J14,IF($Q$5=36,J14,IF($Q$5=37,J14,IF($Q$5=38,J14,IF($Q$5=39,J14,IF($Q$5=40,J14,IF($Q$5=41,J14,IF($Q$5=42,J14,IF($Q$5=43,J14,IF($Q$5=44,J14,IF($Q$5=45,J14,IF($Q$5=46,J14,IF($Q$5=47,J14,IF($Q$5=48,J14,IF($Q$5=49,J14,IF($Q$5=50,J14,IF($Q$5=51,J14,IF($Q$5=52,J14,IF($Q$5=53,J14,IF($Q$5=54,J14,0)))))))))))))))))))))))))))))))))))))))))))</f>
        <v>A5</v>
      </c>
      <c r="P14" s="139" t="str">
        <f>IF($Q$5=13,L12,IF($Q$5=14,L12,IF($Q$5=15,L12,IF($Q$5=16,K14,IF($Q$5=17,K14,IF($Q$5=18,K14,IF($Q$5=19,K14,IF($Q$5=20,K14,IF($Q$5=21,K14,IF($Q$5=22,K14,IF($Q$5=23,K14,IF($Q$5=24,K14,IF($Q$5=25,K14,IF($Q$5=26,K14,IF($Q$5=27,K14,IF($Q$5=28,K14,IF($Q$5=29,K14,IF($Q$5=30,K14,IF($Q$5=31,K14,IF($Q$5=32,K14,IF($Q$5=33,K14,IF($Q$5=34,K14,IF($Q$5=35,K14,IF($Q$5=36,K14,IF($Q$5=37,K14,IF($Q$5=38,K14,IF($Q$5=39,K14,IF($Q$5=40,K14,IF($Q$5=41,K14,IF($Q$5=42,K14,IF($Q$5=43,K14,IF($Q$5=44,K14,IF($Q$5=45,K14,IF($Q$5=46,K14,IF($Q$5=47,K14,IF($Q$5=48,K14,IF($Q$5=49,K14,IF($Q$5=50,K14,IF($Q$5=51,K14,IF($Q$5=52,K14,IF($Q$5=53,K14,IF($Q$5=54,K14,0))))))))))))))))))))))))))))))))))))))))))</f>
        <v>B5</v>
      </c>
      <c r="Q14" s="153" t="str">
        <f>IF($Q$5=17,L14,IF($Q$5=18,L14,IF($Q$5=21,L14,IF($Q$5=22,L14,IF($Q$5=23,L14,IF($Q$5=24,L14,IF($Q$5=25,L14,IF($Q$5=26,L14,IF($Q$5=27,L14,IF($Q$5=28,L14,IF($Q$5=29,L14,IF($Q$5=30,L14,IF($Q$5=31,L14,IF($Q$5=32,L14,IF($Q$5=33,L14,IF($Q$5=34,L14,IF($Q$5=35,L14,IF($Q$5=36,L14,IF($Q$5=37,L14,IF($Q$5=38,L14,IF($Q$5=39,L14,IF($Q$5=40,L14,IF($Q$5=41,L14,IF($Q$5=42,L14,IF($Q$5=43,L14,IF($Q$5=44,L14,IF($Q$5=45,L14,IF($Q$5=46,L14,IF($Q$5=47,L14,IF($Q$5=48,L14,IF($Q$5=49,L14,IF($Q$5=50,L14,IF($Q$5=51,L14,IF($Q$5=52,L14,IF($Q$5=53,L14,IF($Q$5=54,L14,0))))))))))))))))))))))))))))))))))))</f>
        <v>C5</v>
      </c>
      <c r="R14" s="160" t="str">
        <f>IF($Q$5=13,J13,IF($Q$5=14,J10,IF($Q$5=15,J10,IF($Q$5=16,J15,IF($Q$5=17,J11,IF($Q$5=18,J13,IF($Q$5=19,J14,IF($Q$5=20,J14,IF($Q$5=21,J13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S14" s="163" t="str">
        <f>IF($Q$5=13,P14,IF($Q$5=14,L11,IF($Q$5=15,L10,IF($Q$5=16,K11,IF($Q$5=17,K15,IF($Q$5=18,K15,IF($Q$5=19,P10,IF($Q$5=20,K11,IF($Q$5=21,K15,IF($Q$5=22,K15,IF($Q$5=23,D17,IF($Q$5=24,K17,IF($Q$5=25,K16,IF($Q$5=26,K17,IF($Q$5=27,K15,IF($Q$5=28,K17,IF($Q$5=29,K15,IF($Q$5=30,K15,IF($Q$5=31,K17,IF($Q$5=32,K17,IF($Q$5=33,K17,IF($Q$5=34,K17,IF($Q$5=35,K17,IF($Q$5=36,K16,IF($Q$5=37,K16,IF($Q$5=38,K16,IF($Q$5=39,K16,IF($Q$5=40,K16,IF($Q$5=41,K16,IF($Q$5=42,K16,IF($Q$5=43,K16,IF($Q$5=44,K16,IF($Q$5=45,K16,IF($Q$5=46,K16,IF($Q$5=47,K16,IF($Q$5=48,K16,IF($Q$5=49,K16,IF($Q$5=50,K16,IF($Q$5=51,K16,IF($Q$5=52,K16,IF($Q$5=53,K16,IF($Q$5=54,K16,0))))))))))))))))))))))))))))))))))))))))))</f>
        <v>B7</v>
      </c>
      <c r="T14" s="182" t="str">
        <f>IF($Q$5=17,L10,IF($Q$5=18,L11,IF($Q$5=20,0,IF($Q$5=21,P16,IF($Q$5=22,P17,IF($Q$5=23,L15,IF($Q$5=24,L14,IF($Q$5=25,P17,IF($Q$5=26,L15,IF($Q$5=27,L15,IF($Q$5=28,L15,IF($Q$5=29,L15,IF($Q$5=30,L11,IF($Q$5=31,L16,IF($Q$5=32,L16,IF($Q$5=33,L16,IF($Q$5=34,L16,IF($Q$5=35,L16,IF($Q$5=36,L17,IF($Q$5=37,L17,IF($Q$5=38,L17,IF($Q$5=39,L17,IF($Q$5=40,L17,IF($Q$5=41,L17,IF($Q$5=42,L17,IF($Q$5=43,L17,IF($Q$5=44,L17,IF($Q$5=45,L17,IF($Q$5=46,L17,IF($Q$5=47,L17,IF($Q$5=48,L17,IF($Q$5=49,L17,IF($Q$5=50,L17,IF($Q$5=51,L17,IF($Q$5=52,L17,IF($Q$5=53,L17,IF($Q$5=54,L17,0)))))))))))))))))))))))))))))))))))))</f>
        <v>C8</v>
      </c>
      <c r="U14" s="160" t="str">
        <f>IF($Q$5=13,R10,IF($Q$5=14,R10,IF($Q$5=15,O11,IF($Q$5=16,O13,IF($Q$5=17,O11,IF($Q$5=18,R13,IF($Q$5=19,R10,IF($Q$5=20,R14,IF($Q$5=21,R11,IF($Q$5=22,O14,IF($Q$5=23,R17,IF($Q$5=24,R10,IF($Q$5=25,R10,IF($Q$5=26,O11,IF($Q$5=27,O11,IF($Q$5=28,R10,IF($Q$5=29,O11,IF($Q$5=30,R10,IF($Q$5=31,O15,IF($Q$5=32,O15,IF($Q$5=33,O15,IF($Q$5=34,O15,IF($Q$5=35,O15,IF($Q$5=36,O16,IF($Q$5=37,O16,IF($Q$5=38,O16,IF($Q$5=39,O16,IF($Q$5=40,O16,IF($Q$5=41,O16,IF($Q$5=42,O16,IF($Q$5=43,O16,IF($Q$5=44,O16,IF($Q$5=45,O16,IF($Q$5=46,O16,IF($Q$5=47,O16,IF($Q$5=48,O16,IF($Q$5=49,R15,IF($Q$5=50,O16,IF($Q$5=51,O16,IF($Q$5=52,O16,IF($Q$5=53,O16,IF($Q$5=54,O16,0))))))))))))))))))))))))))))))))))))))))))</f>
        <v>A7</v>
      </c>
      <c r="V14" s="157" t="str">
        <f>IF($Q$5=13,T10,IF($Q$5=14,P14,IF($Q$5=15,S13,IF($Q$5=16,S12,IF($Q$5=17,S15,IF($Q$5=18,S15,IF($Q$5=19,S13,IF($Q$5=20,S15,IF($Q$5=21,S10,IF($Q$5=22,S15,IF($Q$5=23,S17,IF($Q$5=24,S15,IF($Q$5=25,S15,IF($Q$5=26,S15,IF($Q$5=27,S15,IF($Q$5=28,S15,IF($Q$5=29,S15,IF($Q$5=30,S15,IF($Q$5=31,T11,IF($Q$5=32,S15,IF($Q$5=33,S15,IF($Q$5=34,S15,IF($Q$5=35,S15,IF($Q$5=36,S16,IF($Q$5=37,S16,IF($Q$5=38,S16,IF($Q$5=39,S16,IF($Q$5=40,S16,IF($Q$5=41,S16,IF($Q$5=42,S16,IF($Q$5=43,S16,IF($Q$5=44,S16,IF($Q$5=45,S16,IF($Q$5=46,S16,IF($Q$5=47,S16,IF($Q$5=48,S16,IF($Q$5=49,S16,IF($Q$5=50,S16,IF($Q$5=51,S16,IF($Q$5=52,S16,IF($Q$5=53,S16,IF($Q$5=54,S16,0))))))))))))))))))))))))))))))))))))))))))</f>
        <v>B9</v>
      </c>
      <c r="W14" s="172" t="str">
        <f>IF($Q$5=17,T10,IF($Q$5=18,T11,IF($Q$5=21,T13,IF($Q$5=22,T11,IF($Q$5=23,T11,IF($Q$5=24,T16,IF($Q$5=25,S17,IF($Q$5=26,S17,IF($Q$5=27,T16,IF($Q$5=28,T16,IF($Q$5=29,T16,IF($Q$5=30,T16,IF($Q$5=31,S19,IF($Q$5=32,T15,IF($Q$5=33,T15,IF($Q$5=34,T18,IF($Q$5=35,T20,IF($Q$5=36,T17,IF($Q$5=37,T17,IF($Q$5=38,T17,IF($Q$5=39,T17,IF($Q$5=40,T17,IF($Q$5=41,T17,IF($Q$5=42,T17,IF($Q$5=43,T17,IF($Q$5=44,T17,IF($Q$5=45,T17,IF($Q$5=46,T17,IF($Q$5=47,T17,IF($Q$5=48,T17,IF($Q$5=49,T17,IF($Q$5=50,T17,IF($Q$5=51,T17,IF($Q$5=52,T17,IF($Q$5=53,T17,IF($Q$5=54,T17,0))))))))))))))))))))))))))))))))))))</f>
        <v>C11</v>
      </c>
      <c r="X14" s="23"/>
      <c r="Y14" s="447"/>
      <c r="Z14" s="32"/>
      <c r="AA14" s="21" t="s">
        <v>5</v>
      </c>
      <c r="AB14" s="21"/>
      <c r="AC14" s="22"/>
      <c r="AD14" s="1"/>
      <c r="AE14" s="32"/>
      <c r="AF14" s="21" t="s">
        <v>5</v>
      </c>
      <c r="AG14" s="21"/>
      <c r="AH14" s="22"/>
      <c r="AI14" s="1"/>
      <c r="AJ14" s="32"/>
      <c r="AK14" s="21" t="s">
        <v>5</v>
      </c>
      <c r="AL14" s="21"/>
      <c r="AM14" s="22"/>
      <c r="AN14" s="23"/>
      <c r="AO14" s="54">
        <v>6</v>
      </c>
      <c r="AP14" s="321" t="str">
        <f>+Inscrits!B8</f>
        <v>A6</v>
      </c>
      <c r="AQ14" s="286">
        <f t="shared" si="3"/>
        <v>1</v>
      </c>
      <c r="AR14" s="99">
        <f t="shared" si="4"/>
        <v>-6</v>
      </c>
      <c r="AS14" s="219">
        <f t="shared" si="5"/>
        <v>7</v>
      </c>
      <c r="AT14" s="289">
        <f t="shared" si="6"/>
        <v>3</v>
      </c>
      <c r="AU14" s="99">
        <f t="shared" si="7"/>
        <v>11</v>
      </c>
      <c r="AV14" s="291">
        <f t="shared" si="8"/>
        <v>13</v>
      </c>
      <c r="AW14" s="286">
        <f t="shared" si="9"/>
        <v>3</v>
      </c>
      <c r="AX14" s="99">
        <f t="shared" si="10"/>
        <v>8</v>
      </c>
      <c r="AY14" s="291">
        <f t="shared" si="11"/>
        <v>12</v>
      </c>
      <c r="AZ14" s="286">
        <f t="shared" si="17"/>
        <v>7</v>
      </c>
      <c r="BA14" s="99">
        <f t="shared" si="12"/>
        <v>13</v>
      </c>
      <c r="BB14" s="291">
        <f t="shared" si="13"/>
        <v>32</v>
      </c>
      <c r="BC14" s="294">
        <f t="shared" si="14"/>
        <v>0</v>
      </c>
      <c r="BD14" s="7">
        <f t="shared" si="15"/>
        <v>13</v>
      </c>
      <c r="BE14" s="218">
        <f t="shared" si="16"/>
        <v>5.8668001400000005</v>
      </c>
      <c r="BF14" s="99">
        <f>IF(AP14="","",SMALL(BE$9:BE$62,ROWS(AZ$9:AZ14)))</f>
        <v>5.82670025</v>
      </c>
      <c r="BG14" s="88"/>
      <c r="BH14" s="99" t="str">
        <f>IF(OR(AP14="",AZ14=""),"",INDEX($AP$9:$AP$63,MATCH(BF14,$BE$9:BE$62,0)))</f>
        <v>A17</v>
      </c>
      <c r="BI14" s="7">
        <f t="shared" si="0"/>
        <v>7</v>
      </c>
      <c r="BJ14" s="7">
        <f t="shared" si="1"/>
        <v>17</v>
      </c>
      <c r="BK14" s="7">
        <f t="shared" si="2"/>
        <v>33</v>
      </c>
      <c r="BL14" s="280">
        <f>IF(BF14="","",IF(AND(BI13=BI14,BJ13=BJ14,BK13=BK14),BL13,$BL$9+5))</f>
        <v>6</v>
      </c>
      <c r="BM14" s="29"/>
      <c r="BN14" s="3"/>
    </row>
    <row r="15" spans="1:66" ht="21" thickBot="1">
      <c r="A15" s="131">
        <v>6</v>
      </c>
      <c r="B15" s="393" t="s">
        <v>71</v>
      </c>
      <c r="C15" s="272">
        <f>IF($Q$5&gt;=16,6,0)</f>
        <v>6</v>
      </c>
      <c r="D15" s="398" t="s">
        <v>89</v>
      </c>
      <c r="E15" s="272">
        <f>IF($Q$5&gt;=17,6,0)</f>
        <v>6</v>
      </c>
      <c r="F15" s="396" t="s">
        <v>107</v>
      </c>
      <c r="G15" s="272">
        <f>IF($Q$5&gt;=18,6,0)</f>
        <v>6</v>
      </c>
      <c r="H15" s="23"/>
      <c r="I15" s="196">
        <v>6</v>
      </c>
      <c r="J15" s="204" t="str">
        <f>IF(ISNA(MATCH(I15,$C$10:$C$27,0)),"",INDEX(B$10:$B$27,MATCH(I15,$C$10:$C$27,0)))</f>
        <v>A6</v>
      </c>
      <c r="K15" s="137" t="str">
        <f>IF(ISNA(MATCH(I15,$E$10:$E$27,0)),"",INDEX($D$10:D$27,MATCH(I15,$E$10:$E$27,0)))</f>
        <v>B6</v>
      </c>
      <c r="L15" s="188" t="str">
        <f>IF(ISNA(MATCH(I15,$G$10:$G$27,0)),"",INDEX($F$10:F$27,MATCH(I15,$G$10:$G$27,0)))</f>
        <v>C6</v>
      </c>
      <c r="N15" s="52" t="s">
        <v>5</v>
      </c>
      <c r="O15" s="141" t="str">
        <f>IF($Q$5=13,K13,IF($Q$5=14,K14,IF($Q$5=15,K14,IF($Q$5=16,J15,IF($Q$5=17,J15,IF($Q5=18,J15,IF($Q$5=19,J15,IF($Q$5=20,J15,IF($Q$5=21,J15,IF($Q$5=22,J15,IF($Q$5=23,J15,IF($Q$5=24,J15,IF($Q$5=25,J15,IF($Q$5=26,J15,IF($Q$5=27,J15,IF($Q$5=28,J15,IF($Q$5=29,J15,IF($Q$5=30,J15,IF($Q$5=31,J15,IF($Q$5=32,J15,IF($Q$5=33,J15,IF($Q$5=34,J15,IF($Q$5=35,J15,IF($Q$5=36,J15,IF($Q$5=37,J15,IF($Q$5=38,J15,IF($Q$5=39,J15,IF($Q$5=40,J15,IF($Q$5=41,J15,IF($Q$5=42,J15,IF($Q$5=43,J15,IF($Q$5=44,J15,IF($Q$5=45,J15,IF($Q$5=46,J15,IF($Q$5=47,J15,IF($Q$5=48,J15,IF($Q$5=49,J15,IF($Q$5=50,J15,IF($Q$5=51,J15,IF($Q$5=52,J15,IF($Q$5=53,J15,IF($Q$5=54,J15,0))))))))))))))))))))))))))))))))))))))))))</f>
        <v>A6</v>
      </c>
      <c r="P15" s="142" t="str">
        <f>IF($Q$5=13,L13,IF($Q$5=14,L13,IF($Q$5=15,L13,IF($Q$5=16,L14,IF($Q$5=17,K15,IF($Q$5=18,K15,IF($Q$5=19,L13,IF($Q$5=20,K15,IF($Q$5=21,K15,IF($Q$5=22,K15,IF($Q$5=23,K15,IF($Q$5=24,K15,IF($Q$5=25,K15,IF($Q$5=26,K15,IF($Q$5=27,K15,IF($Q$5=28,K15,IF($Q$5=29,K15,IF($Q$5=30,K15,IF($Q$5=31,K15,IF($Q$5=32,K15,IF($Q$5=33,K15,IF($Q$5=34,K15,IF($Q$5=35,K15,IF($Q$5=36,K15,IF($Q$5=37,K15,IF($Q$5=38,K15,IF($Q$5=39,K15,IF($Q$5=40,K15,IF($Q$5=41,K15,IF($Q$5=42,K15,IF($Q$5=43,K15,IF($Q$5=44,K15,IF($Q$5=45,K15,IF($Q$5=46,K15,IF($Q$5=47,K15,IF($Q$5=48,K15,IF($Q$5=49,K15,IF($Q$5=50,K15,IF($Q$5=51,K15,IF($Q$5=52,K15,IF($Q$5=53,K15,IF($Q$5=54,K15,0))))))))))))))))))))))))))))))))))))))))))</f>
        <v>B6</v>
      </c>
      <c r="Q15" s="152" t="str">
        <f>IF($Q$5=18,L15,IF($Q$5=22,L15,IF($Q$5=23,L15,IF(Q$5=24,L15,IF($Q$5=26,L15,IF($Q$5=27,L15,IF($Q$5=28,L15,IF($Q$5=29,L15,IF($Q$5=30,L15,IF($Q$5=31,L15,IF($Q$5=32,L15,IF($Q$5=33,L15,IF($Q$5=34,L15,IF($Q$5=35,L15,IF($Q$5=36,L15,IF($Q$5=37,L15,IF($Q$5=38,L15,IF($Q$5=39,L15,IF($Q$5=40,L15,IF($Q$5=41,L15,IF($Q$5=42,L15,IF($Q$5=43,L15,IF($Q$5=44,L15,IF($Q$5=45,L15,IF($Q$5=46,L15,IF($Q$5=47,L15,IF($Q$5=48,L15,IF($Q$5=49,L15,IF($Q$5=50,L15,IF($Q$5=51,L15,IF($Q$5=52,L15,IF($Q$5=53,L15,IF($Q$5=54,L15,0)))))))))))))))))))))))))))))))))</f>
        <v>C6</v>
      </c>
      <c r="R15" s="164" t="str">
        <f>IF($Q$5=13,K10,IF($Q$5=14,O15,IF($Q$5=15,O15,IF($Q$5=16,J10,IF($Q$5=17,J15,IF($Q$5=18,J15,IF($Q$5=19,J15,IF($Q$5=20,J15,IF($Q$5=21,J15,IF($Q$5=22,J16,IF($Q$5=23,J16,IF($Q$5=24,J16,IF($Q$5=25,J16,IF($Q$5=26,J16,IF($Q$5=27,J16,IF($Q$5=28,J16,IF($Q$5=29,O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))))))</f>
        <v>A7</v>
      </c>
      <c r="S15" s="159" t="str">
        <f>IF($Q$5=13,O15,IF($Q$5=14,P14,IF($Q$5=15,L11,IF($Q$5=16,L12,IF(Q$5=17,P10,IF($Q$5=18,K10,IF($Q$5=19,L11,IF($Q$5=20,K13,IF($Q$5=21,L10,IF($Q$5=22,K16,IF($Q$5=23,D10,IF($Q$5=24,K13,IF($Q$5=25,K15,IF($Q$5=26,K13,IF($Q$5=27,K16,IF($Q$5=28,K16,IF($Q$5=29,K16,IF($Q$5=30,K16,IF($Q$5=31,K15,IF($Q$5=32,K18,IF($Q$5=33,K18,IF($Q$5=34,K18,IF($Q$5=35,K18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))))))</f>
        <v>B8</v>
      </c>
      <c r="T15" s="183" t="str">
        <f>IF($Q$5=17,0,IF($Q$5=18,L10,IF($Q$5=21,0,IF($Q$5=22,L10,IF($Q$5=23,L14,IF($Q$5=24,L16,IF($Q$5=25,0,IF($Q$5=26,P18,IF($Q$5=27,L16,IF($Q$5=28,L16,IF($Q$5=29,L16,IF($Q$5=30,L16,IF($Q$5=31,L10,IF($Q$5=32,L15,IF($Q$5=33,L15,IF($Q$5=34,L15,IF($Q$5=35,L15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))))))))))))</f>
        <v>C9</v>
      </c>
      <c r="U15" s="185" t="str">
        <f>IF($Q$5=13,O15,IF($Q$5=14,R15,IF($Q$5=15,R15,IF($Q$5=16,R10,IF($Q$5=17,R15,IF($Q$5=18,R15,IF($Q$5=19,R15,IF($Q$5=20,R15,IF($Q$5=21,R15,IF($Q$5=22,R15,IF($Q$5=23,R15,IF($Q$5=24,O16,IF($Q$5=25,R15,IF($Q$5=26,R15,IF($Q$5=27,O16,IF($Q$5=28,O16,IF($Q$5=29,O16,IF($Q$5=30,O16,IF($Q$5=31,R15,IF($Q$5=32,O17,IF($Q$5=33,O17,IF($Q$5=34,R16,IF($Q$5=35,R16,IF($Q$5=36,O17,IF($Q$5=37,O17,IF($Q$5=38,O17,IF($Q$5=39,O17,IF($Q$5=40,O17,IF($Q$5=41,O17,IF($Q$5=42,O17,IF($Q$5=43,O17,IF($Q$5=44,O17,IF($Q$5=45,O17,IF($Q$5=46,O17,IF($Q$5=47,O17,IF($Q$5=48,O17,IF($Q$5=49,R16,IF($Q$5=50,O17,IF($Q$5=51,O17,IF($Q$5=52,O17,IF($Q$5=53,O17,IF($Q$5=54,O17,0))))))))))))))))))))))))))))))))))))))))))</f>
        <v>A8</v>
      </c>
      <c r="V15" s="162" t="str">
        <f>IF($Q$5=13,S12,IF($Q$5=14,L13,IF($Q$5=15,T10,IF($Q$5=16,T12,IF($Q$5=17,S12,IF($Q$5=18,S10,IF($Q$5=19,T11,IF($Q$5=20,S12,IF($Q$5=21,S12,IF($Q$5=22,S16,IF($Q$5=23,S16,IF($Q$5=24,S16,IF($Q$5=25,S18,IF($Q$5=26,S16,IF($Q$5=27,S16,IF($Q$5=28,S16,IF($Q$5=29,S14,IF($Q$5=30,S16,IF($Q$5=31,S16,IF($Q$5=32,S21,IF($Q$5=33,S19,IF($Q$5=34,S19,IF($Q$5=35,S19,IF($Q$5=36,S17,IF($Q$5=37,S17,IF($Q$5=38,S17,IF($Q$5=39,S17,IF($Q$5=40,S17,IF($Q$5=41,S17,IF($Q$5=42,S17,IF($Q$5=43,S17,IF($Q$5=44,S17,IF($Q$5=45,S17,IF($Q$5=46,S17,IF($Q$5=47,S17,IF($Q$5=48,S17,IF($Q$5=49,S17,IF($Q$5=50,S17,IF($Q$5=51,S17,IF($Q$5=52,S17,IF($Q$5=53,S17,IF($Q$5=54,S17,0))))))))))))))))))))))))))))))))))))))))))</f>
        <v>B10</v>
      </c>
      <c r="W15" s="174" t="str">
        <f>IF($Q$5=18,T10,IF($Q$5=22,S17,IF($Q$5=23,T16,IF($Q$5=24,T17,IF($Q$5=25,0,IF($Q$5=26,T11,IF($Q$5=27,S17,IF($Q$5=28,T17,IF($Q$5=29,T17,IF($Q$5=30,T17,IF($Q$5=31,S20,IF($Q$5=32,T13,IF($Q$5=33,T13,IF($Q$5=34,T13,IF($Q$5=35,T13,IF($Q$5=36,T18,IF($Q$5=37,T18,IF($Q$5=38,T18,IF($Q$5=39,S23,IF($Q$5=40,T18,IF($Q$5=41,T18,IF($Q$5=42,T18,IF($Q$5=43,T18,IF($Q$5=44,T18,IF($Q$5=45,T18,IF($Q$5=46,T18,IF($Q$5=47,T18,IF($Q$5=48,T18,IF($Q$5=49,T18,IF($Q$5=50,T18,IF($Q$5=51,T18,IF($Q$5=52,T18,IF($Q$5=53,T18,IF($Q$5=54,T18,0))))))))))))))))))))))))))))))))))</f>
        <v>C12</v>
      </c>
      <c r="X15" s="23"/>
      <c r="Y15" s="447"/>
      <c r="Z15" s="14" t="str">
        <f>+O11</f>
        <v>A2</v>
      </c>
      <c r="AA15" s="34">
        <v>8</v>
      </c>
      <c r="AB15" s="30">
        <f>IF(AA11+AA15=0,0,IF(AA11=AA15,2,IF(AA11&lt;AA15,3,1)))</f>
        <v>3</v>
      </c>
      <c r="AC15" s="15">
        <f>AA15-AA11</f>
        <v>3</v>
      </c>
      <c r="AD15" s="9"/>
      <c r="AE15" s="14" t="str">
        <f>+R11</f>
        <v>A3</v>
      </c>
      <c r="AF15" s="127">
        <v>10</v>
      </c>
      <c r="AG15" s="30">
        <f>IF(AF11+AF15=0,0,IF(AF11=AF15,2,IF(AF11&lt;AF15,3,1)))</f>
        <v>1</v>
      </c>
      <c r="AH15" s="15">
        <f>AF15-AF11</f>
        <v>-2</v>
      </c>
      <c r="AI15" s="9"/>
      <c r="AJ15" s="14" t="str">
        <f>+U11</f>
        <v>A4</v>
      </c>
      <c r="AK15" s="37">
        <v>5</v>
      </c>
      <c r="AL15" s="30">
        <f>IF(AK11+AK15=0,0,IF(AK11=AK15,2,IF(AK11&lt;AK15,3,1)))</f>
        <v>1</v>
      </c>
      <c r="AM15" s="15">
        <f>AK15-AK11</f>
        <v>-3</v>
      </c>
      <c r="AN15" s="23"/>
      <c r="AO15" s="54">
        <v>7</v>
      </c>
      <c r="AP15" s="321" t="str">
        <f>+Inscrits!B9</f>
        <v>A7</v>
      </c>
      <c r="AQ15" s="286">
        <f t="shared" si="3"/>
        <v>3</v>
      </c>
      <c r="AR15" s="99">
        <f t="shared" si="4"/>
        <v>9</v>
      </c>
      <c r="AS15" s="219">
        <f t="shared" si="5"/>
        <v>13</v>
      </c>
      <c r="AT15" s="289">
        <f t="shared" si="6"/>
        <v>1</v>
      </c>
      <c r="AU15" s="99">
        <f t="shared" si="7"/>
        <v>-11</v>
      </c>
      <c r="AV15" s="291">
        <f t="shared" si="8"/>
        <v>2</v>
      </c>
      <c r="AW15" s="286">
        <f t="shared" si="9"/>
        <v>3</v>
      </c>
      <c r="AX15" s="99">
        <f t="shared" si="10"/>
        <v>5</v>
      </c>
      <c r="AY15" s="291">
        <f t="shared" si="11"/>
        <v>11</v>
      </c>
      <c r="AZ15" s="286">
        <f t="shared" si="17"/>
        <v>7</v>
      </c>
      <c r="BA15" s="99">
        <f t="shared" si="12"/>
        <v>3</v>
      </c>
      <c r="BB15" s="291">
        <f t="shared" si="13"/>
        <v>26</v>
      </c>
      <c r="BC15" s="294">
        <f t="shared" si="14"/>
        <v>0</v>
      </c>
      <c r="BD15" s="7">
        <f t="shared" si="15"/>
        <v>3</v>
      </c>
      <c r="BE15" s="218">
        <f t="shared" si="16"/>
        <v>5.9674001499999996</v>
      </c>
      <c r="BF15" s="99">
        <f>IF(AP15="","",SMALL(BE$9:BE$62,ROWS(AZ$9:AZ15)))</f>
        <v>5.8572001700000005</v>
      </c>
      <c r="BG15" s="88"/>
      <c r="BH15" s="99" t="str">
        <f>IF(OR(AP15="",AZ15=""),"",INDEX($AP$9:$AP$63,MATCH(BF15,$BE$9:BE$62,0)))</f>
        <v>A9</v>
      </c>
      <c r="BI15" s="7">
        <f t="shared" si="0"/>
        <v>7</v>
      </c>
      <c r="BJ15" s="7">
        <f t="shared" si="1"/>
        <v>14</v>
      </c>
      <c r="BK15" s="7">
        <f t="shared" si="2"/>
        <v>28</v>
      </c>
      <c r="BL15" s="280">
        <f>IF(BF15="","",IF(AND(BI14=BI15,BJ14=BJ15,BK14=BK15),BL14,$BL$9+6))</f>
        <v>7</v>
      </c>
      <c r="BM15" s="29"/>
      <c r="BN15" s="3"/>
    </row>
    <row r="16" spans="1:66" ht="21" thickBot="1">
      <c r="A16" s="131">
        <v>7</v>
      </c>
      <c r="B16" s="393" t="s">
        <v>72</v>
      </c>
      <c r="C16" s="272">
        <f>IF($Q$5&gt;=19,7,0)</f>
        <v>7</v>
      </c>
      <c r="D16" s="398" t="s">
        <v>90</v>
      </c>
      <c r="E16" s="272">
        <f>IF($Q$5&gt;=20,7,0)</f>
        <v>7</v>
      </c>
      <c r="F16" s="396" t="s">
        <v>108</v>
      </c>
      <c r="G16" s="272">
        <f>IF($Q$5&gt;=21,7,0)</f>
        <v>7</v>
      </c>
      <c r="H16" s="23"/>
      <c r="I16" s="196">
        <v>7</v>
      </c>
      <c r="J16" s="204" t="str">
        <f>IF(ISNA(MATCH(I16,$C$10:$C$27,0)),"",INDEX(B$10:$B$27,MATCH(I16,$C$10:$C$27,0)))</f>
        <v>A7</v>
      </c>
      <c r="K16" s="137" t="str">
        <f>IF(ISNA(MATCH(I16,$E$10:$E$27,0)),"",INDEX($D$10:D$27,MATCH(I16,$E$10:$E$27,0)))</f>
        <v>B7</v>
      </c>
      <c r="L16" s="188" t="str">
        <f>IF(ISNA(MATCH(I16,$G$10:$G$27,0)),"",INDEX($F$10:F$27,MATCH(I16,$G$10:$G$27,0)))</f>
        <v>C7</v>
      </c>
      <c r="N16" s="82">
        <v>4</v>
      </c>
      <c r="O16" s="138" t="str">
        <f>IF($Q$5=19,J16,IF($Q$5=20,J16,IF($Q$5=21,J16,IF($Q$5=22,J16,IF($Q$5=23,J16,IF(Q$5=24,J16,IF($Q$5=25,J16,IF($Q$5=26,J16,IF(Q$5=27,J16,IF($Q$5=28,J16,IF($Q$5=29,J16,IF($Q$5=30,J16,IF($Q$5=31,J16,IF($Q$5=32,J16,IF($Q$5=33,J16,IF($Q$5=34,J16,IF($Q$5=35,J16,IF($Q$5=36,J16,IF($Q$5=37,J16,IF($Q$5=38,J16,IF($Q$5=39,J16,IF($Q$5=40,J16,IF($Q$5=41,J16,IF($Q$5=42,J16,IF($Q$5=43,J16,IF($Q$5=44,J16,IF($Q$5=45,J16,IF($Q$5=46,J16,IF($Q$5=47,J16,IF($Q$5=48,J16,IF($Q$5=49,J16,IF($Q$5=50,J16,IF($Q$5=51,J16,IF($Q$5=52,J16,IF($Q$5=53,J16,IF($Q$5=54,J16,0))))))))))))))))))))))))))))))))))))</f>
        <v>A7</v>
      </c>
      <c r="P16" s="139" t="str">
        <f>IF($Q$5=19,L15,IF($Q$5=20,L14,IF($Q$5=21,L15,IF($Q$5=22,K16,IF($Q$5=23,K16,IF($Q$5=24,K16,IF($Q$5=25,K16,IF($Q$5=26,K16,IF($Q$5=27,K16,IF($Q$5=28,K16,IF($Q$5=29,K16,IF($Q$5=30,K16,IF($Q$5=31,K16,IF($Q$5=32,K16,IF($Q$5=33,K16,IF($Q$5=34,K16,IF($Q$5=35,K16,IF($Q$5=36,K16,IF($Q$5=37,K16,IF($Q$5=38,K16,IF($Q$5=39,K16,IF($Q$5=40,K16,IF($Q$5=41,K16,IF($Q$5=42,K16,IF($Q$5=43,K16,IF($Q$5=44,K16,IF($Q$5=45,K16,IF($Q$5=46,K16,IF($Q$5=47,K16,IF($Q$5=48,K16,IF($Q$5=49,K16,IF($Q$5=50,K16,IF($Q$5=51,K16,IF($Q$5=52,I16,IF($Q$5=53,K16,IF($Q$5=54,K16,0))))))))))))))))))))))))))))))))))))</f>
        <v>B7</v>
      </c>
      <c r="Q16" s="153" t="str">
        <f>IF($Q$5=23,L16,IF($Q$5=24,L16,IF($Q$5=27,L16,IF($Q$5=28,L16,IF($Q$5=29,L16,IF($Q$5=30,L16,IF($Q$5=31,L16,IF($Q$5=32,L16,IF($Q$5=33,L16,IF($Q$5=34,L16,IF($Q$5=35,L16,IF($Q$5=36,L16,IF($Q$5=37,L16,IF($Q$5=38,L16,IF($Q$5=39,L16,IF($Q$5=40,L16,IF($Q$5=41,L16,IF($Q$5=42,L16,IF($Q$5=43,L16,IF($Q$5=44,L16,IF($Q$5=45,L16,IF($Q$5=46,L16,IF($Q$5=47,L16,IF($Q$5=48,L16,IF($Q$5=49,L16,IF($Q$5=50,L16,IF($Q$5=51,L16,IF($Q$5=52,L16,IF($Q$5=53,L16,IF($Q$5=54,L16,0))))))))))))))))))))))))))))))</f>
        <v>C7</v>
      </c>
      <c r="R16" s="165" t="str">
        <f>IF($Q$5=19,J16,IF($Q$5=20,J16,IF($Q$5=21,J16,IF($Q$5=22,J17,IF($Q$5=23,J17,IF($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S16" s="157" t="str">
        <f>IF($Q$5=19,P16,IF($Q$5=20,L10,IF($Q$5=21,L11,IF($Q$5=22,K10,IF($Q$5=23,D11,IF($Q$5=24,K15,IF($Q$5=25,K10,IF($Q$5=26,K15,IF($Q$5=27,K17,IF(Q$5=28,K15,IF($Q$5=29,K17,IF($Q$5=30,K17,IF($Q$5=31,P18,IF($Q$5=32,K15,IF($Q$5=33,K15,IF($Q$5=34,K15,IF($Q$5=35,K15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))))))</f>
        <v>B9</v>
      </c>
      <c r="T16" s="179" t="str">
        <f>IF($Q$5=22,0,IF($Q$5=23,L10,IF($Q$5=24,L10,IF($Q$5=26,0,IF($Q$5=27,P18,IF($Q$5=28,L17,IF($Q$5=29,L17,IF($Q$5=30,L17,IF($Q$5=31,L15,IF($Q$5=32,L10,IF($Q$5=33,L10,IF($Q$5=34,L10,IF($Q$5=35,L10,IF($Q$5=36,L19,IF($Q$5=37,P23,IF($Q$5=38,L19,IF($Q$5=39,L19,IF($Q$5=40,L19,IF($Q$5=41,L19,IF($Q$5=42,L19,IF($Q$5=43,L19,IF($Q$5=44,L19,IF($Q$5=45,L19,IF($Q$5=46,L19,IF($Q$5=47,L19,IF($Q$5=48,L19,IF($Q$5=49,L19,IF($Q$5=50,L19,IF($Q$5=51,L19,IF($Q$5=52,L19,IF($Q$5=53,L19,IF($Q$5=54,L19,0))))))))))))))))))))))))))))))))</f>
        <v>C10</v>
      </c>
      <c r="U16" s="165" t="str">
        <f>IF($Q$5=19,R16,IF($Q$5=20,R16,IF($Q$5=21,R16,IF($Q$5=22,R14,IF($Q$5=23,R16,IF($Q$5=24,R14,IF($Q$5=25,R14,IF($Q$5=26,R14,IF($Q$5=27,R14,IF($Q$5=28,R14,IF($Q$5=29,O15,IF($Q$5=30,O15,IF($Q$5=31,R16,IF($Q$5=32,R15,IF($Q$5=33,O16,IF($Q$5=34,O16,IF($Q$5=35,R15,IF($Q$5=36,O18,IF($Q$5=37,O18,IF($Q$5=38,O18,IF($Q$5=39,R17,IF($Q$5=40,O18,IF($Q$5=41,O18,IF($Q$5=42,O18,IF($Q$5=43,O18,IF($Q$5=44,O18,IF($Q$5=45,O18,IF($Q$5=46,O18,IF($Q$5=47,O18,IF($Q$5=48,O18,IF($Q$5=49,R17,IF($Q$5=50,O18,IF($Q$5=51,O18,IF($Q$5=52,O18,IF($Q$5=53,O18,IF($Q$5=54,O18,0))))))))))))))))))))))))))))))))))))</f>
        <v>A9</v>
      </c>
      <c r="V16" s="163" t="str">
        <f>IF($Q$5=19,S15,IF($Q$5=20,S17,IF($Q$5=21,S15,IF($Q$5=22,S12,IF($Q$5=23,S15,IF($Q$5=24,S12,IF($Q$5=25,S16,IF($Q$5=26,S19,IF($Q$5=27,T11,IF($Q$5=28,S19,IF($Q$5=29,S19,IF($Q$5=30,S19,IF($Q$5=31,R21,IF($Q$5=32,S20,IF($Q$5=33,S18,IF($Q$5=34,S18,IF($Q$5=35,S18,IF($Q$5=36,S18,IF($Q$5=37,S18,IF($Q$5=38,S18,IF($Q$5=39,S18,IF($Q$5=40,S18,IF($Q$5=41,S18,IF($Q$5=42,S18,IF($Q$5=43,S18,IF($Q$5=44,S18,IF($Q$5=45,S18,IF($Q$5=46,S18,IF($Q$5=47,S18,IF($Q$5=48,S18,IF($Q$5=49,S18,IF($Q$5=50,S18,IF($Q$5=51,S18,IF($Q$5=52,S18,IF($Q$5=53,S18,IF($Q$5=54,S18,0))))))))))))))))))))))))))))))))))))</f>
        <v>B11</v>
      </c>
      <c r="W16" s="173" t="str">
        <f>IF($Q$5=23,T10,IF($Q$5=24,T11,IF($Q$5=27,S18,IF($Q$5=28,T11,IF($Q$5=29,T12,IF($Q$5=30,T11,IF($Q$5=31,S18,IF($Q$5=32,T16,IF($Q$5=33,T16,IF($Q$5=34,T16,IF($Q$5=35,T19,IF($Q$5=36,T19,IF($Q$5=37,S21,IF($Q$5=38,T19,IF($Q$5=39,S22,IF($Q$5=40,T19,IF($Q$5=41,T19,IF($Q$5=42,T19,IF($Q$5=43,T19,IF($Q$5=44,T19,IF($Q$5=45,T19,IF($Q$5=46,T19,IF($Q$5=47,T19,IF($Q$5=48,T19,IF($Q$5=49,T19,IF($Q$5=50,T19,IF($Q$5=51,T19,IF($Q$5=52,T19,IF($Q$5=53,T19,IF($Q$5=54,T19,0))))))))))))))))))))))))))))))</f>
        <v>C13</v>
      </c>
      <c r="X16" s="23"/>
      <c r="Y16" s="447"/>
      <c r="Z16" s="14" t="str">
        <f>+P11</f>
        <v>B2</v>
      </c>
      <c r="AA16" s="69">
        <f>IF(ISTEXT(Z16),AA15,0)</f>
        <v>8</v>
      </c>
      <c r="AB16" s="18">
        <f>IF(ISTEXT(Z16),AB15,0)</f>
        <v>3</v>
      </c>
      <c r="AC16" s="62">
        <f>IF(ISTEXT(Z16),AC15,0)</f>
        <v>3</v>
      </c>
      <c r="AD16" s="11"/>
      <c r="AE16" s="14" t="str">
        <f>+S11</f>
        <v>B4</v>
      </c>
      <c r="AF16" s="18">
        <f>IF(ISTEXT(AE16),AF15,0)</f>
        <v>10</v>
      </c>
      <c r="AG16" s="18">
        <f>IF(ISTEXT(AE16),AG15,0)</f>
        <v>1</v>
      </c>
      <c r="AH16" s="62">
        <f>IF(ISTEXT(AE16),AH15,0)</f>
        <v>-2</v>
      </c>
      <c r="AI16" s="11"/>
      <c r="AJ16" s="14" t="str">
        <f>+V11</f>
        <v>B6</v>
      </c>
      <c r="AK16" s="18">
        <f>IF(ISTEXT(AJ16),AK15,0)</f>
        <v>5</v>
      </c>
      <c r="AL16" s="18">
        <f>IF(ISTEXT(AJ16),AL15,0)</f>
        <v>1</v>
      </c>
      <c r="AM16" s="62">
        <f>IF(ISTEXT(AJ16),AM15,0)</f>
        <v>-3</v>
      </c>
      <c r="AN16" s="23"/>
      <c r="AO16" s="54">
        <v>8</v>
      </c>
      <c r="AP16" s="321" t="str">
        <f>+Inscrits!B10</f>
        <v>A8</v>
      </c>
      <c r="AQ16" s="286">
        <f t="shared" si="3"/>
        <v>1</v>
      </c>
      <c r="AR16" s="99">
        <f t="shared" si="4"/>
        <v>-9</v>
      </c>
      <c r="AS16" s="219">
        <f t="shared" si="5"/>
        <v>4</v>
      </c>
      <c r="AT16" s="289">
        <f t="shared" si="6"/>
        <v>1</v>
      </c>
      <c r="AU16" s="99">
        <f t="shared" si="7"/>
        <v>-4</v>
      </c>
      <c r="AV16" s="291">
        <f t="shared" si="8"/>
        <v>5</v>
      </c>
      <c r="AW16" s="286">
        <f t="shared" si="9"/>
        <v>1</v>
      </c>
      <c r="AX16" s="99">
        <f t="shared" si="10"/>
        <v>-5</v>
      </c>
      <c r="AY16" s="291">
        <f t="shared" si="11"/>
        <v>6</v>
      </c>
      <c r="AZ16" s="286">
        <f t="shared" si="17"/>
        <v>3</v>
      </c>
      <c r="BA16" s="99">
        <f t="shared" si="12"/>
        <v>-18</v>
      </c>
      <c r="BB16" s="291">
        <f t="shared" si="13"/>
        <v>15</v>
      </c>
      <c r="BC16" s="294">
        <f t="shared" si="14"/>
        <v>-18</v>
      </c>
      <c r="BD16" s="7">
        <f t="shared" si="15"/>
        <v>0</v>
      </c>
      <c r="BE16" s="218">
        <f t="shared" si="16"/>
        <v>48.178500159999999</v>
      </c>
      <c r="BF16" s="99">
        <f>IF(AP16="","",SMALL(BE$9:BE$62,ROWS(AZ$9:AZ16)))</f>
        <v>5.8665002200000007</v>
      </c>
      <c r="BG16" s="88"/>
      <c r="BH16" s="99" t="str">
        <f>IF(OR(AP16="",AZ16=""),"",INDEX($AP$9:$AP$63,MATCH(BF16,$BE$9:BE$62,0)))</f>
        <v>A14</v>
      </c>
      <c r="BI16" s="7">
        <f t="shared" si="0"/>
        <v>7</v>
      </c>
      <c r="BJ16" s="7">
        <f t="shared" si="1"/>
        <v>13</v>
      </c>
      <c r="BK16" s="7">
        <f t="shared" si="2"/>
        <v>35</v>
      </c>
      <c r="BL16" s="280">
        <f>IF(BF16="","",IF(AND(BI15=BI16,BJ15=BJ16,BK15=BK16),BL15,$BL$9+7))</f>
        <v>8</v>
      </c>
      <c r="BM16" s="29"/>
      <c r="BN16" s="3"/>
    </row>
    <row r="17" spans="1:66" ht="21" thickBot="1">
      <c r="A17" s="131">
        <v>8</v>
      </c>
      <c r="B17" s="393" t="s">
        <v>73</v>
      </c>
      <c r="C17" s="272">
        <f>IF($Q$5&gt;=22,8,0)</f>
        <v>8</v>
      </c>
      <c r="D17" s="398" t="s">
        <v>91</v>
      </c>
      <c r="E17" s="272">
        <f>IF($Q$5&gt;=23,8,0)</f>
        <v>8</v>
      </c>
      <c r="F17" s="396" t="s">
        <v>109</v>
      </c>
      <c r="G17" s="272">
        <f>IF($Q$5&gt;=24,8,0)</f>
        <v>8</v>
      </c>
      <c r="H17" s="23"/>
      <c r="I17" s="196">
        <v>8</v>
      </c>
      <c r="J17" s="204" t="str">
        <f>IF(ISNA(MATCH(I17,$C$10:$C$27,0)),"",INDEX(B$10:$B$27,MATCH(I17,$C$10:$C$27,0)))</f>
        <v>A8</v>
      </c>
      <c r="K17" s="137" t="str">
        <f>IF(ISNA(MATCH(I17,$E$10:$E$27,0)),"",INDEX($D$10:D$27,MATCH(I17,$E$10:$E$27,0)))</f>
        <v>B8</v>
      </c>
      <c r="L17" s="188" t="str">
        <f>IF(ISNA(MATCH(I17,$G$10:$G$27,0)),"",INDEX($F$10:F$27,MATCH(I17,$G$10:$G$27,0)))</f>
        <v>C8</v>
      </c>
      <c r="N17" s="52" t="s">
        <v>5</v>
      </c>
      <c r="O17" s="145" t="str">
        <f>IF($Q$5=19,K15,IF($Q$5=20,K16,IF($Q$5=21,K16,IF($Q$5=22,J17,IF($Q$5=23,J17,IF(Q$5=24,J17,IF($Q$5=25,J17,IF($Q$5=26,J17,IF($Q$5=27,J17,IF($Q$5=28,J17,IF($Q$5=29,J17,IF($Q$5=30,J17,IF($Q$5=31,J17,IF($Q$5=32,J17,IF($Q$5=33,J17,IF($Q$5=34,J17,IF($Q$5=35,J17,IF($Q$5=36,J17,IF($Q$5=37,J17,IF($Q$5=38,J17,IF($Q$5=39,J17,IF($Q$5=40,J17,IF($Q$5=41,J17,IF($Q$5=42,J17,IF($Q$5=43,J17,IF($Q$5=44,J17,IF($Q$5=45,J17,IF($Q$5=46,J17,IF($Q$5=47,J17,IF($Q$5=48,J17,IF($Q$5=49,J17,IF($Q$5=50,J17,IF($Q$5=51,J17,IF($Q$5=52,J17,IF($Q$5=53,J17,IF($Q$5=54,J17,0))))))))))))))))))))))))))))))))))))</f>
        <v>A8</v>
      </c>
      <c r="P17" s="149" t="str">
        <f>IF($Q$5=19,L14,IF($Q$5=20,L15,IF($Q$5=21,L16,IF(Q$5=22,L16,IF($Q$5=23,K17,IF($Q$5=24,K17,IF($Q$5=25,L15,IF($Q$5=26,K17,IF($Q$5=27,K17,IF($Q$5=28,K17,IF($Q$5=29,K17,IF($Q$5=30,K17,IF($Q$5=31,K17,IF($Q$5=32,K17,IF($Q$5=33,K17,IF($Q$5=34,K17,IF($Q$5=35,K17,IF($Q$5=36,K17,IF($Q$5=37,K17,IF($Q$5=38,K17,IF($Q$5=39,K17,IF($Q$5=40,K17,IF($Q$5=41,K17,IF($Q$5=42,K17,IF($Q$5=43,K17,IF($Q$5=44,K17,IF($Q$5=45,K17,IF($Q$5=46,K17,IF($Q$5=47,K17,IF($Q$5=48,K17,IF($Q$5=49,K17,IF($Q$5=50,K17,IF($Q$5=51,K17,IF($Q$5=52,K17,IF($Q$5=53,K17,IF($Q$5=54,K17,0))))))))))))))))))))))))))))))))))))</f>
        <v>B8</v>
      </c>
      <c r="Q17" s="152" t="str">
        <f>IF($Q$5=24,L17,IF($Q$5=28,L17,IF($Q$5=29,L17,IF($Q$5=30,L17,IF($Q$5=31,0,IF($Q$5=32,L17,IF($Q$5=33,L17,IF($Q$5=34,L17,IF($Q$5=35,L17,IF($Q$5=36,L17,IF($Q$5=37,L17,IF($Q$5=38,L17,IF($Q$5=39,L17,IF(Q$5=40,L17,IF($Q$5=41,L17,IF($Q$5=42,L17,IF($Q$5=43,L17,IF($Q$5=44,L17,IF($Q$5=45,L17,IF($Q$5=46,L17,IF($Q$5=47,L17,IF($Q$5=48,L17,IF($Q$5=49,L17,IF($Q$5=50,L17,IF($Q$5=51,L17,IF($Q$5=52,L17,IF($Q$5=53,L17,IF($Q$5=54,L17,0))))))))))))))))))))))))))))</f>
        <v>C8</v>
      </c>
      <c r="R17" s="166" t="str">
        <f>IF($Q$5=19,K15,IF($Q$5=20,O17,IF($Q$5=21,O17,IF($Q$5=22,J10,IF($Q$5=23,J10,IF($Q$5=24,J10,IF($Q$5=25,J18,IF($Q$5=26,J18,IF($Q$5=27,J18,IF($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))))))</f>
        <v>A9</v>
      </c>
      <c r="S17" s="162" t="str">
        <f>IF($Q$5=19,L12,IF($Q$5=20,K15,IF($Q$5=21,L12,IF($Q$5=22,L11,IF($Q$5=23,K12,IF($Q$5=24,K11,IF($Q$5=25,L10,IF($Q$5=26,L10,IF($Q$5=27,L10,IF($Q$5=28,K10,IF($Q$5=29,K19,IF($Q$5=30,K19,IF(Q$5=31,P16,IF($Q$5=32,K16,IF($Q$5=33,K16,IF($Q$5=34,K16,IF($Q$5=35,K16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))))))</f>
        <v>B10</v>
      </c>
      <c r="T17" s="181" t="str">
        <f>IF($Q$5=24,L17,IF($Q$5=27,0,IF($Q$5=28,P19,IF($Q$6=29,L18,IF($Q$5=29,L18,IF($Q$5=30,L18,IF($Q$5=32,L17,IF($Q$5=33,L17,IF($Q$5=34,L17,IF($Q$5=35,L17,IF($Q$5=36,L20,IF($Q$5=37,P22,IF($Q$5=38,P22,IF($Q$5=39,L20,IF($Q$5=40,L20,IF($Q$5=41,L20,IF($Q$5=42,L20,IF($Q$5=43,L20,IF($Q$5=44,L20,IF($Q$5=45,L20,IF($Q$5=46,L20,IF($Q$5=47,L20,IF($Q$5=48,L20,IF($Q$5=49,L20,IF($Q$5=50,L20,IF($Q$5=51,L20,IF($Q$5=52,L20,IF($Q$5=53,L20,IF($Q$5=54,L20,0)))))))))))))))))))))))))))))</f>
        <v>C11</v>
      </c>
      <c r="U17" s="209" t="str">
        <f>IF($Q$5=19,R17,IF($Q$5=20,R17,IF($Q$5=21,K16,IF($Q$5=22,R16,IF($Q$5=23,R10,IF($Q$5=24,R16,IF($Q$5=25,R16,IF($Q$5=26,R16,IF($Q$5=27,R16,IF($Q$5=28,R17,IF($Q$5=29,O18,IF($Q$5=30,O18,IF($Q$5=31,R17,IF($Q$5=32,O18,IF($Q$5=33,R17,IF($Q$5=34,O18,IF($Q$5=35,R17,IF($Q$5=36,R18,IF($Q$5=37,O19,IF($Q$5=38,O19,IF($Q$5=39,O19,IF($Q$5=40,R18,IF($Q$5=41,O19,IF($Q$5=42,R18,IF($Q$5=43,R18,IF($Q$5=44,O19,IF($Q$5=45,R18,IF($Q$5=46,R18,IF($Q$5=47,R18,IF($Q$5=48,R18,IF($Q$5=49,R18,IF($Q$5=50,R18,IF($Q$5=51,R18:R18,IF($Q$5=52,R18,IF($Q$5=53,R18,IF($Q$5=54,O19,0))))))))))))))))))))))))))))))))))))</f>
        <v>A10</v>
      </c>
      <c r="V17" s="159" t="str">
        <f>IF($Q$5=19,T10,IF($Q$5=20,T10,IF($Q$5=21,S16,IF($Q$5=22,T10,IF($Q$5=23,S12,IF($Q$5=24,S17,IF($Q$5=25,T10,IF($Q$5=26,S12,IF($Q$5=27,S12,IF($Q$5=28,S17,IF($Q$5=29,S18,IF($Q$5=30,S17,IF($Q$5=31,S17,IF($Q$5=32,S12,IF($Q$5=33,S12,IF($Q$5=34,S12,IF($Q$5=35,S12,IF($Q$5=36,S19,IF($Q$5=37,S19,IF($Q$5=38,S19,IF($Q$5=39,S19,IF($Q$5=40,S19,IF($Q$5=41,S19,IF($Q$5=42,S19,IF($Q$5=43,S19,IF($Q$5=44,S19,IF($Q$5=45,S19,IF($Q$5=46,S19,IF($Q$5=47,S19,IF($Q$5=48,S19,IF($Q$5=49,S19,IF($Q$5=50,S19,IF($Q$5=51,S19,IF($Q$5=52,S19,IF($Q$5=53,S19,IF($Q$5=54,S19,0))))))))))))))))))))))))))))))))))))</f>
        <v>B12</v>
      </c>
      <c r="W17" s="175" t="str">
        <f>IF($Q$5=24,T10,IF($Q$5=27,0,IF($Q$5=28,S18,IF($Q$5=29,T18,IF($Q$5=30,T18,IF($Q$5=32,T17,IF($Q$5=33,T17,IF($Q$5=34,T17,IF($Q$5=35,T17,IF($Q$5=36,T20,IF($Q$5=37,S22,IF($Q$5=38,S22,IF($Q$5=39,T18,IF($Q$5=40,T20,IF($Q$5=41,T20,IF($Q$5=42,T20,IF($Q$5=43,T20,IF($Q$5=44,T20,IF($Q$5=45,T20,IF($Q$5=46,T20,IF($Q$5=47,T20,IF($Q$5=48,T20,IF($Q$5=49,T20,IF($Q$5=50,T20,IF($Q$5=51,T20,IF($Q$5=52,T20,IF($Q$5=53,T20,IF($Q$5=54,T20,0))))))))))))))))))))))))))))</f>
        <v>C14</v>
      </c>
      <c r="X17" s="23"/>
      <c r="Y17" s="448"/>
      <c r="Z17" s="16" t="str">
        <f>+Q11</f>
        <v>C2</v>
      </c>
      <c r="AA17" s="69">
        <f>IF(ISTEXT(Z17),AA15,0)</f>
        <v>8</v>
      </c>
      <c r="AB17" s="18">
        <f>IF(ISTEXT(Z17),AB15,0)</f>
        <v>3</v>
      </c>
      <c r="AC17" s="62">
        <f>IF(ISTEXT(Z17),AC15,0)</f>
        <v>3</v>
      </c>
      <c r="AD17" s="11"/>
      <c r="AE17" s="16" t="str">
        <f>+T11</f>
        <v>C5</v>
      </c>
      <c r="AF17" s="18">
        <f>IF(ISTEXT(AE17),AF15,0)</f>
        <v>10</v>
      </c>
      <c r="AG17" s="18">
        <f>IF(ISTEXT(AE17),AG15,0)</f>
        <v>1</v>
      </c>
      <c r="AH17" s="62">
        <f>IF(ISTEXT(AE17),AH15,0)</f>
        <v>-2</v>
      </c>
      <c r="AI17" s="11"/>
      <c r="AJ17" s="16" t="str">
        <f>+W11</f>
        <v>C8</v>
      </c>
      <c r="AK17" s="18">
        <f>IF(ISTEXT(AJ17),AK15,0)</f>
        <v>5</v>
      </c>
      <c r="AL17" s="18">
        <f>IF(ISTEXT(AJ17),AL15,0)</f>
        <v>1</v>
      </c>
      <c r="AM17" s="62">
        <f>IF(ISTEXT(AJ17),AM15,0)</f>
        <v>-3</v>
      </c>
      <c r="AN17" s="23"/>
      <c r="AO17" s="54">
        <v>9</v>
      </c>
      <c r="AP17" s="321" t="str">
        <f>+Inscrits!B11</f>
        <v>A9</v>
      </c>
      <c r="AQ17" s="286">
        <f t="shared" si="3"/>
        <v>3</v>
      </c>
      <c r="AR17" s="99">
        <f t="shared" si="4"/>
        <v>11</v>
      </c>
      <c r="AS17" s="219">
        <f t="shared" si="5"/>
        <v>13</v>
      </c>
      <c r="AT17" s="289">
        <f t="shared" si="6"/>
        <v>3</v>
      </c>
      <c r="AU17" s="99">
        <f t="shared" si="7"/>
        <v>4</v>
      </c>
      <c r="AV17" s="291">
        <f t="shared" si="8"/>
        <v>9</v>
      </c>
      <c r="AW17" s="286">
        <f t="shared" si="9"/>
        <v>1</v>
      </c>
      <c r="AX17" s="99">
        <f t="shared" si="10"/>
        <v>-1</v>
      </c>
      <c r="AY17" s="291">
        <f t="shared" si="11"/>
        <v>6</v>
      </c>
      <c r="AZ17" s="286">
        <f t="shared" si="17"/>
        <v>7</v>
      </c>
      <c r="BA17" s="99">
        <f t="shared" si="12"/>
        <v>14</v>
      </c>
      <c r="BB17" s="291">
        <f t="shared" si="13"/>
        <v>28</v>
      </c>
      <c r="BC17" s="294">
        <f t="shared" si="14"/>
        <v>0</v>
      </c>
      <c r="BD17" s="7">
        <f t="shared" si="15"/>
        <v>14</v>
      </c>
      <c r="BE17" s="218">
        <f t="shared" si="16"/>
        <v>5.8572001700000005</v>
      </c>
      <c r="BF17" s="99">
        <f>IF(AP17="","",SMALL(BE$9:BE$62,ROWS(AZ$9:AZ17)))</f>
        <v>5.8668001400000005</v>
      </c>
      <c r="BG17" s="88"/>
      <c r="BH17" s="99" t="str">
        <f>IF(OR(AP17="",AZ17=""),"",INDEX($AP$9:$AP$63,MATCH(BF17,$BE$9:BE$62,0)))</f>
        <v>A6</v>
      </c>
      <c r="BI17" s="7">
        <f t="shared" si="0"/>
        <v>7</v>
      </c>
      <c r="BJ17" s="7">
        <f t="shared" si="1"/>
        <v>13</v>
      </c>
      <c r="BK17" s="7">
        <f t="shared" si="2"/>
        <v>32</v>
      </c>
      <c r="BL17" s="280">
        <f>IF(BF17="","",IF(AND(BI16=BI17,BJ16=BJ17,BK16=BK17),BL16,$BL$9+8))</f>
        <v>9</v>
      </c>
      <c r="BM17" s="29"/>
      <c r="BN17" s="3"/>
    </row>
    <row r="18" spans="1:66" ht="21" thickBot="1">
      <c r="A18" s="131">
        <v>9</v>
      </c>
      <c r="B18" s="393" t="s">
        <v>74</v>
      </c>
      <c r="C18" s="272">
        <f>IF($Q$5&gt;=25,9,0)</f>
        <v>9</v>
      </c>
      <c r="D18" s="398" t="s">
        <v>92</v>
      </c>
      <c r="E18" s="272">
        <f>IF($Q$5&gt;=26,9,0)</f>
        <v>9</v>
      </c>
      <c r="F18" s="396" t="s">
        <v>110</v>
      </c>
      <c r="G18" s="272">
        <f>IF($Q$5&gt;=27,9,0)</f>
        <v>9</v>
      </c>
      <c r="H18" s="23"/>
      <c r="I18" s="196">
        <v>9</v>
      </c>
      <c r="J18" s="204" t="str">
        <f>IF(ISNA(MATCH(I18,$C$10:$C$27,0)),"",INDEX(B$10:$B$27,MATCH(I18,$C$10:$C$27,0)))</f>
        <v>A9</v>
      </c>
      <c r="K18" s="137" t="str">
        <f>IF(ISNA(MATCH(I18,$E$10:$E$27,0)),"",INDEX($D$10:D$27,MATCH(I18,$E$10:$E$27,0)))</f>
        <v>B9</v>
      </c>
      <c r="L18" s="188" t="str">
        <f>IF(ISNA(MATCH(I18,$G$10:$G$27,0)),"",INDEX($F$10:F$27,MATCH(I18,$G$10:$G$27,0)))</f>
        <v>C9</v>
      </c>
      <c r="N18" s="82">
        <v>5</v>
      </c>
      <c r="O18" s="138" t="str">
        <f>IF($Q$5=25,J18,IF($Q$5=26,J18,IF($Q$5=27,J18,IF(Q$5=28,J18,IF($Q$5=29,J18,IF($Q$5=30,J18,IF($Q$5=31,J18,IF($Q$5=32,J18,IF($Q$5=33,J18,IF($Q$5=34,J18,IF($Q$5=35,J18,IF($Q$5=36,J18,IF($Q$5=37,J18,IF($Q$5=38,J18,IF($Q$5=39,J18,IF($Q$5=40,J18,IF($Q$5=41,J18,IF($Q$5=42,J18,IF($Q$5=43,J18,IF($Q$5=44,J18,IF($Q$5=45,J18,IF($Q$5=46,J18,IF($Q$5=47,J18,IF($Q$5=48,J18,IF($Q$5=49,J18,IF($Q$5=50,J18,IF($Q$5=51,J18,IF($Q$5=52,J18,IF($Q$5=53,J18,IF($Q$5=54,J18,0))))))))))))))))))))))))))))))</f>
        <v>A9</v>
      </c>
      <c r="P18" s="150" t="str">
        <f>IF($Q$5=25,L16,IF($Q$5=26,L16,IF($Q$5=27,L17,IF($Q$5=28,K18,IF($Q$5=29,K18,IF($Q$5=30,K18,IF($Q$5=31,K18,IF($Q$5=32,K19,IF($Q$5=33,K18,IF($Q$5=34,K18,IF($Q$5=35,K18,IF($Q$5=36,K18,IF($Q$5=37,K18,IF($Q$5=38,K18,IF($Q$5=39,K18,IF($Q$5=40,K18,IF($Q$5=41,K18,IF($Q$5=42,K18,IF($Q$5=43,K18,IF($Q$5=44,K18,IF($Q$5=45,K18,IF($Q$5=46,K18,IF($Q$5=47,K18,IF($Q$5=48,K18,IF($Q$5=49,K18,IF($Q$5=50,K18,IF($Q$5=51,K18,IF($Q$5=52,K18,IF($Q$5=53,K18,IF($Q$5=54,K18,0))))))))))))))))))))))))))))))</f>
        <v>B9</v>
      </c>
      <c r="Q18" s="153" t="str">
        <f>IF($Q$5=29,L18,IF($Q$5=30,L18,IF($Q$5=33,L18,IF($Q$5=34,L18,IF($Q$5=35,L18,IF($Q$5=36,L18,IF($Q$5=37,L18,IF($Q$5=38,L18,IF($Q$5=39,L18,IF($Q$5=40,L18,IF($Q$5=41,L18,IF($Q$5=42,L18,IF($Q$5=43,L18,IF($Q$5=44,L18,IF($Q$5=45,L18,IF($Q$5=46,L18,IF($Q$5=47,L18,IF($Q$5=48,L18,IF($Q$5=49,L18,IF($Q$5=50,L18,IF($Q$5=51,L18,IF($Q$5=52,L18,IF($Q$5=53,L18,IF($Q$5=54,L18,0))))))))))))))))))))))))</f>
        <v>C9</v>
      </c>
      <c r="R18" s="167" t="str">
        <f>IF($Q$5=25,O19,IF($Q$5=26,O19,IF($Q$5=27,J10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S18" s="163" t="str">
        <f>IF($Q$5=25,L11,IF($Q$5=26,L11,IF(Q$5=27,Q11,IF($Q$5=28,L11,IF($Q$5=29,K10,IF($Q$5=30,K10,IF($Q$5=31,P21,IF($Q$5=32,P20,IF($Q$5=33,K10,IF($Q$5=34,K10,IF($Q$5=35,K10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))))))</f>
        <v>B11</v>
      </c>
      <c r="T18" s="182" t="str">
        <f>IF($Q$5=27,0,IF($Q$5=29,L11,IF($Q$5=30,L13,IF(J$5=32,0,IF($Q$5=33,L18,IF($Q$5=34,P21,IF($Q$5=35,L20,IF($Q$5=36,L21,IF($Q$5=37,P21,IF($Q$5=38,P23,IF($Q$5=39,L10,IF($Q$5=40,L21,IF($Q$5=41,L21,IF($Q$5=42,L21,IF($Q$5=43,P25,IF($Q$5=44,L21,IF($Q$5=45,L21,IF($Q$5=46,L21,IF($Q$5=47,L21,IF($Q$5=48,L21,IF($Q$5=49,L21,IF($Q$5=50,L21,IF($Q$5=51,L21,IF($Q$5=52,L21,IF($Q$5=53,L21,IF($Q$5=54,L21,0))))))))))))))))))))))))))</f>
        <v>C12</v>
      </c>
      <c r="U18" s="160" t="str">
        <f>IF($Q$5=25,R17,IF($Q$5=26,R17,IF($Q$5=27,R17,IF($Q$5=28,O17,IF($Q$5=29,O17,IF($Q$5=30,O17,IF($Q$5=31,R10,IF($Q$5=32,O19,IF($Q$5=33,O19,IF($Q$5=34,O20,IF($Q$5=35,R19,IF($Q$5=36,O20,IF($Q$5=37,R19,IF($Q$5=38,R19,IF($Q$5=39,O20,IF($Q$5=40,O20,IF($Q$5=41,O20,IF($Q$5=42,O20,IF($Q$5=43,O20,IF($Q$5=44,O20,IF($Q$5=45,O20,IF($Q$5=46,O20,IF($Q$5=47,O20,IF($Q$5=48,O20,IF($Q$5=49,O20,IF($Q$5=50,O20,IF($Q$5=51,O20,IF($Q$5=52,O20,IF($Q$5=53,O20,IF($Q$5=54,O20,0))))))))))))))))))))))))))))))</f>
        <v>A11</v>
      </c>
      <c r="V18" s="157" t="str">
        <f>IF($Q$5=25,T11,IF($Q$5=26,S18,IF($Q$5=27,R19,IF($Q$5=28,S12,IF($Q$5=29,S17,IF($Q$5=30,S18,IF($Q$5=31,S12,IF($Q$5=32,S13,IF($Q$5=33,S13,IF($Q$5=34,S13,IF($Q$5=35,S13,IF($Q$5=36,S20,IF($Q$5=37,S20,IF($Q$5=38,S20,IF($Q$5=39,S11,IF($Q$5=40,S20,IF($Q$5=41,S20,IF($Q$5=42,S20,IF($Q$5=43,S20,IF($Q$5=44,S20,IF($Q$5=45,S20,IF($Q$5=46,S20,IF($Q$5=47,S20,IF($Q$5=48,S20,IF($Q$5=49,S20,IF($Q$5=50,S20,IF($Q$5=51,S20,IF($Q$5=52,S20,IF($Q$5=53,S20,IF($Q$5=54,S20,0))))))))))))))))))))))))))))))</f>
        <v>B13</v>
      </c>
      <c r="W18" s="172" t="str">
        <f>IF($Q$5=29,T10,IF($Q$5=30,Q19,IF($Q$5=32,0,IF($Q$5=33,S20,IF($Q$5=34,T15,IF($Q$5=35,T15,IF($Q$5=36,T21,IF($Q$5=37,S23,IF($Q$5=38,S23,IF($Q$5=39,T19,IF($Q$5=40,T21,IF($Q$5=41,T21,IF($Q$5=42,T21,IF($Q$5=43,S25,IF($Q$5=44,T21,IF($Q$5=45,T21,IF($Q$5=46,T21,IF($Q$5=47,T21,IF($Q$5=48,T21,IF($Q$5=49,T21,IF($Q$5=50,T21,IF($Q$5=51,T21,IF($Q$5=52,T21,IF($Q$5=53,T21,IF($Q$5=54,T21,0)))))))))))))))))))))))))</f>
        <v>C15</v>
      </c>
      <c r="X18" s="23"/>
      <c r="Y18" s="128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23"/>
      <c r="AO18" s="54">
        <v>10</v>
      </c>
      <c r="AP18" s="321" t="str">
        <f>+Inscrits!B12</f>
        <v>A10</v>
      </c>
      <c r="AQ18" s="286">
        <f t="shared" si="3"/>
        <v>1</v>
      </c>
      <c r="AR18" s="99">
        <f t="shared" si="4"/>
        <v>-11</v>
      </c>
      <c r="AS18" s="219">
        <f t="shared" si="5"/>
        <v>2</v>
      </c>
      <c r="AT18" s="289">
        <f t="shared" si="6"/>
        <v>1</v>
      </c>
      <c r="AU18" s="99">
        <f t="shared" si="7"/>
        <v>-3</v>
      </c>
      <c r="AV18" s="291">
        <f t="shared" si="8"/>
        <v>5</v>
      </c>
      <c r="AW18" s="286">
        <f t="shared" si="9"/>
        <v>3</v>
      </c>
      <c r="AX18" s="99">
        <f t="shared" si="10"/>
        <v>1</v>
      </c>
      <c r="AY18" s="291">
        <f t="shared" si="11"/>
        <v>7</v>
      </c>
      <c r="AZ18" s="286">
        <f t="shared" si="17"/>
        <v>5</v>
      </c>
      <c r="BA18" s="99">
        <f t="shared" si="12"/>
        <v>-13</v>
      </c>
      <c r="BB18" s="291">
        <f t="shared" si="13"/>
        <v>14</v>
      </c>
      <c r="BC18" s="294">
        <f t="shared" si="14"/>
        <v>-13</v>
      </c>
      <c r="BD18" s="7">
        <f t="shared" si="15"/>
        <v>0</v>
      </c>
      <c r="BE18" s="218">
        <f t="shared" si="16"/>
        <v>30.128600179999999</v>
      </c>
      <c r="BF18" s="99">
        <f>IF(AP18="","",SMALL(BE$9:BE$62,ROWS(AZ$9:AZ18)))</f>
        <v>5.8670004699999998</v>
      </c>
      <c r="BG18" s="88"/>
      <c r="BH18" s="99" t="str">
        <f>IF(OR(AP18="",AZ18=""),"",INDEX($AP$9:$AP$63,MATCH(BF18,$BE$9:BE$62,0)))</f>
        <v>C3</v>
      </c>
      <c r="BI18" s="7">
        <f t="shared" si="0"/>
        <v>7</v>
      </c>
      <c r="BJ18" s="7">
        <f t="shared" si="1"/>
        <v>13</v>
      </c>
      <c r="BK18" s="7">
        <f t="shared" si="2"/>
        <v>30</v>
      </c>
      <c r="BL18" s="280">
        <f>IF(BF18="","",IF(AND(BI17=BI18,BJ17=BJ18,BK17=BK18),BL17,$BL$9+9))</f>
        <v>10</v>
      </c>
      <c r="BM18" s="29"/>
      <c r="BN18" s="3"/>
    </row>
    <row r="19" spans="1:66" ht="21" thickBot="1">
      <c r="A19" s="131">
        <v>10</v>
      </c>
      <c r="B19" s="393" t="s">
        <v>75</v>
      </c>
      <c r="C19" s="272">
        <f>IF($Q$5&gt;=28,10,0)</f>
        <v>10</v>
      </c>
      <c r="D19" s="398" t="s">
        <v>93</v>
      </c>
      <c r="E19" s="272">
        <f>IF($Q$5&gt;=29,10,0)</f>
        <v>10</v>
      </c>
      <c r="F19" s="396" t="s">
        <v>111</v>
      </c>
      <c r="G19" s="272">
        <f>IF($Q$5&gt;=30,10,0)</f>
        <v>10</v>
      </c>
      <c r="H19" s="23"/>
      <c r="I19" s="196">
        <v>10</v>
      </c>
      <c r="J19" s="204" t="str">
        <f>IF(ISNA(MATCH(I19,$C$10:$C$27,0)),"",INDEX(B$10:$B$27,MATCH(I19,$C$10:$C$27,0)))</f>
        <v>A10</v>
      </c>
      <c r="K19" s="137" t="str">
        <f>IF(ISNA(MATCH(I19,$E$10:$E$27,0)),"",INDEX($D$10:D$27,MATCH(I19,$E$10:$E$27,0)))</f>
        <v>B10</v>
      </c>
      <c r="L19" s="188" t="str">
        <f>IF(ISNA(MATCH(I19,$G$10:$G$27,0)),"",INDEX($F$10:F$27,MATCH(I19,$G$10:$G$27,0)))</f>
        <v>C10</v>
      </c>
      <c r="N19" s="3" t="s">
        <v>5</v>
      </c>
      <c r="O19" s="141" t="str">
        <f>IF($Q$5=25,K17,IF($Q$5=26,K18,IF($Q$5=27,K18,IF($Q$5=28,J19,IF($Q$5=29,J19,IF($Q$5=30,J19,IF($Q$5=31,J19,IF($Q$5=32,J19,IF($Q$5=33,J19,IF($Q$5=34,J19,IF($Q$5=35,J19,IF($Q$5=36,J19,IF($Q$5=37,J19,IF($Q$5=38,J19,IF($Q$5=39,J19,IF($Q$5=40,J19,IF($Q$5=41,J19,IF($Q$5=42,J19,IF($Q$5=43,J19,IF($Q$5=44,J19,IF($Q$5=45,J19,IF($Q$5=46,J19,IF($Q$5=47,J19,IF($Q$5=48,J19,IF($Q$5=49,J19,IF($Q$5=50,J19,IF($Q$5=51,J19,IF($Q$5=52,J19,IF($Q$5=53,J19,IF($Q$5=54,J19,0))))))))))))))))))))))))))))))</f>
        <v>A10</v>
      </c>
      <c r="P19" s="149" t="str">
        <f>IF($Q$5=25,L17,IF($Q$5=26,L17,IF($Q$5=27,L18,IF($Q$5=28,L18,IF($Q$5=29,K19,IF($Q$5=30,K19,IF($Q$5=31,L17,IF($Q$5=32,K18,IF($Q$5=33,K19,IF($Q$5=34,K19,IF($Q$5=35,K19,IF($Q$5=36,K19,IF($Q$5=37,K19,IF($Q$5=38,K19,IF($Q$5=39,K19,IF($Q$5=40,K19,IF($Q$5=41,K19,IF($Q$5=42,K19,IF($Q$5=43,K19,IF($Q$5=44,K19,IF($Q$5=45,K19,IF($Q$5=46,K19,IF($Q$5=47,K19,IF($Q$5=48,K19,IF($Q$5=49,K19,IF($Q$5=50,K19,IF($Q$5=51,K19,IF($Q$5=52,K19,IF($Q$5=53,K19,IF($Q$5=54,K19,0))))))))))))))))))))))))))))))</f>
        <v>B10</v>
      </c>
      <c r="Q19" s="152" t="str">
        <f>IF($Q$5=30,L19,IF($Q$5=34,L19,IF($Q$5=35,L19,IF($Q$5=36,L19,IF($Q$5=38,L19,IF($Q$5=39,L19,IF($Q$5=40,L19,IF($Q$5=41,L19,IF($Q$5=42,L19,IF($Q$5=43,L19,IF($Q$5=44,L19,IF($Q$5=45,L19,IF($Q$5=46,L19,IF($Q$5=47,L19,IF($Q$5=48,L19,IF($Q$5=49,L19,IF($Q$5=50,L19,IF($Q$5=51,L19,IF($Q$5=52,L19,IF($Q$5=53,L19,IF($Q$5=54,L19,0)))))))))))))))))))))</f>
        <v>C10</v>
      </c>
      <c r="R19" s="168" t="str">
        <f>IF($Q$5=25,J10,IF($Q$5=26,J10,IF($Q$5=27,K10,IF($Q$5=28,J10,IF($Q$5=29,J10,IF($Q$5=30,J10,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))))))</f>
        <v>A11</v>
      </c>
      <c r="S19" s="159" t="str">
        <f>IF($Q$5=25,P18,IF($Q$5=26,K10,IF($Q$5=27,O19,IF($Q$5=28,K18,IF($Q$5=29,K18,IF($Q$5=30,K18,IF($Q$5=31,P19,IF($Q$5=32,P21,IF($Q$5=33,K19,IF($Q$5=34,K19,IF($Q$5=35,K19,IF($Q$5=36,K21,IF($Q$5=37,P11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))))))</f>
        <v>B12</v>
      </c>
      <c r="T19" s="183" t="str">
        <f>IF($Q$5=30,L19,IF($Q$5=34,L18,IF($Q$5=35,L18,IF($Q$5=36,L10,IF($Q$5=38,L10,IF($Q$5=39,L11,IF($Q$5=40,P23,IF($Q$5=41,L22,IF($Q$5=42,L22,IF($Q$5=43,P23,IF($Q$5=44,P24,IF($Q$5=45,L22,IF($Q$5=46,L22,IF($Q$5=47,L22,IF($Q$5=48,L22,IF($Q$5=49,L22,IF($Q$5=50,L22,IF($Q$5=51,L22,IF($Q$5=52,L22,IF($Q$5=53,L22,IF($Q$5=54,L22,0)))))))))))))))))))))</f>
        <v>C13</v>
      </c>
      <c r="U19" s="185" t="str">
        <f>IF($Q$5=25,O19,IF($Q$5=26,R18,IF($Q$5=27,S19,IF($Q$5=28,R18,IF($Q$5=29,O19,IF($Q$5=30,O19,IF($Q$5=31,R18,IF($Q$5=32,R10,IF($Q$5=33,O11,IF($Q$5=34,R10,IF($Q$5=35,R10,IF($Q$5=36,O21,IF($Q$5=37,R20,IF($Q$5=38,R20,IF($Q$5=39,O21,IF($Q$5=40,O21,IF($Q$5=41,O21,IF($Q$5=42,O21,IF($Q$5=43,R20,IF($Q$5=44,O21,IF($Q$5=45,R20,IF($Q$5=46,O21,IF($Q$5=47,O21,IF($Q$5=48,O21,IF($Q$5=49,O21,IF($Q$5=50,O21,IF($Q$5=51,O21,IF($Q$5=52,O21,IF($Q$5=53,O21,IF($Q$5=54,O21,0))))))))))))))))))))))))))))))</f>
        <v>A12</v>
      </c>
      <c r="V19" s="162" t="str">
        <f>IF($Q$5=25,S12,IF($Q$5=26,T10,IF($Q$5=27,T10,IF($Q$5=28,T10,IF($Q$5=29,S12,IF($Q$5=30,S12,IF($Q$5=31,T16,IF($Q$5=32,S14,IF($Q$5=33,S14,IF($Q$5=34,S20,IF($Q$5=35,S20,IF($Q$5=36,S21,IF($Q$5=37,S11,IF($Q$5=38,S21,IF($Q$5=39,S20,IF($Q$5=40,S21,IF($Q$5=41,S21,IF($Q$5=42,S21,IF($Q$5=43,S11,IF($Q$5=44,S21,IF($Q$5=45,S21,IF($Q$5=46,S21,IF($Q$5=47,S21,IF($Q$5=48,S21,IF($Q$5=49,S21,IF($Q$5=50,S21,IF($Q$5=51,S21,IF($Q$5=52,S21,IF($Q$5=53,S21,IF($Q$5=54,S21,0))))))))))))))))))))))))))))))</f>
        <v>B14</v>
      </c>
      <c r="W19" s="174" t="str">
        <f>IF($Q$5=30,T10,IF($Q$5=35,T16,IF($Q$5=36,T10,IF($Q$5=38,T10,IF($Q$5=39,T20,IF($Q$5=34,S21,IF($Q$5=40,S23,IF($Q$5=41,T22,IF($Q$5=42,T22,IF($Q$5=43,S23,IF($Q$5=44,S23,IF($Q$5=45,T22,IF($Q$5=46,T22,IF($Q$5=47,T22,IF($Q$5=48,T22,IF($Q$5=49,T22,IF($Q$5=50,T22,IF($Q$5=51,S27,IF($Q$5=52,T22,IF($Q$5=53,T22,IF($Q$5=54,T22,0)))))))))))))))))))))</f>
        <v>C16</v>
      </c>
      <c r="X19" s="23"/>
      <c r="Y19" s="446">
        <v>2</v>
      </c>
      <c r="Z19" s="12" t="str">
        <f>+O12</f>
        <v>A3</v>
      </c>
      <c r="AA19" s="33">
        <v>4</v>
      </c>
      <c r="AB19" s="48">
        <f>IF(AA19+AA23=0,0,IF(AA19=AA23,2,IF(AA19&gt;AA23,3,1)))</f>
        <v>1</v>
      </c>
      <c r="AC19" s="13">
        <f>AA19-AA23</f>
        <v>-7</v>
      </c>
      <c r="AD19" s="9"/>
      <c r="AE19" s="12" t="str">
        <f>+R12</f>
        <v>A4</v>
      </c>
      <c r="AF19" s="126">
        <v>6</v>
      </c>
      <c r="AG19" s="48">
        <f>IF(AF19+AF23=0,0,IF(AF19=AF23,2,IF(AF19&gt;AF23,3,1)))</f>
        <v>1</v>
      </c>
      <c r="AH19" s="13">
        <f>AF19-AF23</f>
        <v>-3</v>
      </c>
      <c r="AI19" s="9"/>
      <c r="AJ19" s="12" t="str">
        <f>+U12</f>
        <v>A5</v>
      </c>
      <c r="AK19" s="36">
        <v>4</v>
      </c>
      <c r="AL19" s="48">
        <f>IF(AK19+AK23=0,0,IF(AK19=AK23,2,IF(AK19&gt;AK23,3,1)))</f>
        <v>1</v>
      </c>
      <c r="AM19" s="13">
        <f>AK19-AK23</f>
        <v>-8</v>
      </c>
      <c r="AN19" s="23"/>
      <c r="AO19" s="54">
        <v>11</v>
      </c>
      <c r="AP19" s="321" t="str">
        <f>+Inscrits!B13</f>
        <v>A11</v>
      </c>
      <c r="AQ19" s="286">
        <f t="shared" si="3"/>
        <v>1</v>
      </c>
      <c r="AR19" s="99">
        <f t="shared" si="4"/>
        <v>-1</v>
      </c>
      <c r="AS19" s="219">
        <f t="shared" si="5"/>
        <v>12</v>
      </c>
      <c r="AT19" s="289">
        <f t="shared" si="6"/>
        <v>3</v>
      </c>
      <c r="AU19" s="99">
        <f t="shared" si="7"/>
        <v>3</v>
      </c>
      <c r="AV19" s="291">
        <f t="shared" si="8"/>
        <v>8</v>
      </c>
      <c r="AW19" s="286">
        <f t="shared" si="9"/>
        <v>3</v>
      </c>
      <c r="AX19" s="99">
        <f t="shared" si="10"/>
        <v>3</v>
      </c>
      <c r="AY19" s="291">
        <f t="shared" si="11"/>
        <v>7</v>
      </c>
      <c r="AZ19" s="286">
        <f t="shared" si="17"/>
        <v>7</v>
      </c>
      <c r="BA19" s="99">
        <f t="shared" si="12"/>
        <v>5</v>
      </c>
      <c r="BB19" s="291">
        <f t="shared" si="13"/>
        <v>27</v>
      </c>
      <c r="BC19" s="294">
        <f t="shared" si="14"/>
        <v>0</v>
      </c>
      <c r="BD19" s="7">
        <f t="shared" si="15"/>
        <v>5</v>
      </c>
      <c r="BE19" s="218">
        <f t="shared" si="16"/>
        <v>5.94730019</v>
      </c>
      <c r="BF19" s="99">
        <f>IF(AP19="","",SMALL(BE$9:BE$62,ROWS(AZ$9:AZ19)))</f>
        <v>5.8770003299999996</v>
      </c>
      <c r="BG19" s="88"/>
      <c r="BH19" s="99" t="str">
        <f>IF(OR(AP19="",AZ19=""),"",INDEX($AP$9:$AP$63,MATCH(BF19,$BE$9:BE$62,0)))</f>
        <v>B7</v>
      </c>
      <c r="BI19" s="7">
        <f t="shared" si="0"/>
        <v>7</v>
      </c>
      <c r="BJ19" s="7">
        <f t="shared" si="1"/>
        <v>12</v>
      </c>
      <c r="BK19" s="7">
        <f t="shared" si="2"/>
        <v>30</v>
      </c>
      <c r="BL19" s="280">
        <f>IF(BF19="","",IF(AND(BI18=BI19,BJ18=BJ19,BK18=BK19),BL18,$BL$9+10))</f>
        <v>11</v>
      </c>
      <c r="BM19" s="29"/>
      <c r="BN19" s="3"/>
    </row>
    <row r="20" spans="1:66" ht="21" thickBot="1">
      <c r="A20" s="131">
        <v>11</v>
      </c>
      <c r="B20" s="393" t="s">
        <v>76</v>
      </c>
      <c r="C20" s="272">
        <f>IF($Q$5&gt;=31,11,0)</f>
        <v>11</v>
      </c>
      <c r="D20" s="398" t="s">
        <v>94</v>
      </c>
      <c r="E20" s="272">
        <f>IF($Q$5&gt;=32,11,0)</f>
        <v>11</v>
      </c>
      <c r="F20" s="396" t="s">
        <v>112</v>
      </c>
      <c r="G20" s="272">
        <f>IF($Q$5&gt;=33,11,0)</f>
        <v>11</v>
      </c>
      <c r="H20" s="23"/>
      <c r="I20" s="196">
        <v>11</v>
      </c>
      <c r="J20" s="204" t="str">
        <f>IF(ISNA(MATCH(I20,$C$10:$C$27,0)),"",INDEX(B$10:$B$27,MATCH(I20,$C$10:$C$27,0)))</f>
        <v>A11</v>
      </c>
      <c r="K20" s="137" t="str">
        <f>IF(ISNA(MATCH(I20,$E$10:$E$27,0)),"",INDEX($D$10:D$27,MATCH(I20,$E$10:$E$27,0)))</f>
        <v>B11</v>
      </c>
      <c r="L20" s="188" t="str">
        <f>IF(ISNA(MATCH(I20,$G$10:$G$27,0)),"",INDEX($F$10:F$27,MATCH(I20,$G$10:$G$27,0)))</f>
        <v>C11</v>
      </c>
      <c r="N20" s="3">
        <v>6</v>
      </c>
      <c r="O20" s="138" t="str">
        <f>IF($Q$5=31,J20,IF($Q$5=32,J20,IF($Q$5=33,J20,IF($Q$5=34,J20,IF($Q$5=35,J20,IF($Q$5=36,J20,IF($Q$5=37,J20,IF($Q$5=38,J20,IF($Q$5=39,J20,IF($Q$5=40,J20,IF($Q$5=41,J20,IF($Q$5=42,J20,IF($Q$5=43,J20,IF($Q$5=44,J20,IF($Q$5=45,J20,IF($Q$5=46,J20,IF($Q$5=47,J20,IF($Q$5=48,J20,IF($Q$5=49,J20,IF($Q$5=50,J20,IF($Q$5=51,J20,IF($Q$5=52,J20,IF($Q$5=53,J20,IF($Q$5=54,J20,0))))))))))))))))))))))))</f>
        <v>A11</v>
      </c>
      <c r="P20" s="150" t="str">
        <f>IF($Q$5=31,L18,IF($Q$5=32,L18,IF($Q$5=33,L19,IF($Q$5=34,K20,IF($Q$5=35,K20,IF($Q$5=36,K20,IF($Q$5=37,K20,IF($Q$5=38,K20,IF($Q$5=39,K20,IF($Q$5=40,K20,IF($Q$5=41,K20,IF($Q$5=42,K20,IF($Q$5=43,K20,IF($Q$5=44,K20,IF($Q$5=45,K20,IF($Q$5=46,K20,IF($Q$5=47,K20,IF($Q$5=48,K20,IF($Q$5=49,K20,IF($Q$5=50,K20,IF($Q$5=51,K20,IF($Q$5=52,K20,IF($Q$5=53,K20,IF($Q$5=54,K20,0))))))))))))))))))))))))</f>
        <v>B11</v>
      </c>
      <c r="Q20" s="153" t="str">
        <f>IF($Q$5=35,L20,IF($Q$5=36,L20,IF($Q$5=39,L20,IF($Q$5=40,L20,IF($Q$5=41,L20,IF($Q$5=42,L20,IF($Q$5=43,L20,IF($Q$5=44,L20,IF($Q$5=45,L20,IF($Q$5=46,L20,IF($Q$5=47,L20,IF($Q$5=48,L20,IF($Q$5=49,L20,IF($Q$5=50,L20,IF($Q$5=51,L20,IF($Q$5=52,L20,IF($Q$5=53,L20,IF($Q$5=54,L20,0))))))))))))))))))</f>
        <v>C11</v>
      </c>
      <c r="R20" s="165" t="str">
        <f>IF($Q$5=31,J10,IF($Q$5=32,K20,IF($Q$5=33,J10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S20" s="157" t="str">
        <f>IF($Q$5=31,P20,IF($Q$5=32,K10,IF($Q$5=33,P21,IF($Q$5=34,K20,IF($Q$5=35,K20,IF($Q$5=36,K10,IF($Q$5=37,K10,IF($Q$5=38,P11,IF($Q$5=39,K10,IF($Q$5=40,K22,IF($Q$5=41,K22,IF($Q$5=42,K22,IF($Q$5=43,K22,IF($Q$5=44,K22,IF($Q$5=45,K22,IF($Q$5=46,K22,IF($Q$5=47,K22,IF($Q$5=48,K22,IF($Q$5=49,K22,IF($Q$5=50,K22,IF($Q$5=51,K22,IF($Q$5=52,K22,IF($Q$5=53,K22,IF($Q$5=54,K22,0))))))))))))))))))))))))</f>
        <v>B13</v>
      </c>
      <c r="T20" s="179" t="str">
        <f>IF($Q$5=35,L19,IF($Q$5=36,L11,IF($Q$5=39,L12,IF($Q$5=40,L10,IF($Q$5=41,L10,IF($Q$5=42,L23,IF($Q$5=43,P24,IF($Q$5=44,P25,IF($Q$5=45,P24,IF($Q$5=46,L23,IF($Q$5=47,L23,IF($Q$5=48,L23,IF($Q$5=49,L10,IF($Q$5=50,L23,IF($Q$5=51,L23,IF($Q$5=52,L23,IF($Q$5=53,L23,IF($Q$5=54,L23,0))))))))))))))))))</f>
        <v>C14</v>
      </c>
      <c r="U20" s="165" t="str">
        <f>IF($Q$5=30,0,IF($Q$5=31,R19,IF($Q$5=32,R19,IF($Q$5=33,R19,IF($Q$5=34,R18,IF($Q$5=35,R18,IF($Q$5=36,O10,IF($Q$5=37,R21,IF($Q$5=38,R21,IF($Q$5=39,O22,IF($Q$5=40,R21,IF($Q$5=41,O22,IF($Q$5=42,O22,IF($Q$5=43,R21,IF($Q$5=44,R21,IF($Q$5=45,O22,IF($Q$5=46,O22,IF($Q$5=47,O22,IF($Q$5=48,O22,IF($Q$5=49,O22,IF($Q$5=50,O22,IF($Q$5=51,R21,IF($Q$5=52,O22,IF($Q$5=53,O22,IF($Q$5=54,O22,0)))))))))))))))))))))))))</f>
        <v>A13</v>
      </c>
      <c r="V20" s="163" t="str">
        <f>IF($Q$5=31,T10,IF($Q$5=32,S18,IF($Q$5=33,T18,IF($Q$5=34,S14,IF($Q$5=35,S21,IF($Q$5=36,S10,IF($Q$5=37,S10,IF($Q$5=38,S11,IF($Q$5=39,S21,IF($Q$5=40,S22,IF($Q$5=41,S22,IF($Q$5=42,S22,IF($Q$5=43,S22,IF($Q$5=44,S22,IF($Q$5=45,S22,IF($Q$5=46,S22,IF($Q$5=47,S22,IF($Q$5=48,S22,IF($Q$5=49,S22,IF($Q$5=50,S22,IF($Q$5=51,S22,IF($Q$5=52,S22,IF($Q$5=53,S22,IF($Q$5=54,S22,0))))))))))))))))))))))))</f>
        <v>B15</v>
      </c>
      <c r="W20" s="173" t="str">
        <f>IF($Q$5=35,T18,IF($Q$5=36,T11,IF($Q$5=39,T10,IF($Q$5=40,T10,IF($Q$5=41,T10,IF($Q$5=42,T23,IF($Q$5=43,S24,IF($Q$5=44,S24,IF($Q$5=45,S24,IF($Q$5=46,T23,IF($Q$5=47,T23,IF($Q$5=48,T23,IF($Q$5=49,T10,IF($Q$5=50,T23,IF($Q$5=51,S26,IF($Q$5=52,S27,IF($Q$5=53,T23,IF($Q$5=54,T23,0))))))))))))))))))</f>
        <v>C17</v>
      </c>
      <c r="X20" s="23"/>
      <c r="Y20" s="447"/>
      <c r="Z20" s="14" t="str">
        <f>+P12</f>
        <v>B3</v>
      </c>
      <c r="AA20" s="18">
        <f>IF(ISTEXT(Z20),AA19,0)</f>
        <v>4</v>
      </c>
      <c r="AB20" s="18">
        <f>IF(ISTEXT(Z20),AB19,0)</f>
        <v>1</v>
      </c>
      <c r="AC20" s="62">
        <f>IF(ISTEXT(Z20),AC19,0)</f>
        <v>-7</v>
      </c>
      <c r="AD20" s="11"/>
      <c r="AE20" s="14" t="str">
        <f>+S12</f>
        <v>B5</v>
      </c>
      <c r="AF20" s="18">
        <f>IF(ISTEXT(AE20),AF19,0)</f>
        <v>6</v>
      </c>
      <c r="AG20" s="59">
        <f>IF(ISTEXT(AE20),AG19,0)</f>
        <v>1</v>
      </c>
      <c r="AH20" s="62">
        <f>IF(ISTEXT(AE20),AH19,0)</f>
        <v>-3</v>
      </c>
      <c r="AI20" s="11"/>
      <c r="AJ20" s="14" t="str">
        <f>+V12</f>
        <v>B7</v>
      </c>
      <c r="AK20" s="18">
        <f>IF(ISTEXT(AJ20),AK19,0)</f>
        <v>4</v>
      </c>
      <c r="AL20" s="59">
        <f>IF(ISTEXT(AJ20),AL19,0)</f>
        <v>1</v>
      </c>
      <c r="AM20" s="62">
        <f>IF(ISTEXT(AJ20),AM19,0)</f>
        <v>-8</v>
      </c>
      <c r="AN20" s="23"/>
      <c r="AO20" s="54">
        <v>12</v>
      </c>
      <c r="AP20" s="321" t="str">
        <f>+Inscrits!B14</f>
        <v>A12</v>
      </c>
      <c r="AQ20" s="286">
        <f t="shared" si="3"/>
        <v>3</v>
      </c>
      <c r="AR20" s="99">
        <f t="shared" si="4"/>
        <v>1</v>
      </c>
      <c r="AS20" s="219">
        <f t="shared" si="5"/>
        <v>13</v>
      </c>
      <c r="AT20" s="289">
        <f t="shared" si="6"/>
        <v>3</v>
      </c>
      <c r="AU20" s="99">
        <f t="shared" si="7"/>
        <v>5</v>
      </c>
      <c r="AV20" s="291">
        <f t="shared" si="8"/>
        <v>10</v>
      </c>
      <c r="AW20" s="286">
        <f t="shared" si="9"/>
        <v>1</v>
      </c>
      <c r="AX20" s="99">
        <f t="shared" si="10"/>
        <v>-3</v>
      </c>
      <c r="AY20" s="291">
        <f t="shared" si="11"/>
        <v>4</v>
      </c>
      <c r="AZ20" s="286">
        <f t="shared" si="17"/>
        <v>7</v>
      </c>
      <c r="BA20" s="99">
        <f t="shared" si="12"/>
        <v>3</v>
      </c>
      <c r="BB20" s="291">
        <f t="shared" si="13"/>
        <v>27</v>
      </c>
      <c r="BC20" s="294">
        <f t="shared" si="14"/>
        <v>0</v>
      </c>
      <c r="BD20" s="7">
        <f t="shared" si="15"/>
        <v>3</v>
      </c>
      <c r="BE20" s="218">
        <f t="shared" si="16"/>
        <v>5.9673001999999995</v>
      </c>
      <c r="BF20" s="99">
        <f>IF(AP20="","",SMALL(BE$9:BE$62,ROWS(AZ$9:AZ20)))</f>
        <v>5.8771003499999992</v>
      </c>
      <c r="BG20" s="88"/>
      <c r="BH20" s="99" t="str">
        <f>IF(OR(AP20="",AZ20=""),"",INDEX($AP$9:$AP$63,MATCH(BF20,$BE$9:BE$62,0)))</f>
        <v>B9</v>
      </c>
      <c r="BI20" s="7">
        <f t="shared" si="0"/>
        <v>7</v>
      </c>
      <c r="BJ20" s="7">
        <f t="shared" si="1"/>
        <v>12</v>
      </c>
      <c r="BK20" s="7">
        <f t="shared" si="2"/>
        <v>29</v>
      </c>
      <c r="BL20" s="280">
        <f>IF(BF20="","",IF(AND(BI19=BI20,BJ19=BJ20,BK19=BK20),BL19,$BL$9+11))</f>
        <v>12</v>
      </c>
      <c r="BM20" s="29"/>
      <c r="BN20" s="3"/>
    </row>
    <row r="21" spans="1:66" ht="21" thickBot="1">
      <c r="A21" s="131">
        <v>12</v>
      </c>
      <c r="B21" s="393" t="s">
        <v>77</v>
      </c>
      <c r="C21" s="272">
        <f>IF($Q$5&gt;=34,12,0)</f>
        <v>12</v>
      </c>
      <c r="D21" s="398" t="s">
        <v>95</v>
      </c>
      <c r="E21" s="272">
        <f>IF($Q$5&gt;=35,12,0)</f>
        <v>12</v>
      </c>
      <c r="F21" s="396" t="s">
        <v>113</v>
      </c>
      <c r="G21" s="272">
        <f>IF($Q$5&gt;=36,12,0)</f>
        <v>12</v>
      </c>
      <c r="H21" s="23"/>
      <c r="I21" s="196">
        <v>12</v>
      </c>
      <c r="J21" s="204" t="str">
        <f>IF(ISNA(MATCH(I21,$C$10:$C$27,0)),"",INDEX(B$10:$B$27,MATCH(I21,$C$10:$C$27,0)))</f>
        <v>A12</v>
      </c>
      <c r="K21" s="137" t="str">
        <f>IF(ISNA(MATCH(I21,$E$10:$E$27,0)),"",INDEX($D$10:D$27,MATCH(I21,$E$10:$E$27,0)))</f>
        <v>B12</v>
      </c>
      <c r="L21" s="188" t="str">
        <f>IF(ISNA(MATCH(I21,$G$10:$G$27,0)),"",INDEX($F$10:F$27,MATCH(I21,$G$10:$G$27,0)))</f>
        <v>C12</v>
      </c>
      <c r="N21" s="52" t="s">
        <v>5</v>
      </c>
      <c r="O21" s="141" t="str">
        <f>IF($Q$5=31,K19,IF($Q$5=32,K20,IF($Q$5=33,K20,IF($Q$5=34,J21,IF($Q$5=35,J21,IF($Q$5=36,J21,IF($Q$5=37,J21,IF($Q$5=38,J21,IF($Q$5=39,J21,IF($Q$5=40,J21,IF($Q$5=41,J21,IF($Q$5=42,J21,IF($Q$5=43,J21,IF($Q$5=44,J21,IF($Q$5=45,J21,IF($Q$5=46,J21,IF($Q$5=47,J21,IF($Q$5=48,J21,IF($Q$5=49,J21,IF($Q$5=50,J21,IF($Q$5=51,J21,IF($Q$5=52,J21,IF($Q$5=53,J21,IF($Q$5=54,J21,0))))))))))))))))))))))))</f>
        <v>A12</v>
      </c>
      <c r="P21" s="149" t="str">
        <f>IF($Q$5=31,L19,IF($Q$5=32,L19,IF($Q$5=33,L20,IF($Q$5=34,L20,IF($Q$5=35,K21,IF($Q$5=36,K21,IF($Q$5=37,L21,IF($Q$5=38,K21,IF($Q$5=39,K21,IF($Q$5=40,K21,IF($Q$5=41,K21,IF($Q$5=42,K21,IF($Q$5=43,K21,IF($Q$5=44,K21,IF($Q$5=45,K21,IF($Q$5=46,K21,IF($Q$5=47,K21,IF($Q$5=48,K21,IF($Q$5=49,K21,IF($Q$5=50,K21,IF($Q$5=51,K21,IF($Q$5=52,K21,IF($Q$5=53,K21,IF($Q$5=54,K21,0))))))))))))))))))))))))</f>
        <v>B12</v>
      </c>
      <c r="Q21" s="152" t="str">
        <f>IF($Q$5=36,L21,IF($Q$5=40,L21,IF($Q$5=41,L21,IF($Q$5=42,L21,IF($Q$5=43,0,IF($Q$5=44,L21,IF($Q$5=45,L21,IF($Q$5=46,L21,IF($Q$5=47,L21,IF($Q$5=48,L21,IF($Q$5=49,L21,IF($Q$5=50,L21,IF($Q$5=51,L21,IF($Q$5=52,L21,IF($Q$5=53,L21,IF($Q$5=54,L21,0))))))))))))))))</f>
        <v>C12</v>
      </c>
      <c r="R21" s="169" t="str">
        <f>IF($Q$5=31,K11,IF($Q$5=32,J10,IF($Q$5=33,O21,IF($Q$5=34,J10,IF($Q$5=35,J10,IF($Q$5=36,J10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)))))</f>
        <v>A13</v>
      </c>
      <c r="S21" s="162" t="str">
        <f>IF($Q$5=31,O21,IF($Q$5=32,P18,IF($Q$5=33,P20,IF($Q$5=34,L19,IF($Q$5=35,K21,IF($Q$5=36,K11,IF($Q$5=37,L10,IF($Q$5=38,K10,IF($Q$5=39,K11,IF($Q$5=40,K10,IF($Q$5=41,K23,IF($Q$5=42,K23,IF($Q$5=43,P11,IF($Q$5=44,K23,IF($Q$5=45,K23,IF($Q$5=46,K23,IF($Q$5=47,K23,IF($Q$5=48,K23,IF($Q$5=49,K23,IF($Q$5=50,K23,IF($Q$5=51,K23,IF($Q$5=52,K23,IF($Q$5=53,K23,IF($Q$5=54,K23,0))))))))))))))))))))))))</f>
        <v>B14</v>
      </c>
      <c r="T21" s="181" t="str">
        <f>IF($Q$5=36,L12,IF($Q$5=40,L11,IF($Q$5=41,L11,IF($Q$5=42,L10,IF($Q$5=43,0,IF($Q$5=44,L10,IF($Q$5=45,P25,IF($Q$5=46,P25,IF($Q$5=47,L24,IF($Q$5=48,L24,IF($Q$5=49,L11,IF($Q$5=50,P26,IF($Q$5=51,L24,IF($Q$5=52,L24,IF($Q$5=53,L24,IF($Q$5=54,L24,0))))))))))))))))</f>
        <v>C15</v>
      </c>
      <c r="U21" s="184" t="str">
        <f>IF($Q$5=31,S21,IF($Q$5=32,R20,IF($Q$5=33,R21,IF($Q$5=34,R20,IF($Q$5=35,R20,IF($Q$5=36,O11,IF($Q$5=37,R22,IF($Q$5=38,R22,IF($Q$5=39,O10,IF($Q$5=40,R22,IF($Q$5=41,R22,IF($Q$5=42,O23,IF($Q$5=43,R22,IF($Q$5=44,O23,IF($Q$5=45,R22,IF($Q$5=46,O23,IF($Q$5=47,O23,IF($Q$5=48,R22,IF($Q$5=49,R22,IF($Q$5=50,O23,IF($Q$5=51,R22,IF($Q$5=52,R22,IF($Q$5=53,O23,IF($Q$5=54,O23,0))))))))))))))))))))))))</f>
        <v>A14</v>
      </c>
      <c r="V21" s="162" t="str">
        <f>IF($Q$5=31,S15,IF($Q$5=32,S19,IF($Q$5=33,S21,IF($Q$5=34,T19,IF($Q$5=35,S14,IF($Q$5=36,S11,IF($Q$5=37,T10,IF($Q$5=38,S10,IF($Q$5=39,S10,IF($Q$5=40,S10,IF($Q$5=41,S23,IF($Q$5=42,S23,IF($Q$5=43,S21,IF($Q$5=44,S11,IF($Q$5=45,S23,IF($Q$5=46,S23,IF($Q$5=47,S23,IF($Q$5=48,S23,IF($Q$5=49,S23,IF($Q$5=50,S23,IF($Q$5=51,S23,IF($Q$5=52,S23,IF($Q$5=53,S23,IF($Q$5=54,S23,0))))))))))))))))))))))))</f>
        <v>B16</v>
      </c>
      <c r="W21" s="174" t="str">
        <f>IF($Q$5=36,T12,IF($Q$5=39,0,IF($Q$5=40,T11,IF($Q$5=41,T11,IF($Q$5=42,T10,IF($Q$5=43,0,IF($Q$5=44,T10,IF($Q$5=45,S25,IF($Q$5=46,S25,IF($Q$5=47,T24,IF($Q$5=48,T24,IF($Q$5=49,T11,IF($Q$5=50,S26,IF($Q$5=51,T22,IF($Q$5=52,T23,IF($Q$5=53,T24,IF($Q$5=54,T24,0)))))))))))))))))</f>
        <v>C18</v>
      </c>
      <c r="X21" s="23"/>
      <c r="Y21" s="447"/>
      <c r="Z21" s="14" t="str">
        <f>+Q12</f>
        <v>C3</v>
      </c>
      <c r="AA21" s="67">
        <f>IF(ISTEXT(Z21),AA19,0)</f>
        <v>4</v>
      </c>
      <c r="AB21" s="67">
        <f>IF(ISTEXT(Z21),AB19,0)</f>
        <v>1</v>
      </c>
      <c r="AC21" s="68">
        <f>IF(ISTEXT(Z21),AC19,0)</f>
        <v>-7</v>
      </c>
      <c r="AD21" s="11"/>
      <c r="AE21" s="14" t="str">
        <f>+T12</f>
        <v>C6</v>
      </c>
      <c r="AF21" s="67">
        <f>IF(ISTEXT(AE21),AF19,0)</f>
        <v>6</v>
      </c>
      <c r="AG21" s="64">
        <f>IF(ISTEXT(AE21),AG19,0)</f>
        <v>1</v>
      </c>
      <c r="AH21" s="68">
        <f>IF(ISTEXT(AE21),AH19,0)</f>
        <v>-3</v>
      </c>
      <c r="AI21" s="11"/>
      <c r="AJ21" s="14" t="str">
        <f>+W12</f>
        <v>C9</v>
      </c>
      <c r="AK21" s="67">
        <f>IF(ISTEXT(AJ21),AK19,0)</f>
        <v>4</v>
      </c>
      <c r="AL21" s="64">
        <f>IF(ISTEXT(AJ21),AL19,0)</f>
        <v>1</v>
      </c>
      <c r="AM21" s="68">
        <f>IF(ISTEXT(AJ21),AM19,0)</f>
        <v>-8</v>
      </c>
      <c r="AN21" s="23"/>
      <c r="AO21" s="54">
        <v>13</v>
      </c>
      <c r="AP21" s="321" t="str">
        <f>+Inscrits!B15</f>
        <v>A13</v>
      </c>
      <c r="AQ21" s="286">
        <f t="shared" si="3"/>
        <v>1</v>
      </c>
      <c r="AR21" s="99">
        <f t="shared" si="4"/>
        <v>-11</v>
      </c>
      <c r="AS21" s="219">
        <f t="shared" si="5"/>
        <v>2</v>
      </c>
      <c r="AT21" s="289">
        <f t="shared" si="6"/>
        <v>1</v>
      </c>
      <c r="AU21" s="99">
        <f t="shared" si="7"/>
        <v>-5</v>
      </c>
      <c r="AV21" s="291">
        <f t="shared" si="8"/>
        <v>5</v>
      </c>
      <c r="AW21" s="286">
        <f t="shared" si="9"/>
        <v>1</v>
      </c>
      <c r="AX21" s="99">
        <f t="shared" si="10"/>
        <v>-3</v>
      </c>
      <c r="AY21" s="291">
        <f t="shared" si="11"/>
        <v>8</v>
      </c>
      <c r="AZ21" s="286">
        <f t="shared" si="17"/>
        <v>3</v>
      </c>
      <c r="BA21" s="99">
        <f t="shared" si="12"/>
        <v>-19</v>
      </c>
      <c r="BB21" s="291">
        <f t="shared" si="13"/>
        <v>15</v>
      </c>
      <c r="BC21" s="294">
        <f t="shared" si="14"/>
        <v>-19</v>
      </c>
      <c r="BD21" s="7">
        <f t="shared" si="15"/>
        <v>0</v>
      </c>
      <c r="BE21" s="218">
        <f t="shared" si="16"/>
        <v>48.188500210000001</v>
      </c>
      <c r="BF21" s="99">
        <f>IF(AP21="","",SMALL(BE$9:BE$62,ROWS(AZ$9:AZ21)))</f>
        <v>5.8969000900000008</v>
      </c>
      <c r="BG21" s="88"/>
      <c r="BH21" s="99" t="str">
        <f>IF(OR(AP21="",AZ21=""),"",INDEX($AP$9:$AP$63,MATCH(BF21,$BE$9:BE$62,0)))</f>
        <v>A1</v>
      </c>
      <c r="BI21" s="7">
        <f t="shared" si="0"/>
        <v>7</v>
      </c>
      <c r="BJ21" s="7">
        <f t="shared" si="1"/>
        <v>10</v>
      </c>
      <c r="BK21" s="7">
        <f t="shared" si="2"/>
        <v>31</v>
      </c>
      <c r="BL21" s="280">
        <f>IF(BF21="","",IF(AND(BI20=BI21,BJ20=BJ21,BK20=BK21),BL20,$BL$9+12))</f>
        <v>13</v>
      </c>
      <c r="BM21" s="29"/>
      <c r="BN21" s="3"/>
    </row>
    <row r="22" spans="1:66" ht="20.25">
      <c r="A22" s="131">
        <v>13</v>
      </c>
      <c r="B22" s="393" t="s">
        <v>78</v>
      </c>
      <c r="C22" s="272">
        <f>IF($Q$5&gt;=37,13,0)</f>
        <v>13</v>
      </c>
      <c r="D22" s="398" t="s">
        <v>96</v>
      </c>
      <c r="E22" s="272">
        <f>IF($Q$5&gt;=38,13,0)</f>
        <v>13</v>
      </c>
      <c r="F22" s="396" t="s">
        <v>114</v>
      </c>
      <c r="G22" s="272">
        <f>IF($Q$5&gt;=39,13,0)</f>
        <v>13</v>
      </c>
      <c r="H22" s="23"/>
      <c r="I22" s="196">
        <v>13</v>
      </c>
      <c r="J22" s="204" t="str">
        <f>IF(ISNA(MATCH(I22,$C$10:$C$27,0)),"",INDEX(B$10:$B$27,MATCH(I22,$C$10:$C$27,0)))</f>
        <v>A13</v>
      </c>
      <c r="K22" s="137" t="str">
        <f>IF(ISNA(MATCH(I22,$E$10:$E$27,0)),"",INDEX($D$10:D$27,MATCH(I22,$E$10:$E$27,0)))</f>
        <v>B13</v>
      </c>
      <c r="L22" s="188" t="str">
        <f>IF(ISNA(MATCH(I22,$G$10:$G$27,0)),"",INDEX($F$10:F$27,MATCH(I22,$G$10:$G$27,0)))</f>
        <v>C13</v>
      </c>
      <c r="N22" s="82">
        <v>7</v>
      </c>
      <c r="O22" s="147" t="str">
        <f>IF($Q$5=36,0,IF($Q$5=37,J22,IF($Q$5=38,J22,IF($Q$5=39,J22,IF($Q$5=40,J22,IF($Q$5=41,J22,IF($Q$5=42,J22,IF($Q$5=43,J22,IF($Q$5=44,J22,IF($Q$5=45,J22,IF($Q$5=46,J22,IF($Q$5=47,J22,IF($Q$5=48,J22,IF($Q$5=49,J22,IF($Q$5=50,J22,IF($Q$5=51,J22,IF($Q$5=52,J22,IF($Q$5=53,J22,IF($Q$5=54,J22,0)))))))))))))))))))</f>
        <v>A13</v>
      </c>
      <c r="P22" s="151" t="str">
        <f>IF($Q$5=36,0,IF($Q$5=37,L20,IF($Q$5=38,L20,IF($Q$5=39,L21,IF($Q$5=40,K22,IF($Q$5=41,K22,IF($Q$5=42,K22,IF($Q$5=43,K22,IF($Q$5=44,K22,IF($Q$5=45,K22,IF($Q$5=46,K22,IF($Q$5=47,K22,IF($Q$5=48,K22,IF($Q$5=49,K22,IF($Q$5=50,K22,IF($Q$5=51,K22,IF($Q$5=52,K22,IF($Q$5=53,K22,IF($Q$5=54,K22,0)))))))))))))))))))</f>
        <v>B13</v>
      </c>
      <c r="Q22" s="148" t="str">
        <f>IF($Q$5=39,0,IF($Q$5=40,0,IF($Q$5=41,L22,IF($Q$5=42,L22,IF($Q$5=43,0,IF($Q$5=44,0,IF($Q$5=45,L22,IF($Q$5=46,L22,IF($Q$5=47,L22,IF($Q$5=48,L22,IF($Q$5=49,L22,IF($Q$5=50,L22,IF($Q$5=51,L22,IF($Q$5=52,L22,IF($Q$5=53,L22,IF($Q$5=54,L22,0))))))))))))))))</f>
        <v>C13</v>
      </c>
      <c r="R22" s="165" t="str">
        <f>IF($Q$5=33,0,IF($Q$5=34,0,IF($Q$5=35,0,IF($Q$5=36,0,IF($Q$5=37,J10,IF($Q$5=38,J10,IF($Q$5=39,J10,IF($Q$5=40,J23,IF($Q$5=41,J23,IF($Q$5=42,J23,IF($Q$5=43,J23,IF($Q$5=44,J23,IF($Q$5=45,J23,IF($Q$5=46,J23,IF($Q$5=47,J23,IF($Q$5=48,J23,IF($Q$5=49,J23,IF($Q$5=50,J23,IF($Q$5=51,J23,IF($Q$5=52,J23,IF($Q$5=53,J23,IF($Q$5=54,J23,0))))))))))))))))))))))</f>
        <v>A14</v>
      </c>
      <c r="S22" s="157" t="str">
        <f>IF($Q$5=37,L11,IF($Q$5=38,L11,IF($Q$5=39,P23,IF($Q$5=40,K11,IF($Q$5=41,K10,IF($Q$5=42,K10,IF($Q$5=43,K10,IF($Q$5=44,P10,IF($Q$5=45,P11,IF($Q$5=46,K24,IF($Q$5=47,K24,IF($Q$5=48,K24,IF($Q$5=49,K24,IF($Q$5=50,K24,IF($Q$5=51,K24,IF($Q$5=52,K24,IF($Q$5=53,K24,IF($Q$5=54,K24,0))))))))))))))))))</f>
        <v>B15</v>
      </c>
      <c r="T22" s="179" t="str">
        <f>IF($Q$5=41,L12,IF($Q$5=42,L11,IF($Q$5=43,0,IF($Q$5=44,0,IF($Q$5=45,L10,IF($Q$5=46,L10,IF($Q$5=47,L10,IF($Q$5=48,L25,IF($Q$5=49,L12,IF($Q$5=50,P27,IF($Q$5=51,L10,IF($Q$5=52,L25,IF($Q$5=53,L25,IF($Q$5=54,L25,0))))))))))))))</f>
        <v>C16</v>
      </c>
      <c r="U22" s="167" t="str">
        <f>IF($Q$5=37,O11,IF($Q$5=38,R10,IF($Q$5=39,R10,IF($Q$5=40,R23,IF($Q$5=41,R23,IF($Q$5=42,R23,IF($Q$5=43,R23,IF($Q$5=44,O24,IF($Q$5=45,R23,IF($Q$5=46,R23,IF($Q$5=47,R23,IF($Q$5=48,R23,IF($Q$5=49,R23,IF($Q$5=50,R23,IF($Q$5=51,R23,IF($Q$5=52,R23,IF($Q$5=53,R23,IF($Q$5=54,O24,0))))))))))))))))))</f>
        <v>A15</v>
      </c>
      <c r="V22" s="163" t="str">
        <f>IF($Q$5=37,T11,IF($Q$5=38,T12,IF($Q$5=39,T11,IF($Q$5=40,S11,IF($Q$5=41,S10,IF($Q$5=42,S10,IF($Q$5=43,S10,IF($Q$5=44,S25,IF($Q$5=45,S11,IF($Q$5=46,S24,IF($Q$5=47,S24,IF($Q$5=48,S24,IF($Q$5=49,S24,IF($Q$5=50,S11,IF($Q$5=51,S11,IF($Q$5=52,S24,IF($Q$5=53,S24,IF($Q$5=54,S24,0))))))))))))))))))</f>
        <v>B17</v>
      </c>
      <c r="W22" s="173" t="str">
        <f>IF($Q$5=41,T12,IF($Q$5=42,T11,IF($Q$5=43,0,IF($Q$5=44,0,IF($Q$5=45,T10,IF($Q$5=46,T10,IF($Q$5=47,T10,IF($Q$5=48,T25,IF($Q$5=49,T12,IF($Q$5=50,S27,IF($Q$5=51,T23,IF($Q$5=52,T24,IF($Q$5=53,T25,IF($Q$5=54,T25,0))))))))))))))</f>
        <v>C1</v>
      </c>
      <c r="X22" s="23"/>
      <c r="Y22" s="447"/>
      <c r="Z22" s="32"/>
      <c r="AA22" s="21" t="s">
        <v>5</v>
      </c>
      <c r="AB22" s="21"/>
      <c r="AC22" s="22"/>
      <c r="AD22" s="1"/>
      <c r="AE22" s="32"/>
      <c r="AF22" s="21" t="s">
        <v>5</v>
      </c>
      <c r="AG22" s="21"/>
      <c r="AH22" s="22"/>
      <c r="AI22" s="1"/>
      <c r="AJ22" s="32"/>
      <c r="AK22" s="21" t="s">
        <v>5</v>
      </c>
      <c r="AL22" s="21"/>
      <c r="AM22" s="22"/>
      <c r="AN22" s="23"/>
      <c r="AO22" s="54">
        <v>14</v>
      </c>
      <c r="AP22" s="321" t="str">
        <f>+Inscrits!B16</f>
        <v>A14</v>
      </c>
      <c r="AQ22" s="286">
        <f t="shared" si="3"/>
        <v>3</v>
      </c>
      <c r="AR22" s="99">
        <f t="shared" si="4"/>
        <v>11</v>
      </c>
      <c r="AS22" s="219">
        <f t="shared" si="5"/>
        <v>13</v>
      </c>
      <c r="AT22" s="289">
        <f t="shared" si="6"/>
        <v>1</v>
      </c>
      <c r="AU22" s="99">
        <f t="shared" si="7"/>
        <v>-1</v>
      </c>
      <c r="AV22" s="291">
        <f t="shared" si="8"/>
        <v>11</v>
      </c>
      <c r="AW22" s="286">
        <f t="shared" si="9"/>
        <v>3</v>
      </c>
      <c r="AX22" s="99">
        <f t="shared" si="10"/>
        <v>3</v>
      </c>
      <c r="AY22" s="291">
        <f t="shared" si="11"/>
        <v>11</v>
      </c>
      <c r="AZ22" s="286">
        <f t="shared" si="17"/>
        <v>7</v>
      </c>
      <c r="BA22" s="99">
        <f t="shared" si="12"/>
        <v>13</v>
      </c>
      <c r="BB22" s="291">
        <f t="shared" si="13"/>
        <v>35</v>
      </c>
      <c r="BC22" s="294">
        <f t="shared" si="14"/>
        <v>0</v>
      </c>
      <c r="BD22" s="7">
        <f t="shared" si="15"/>
        <v>13</v>
      </c>
      <c r="BE22" s="218">
        <f t="shared" si="16"/>
        <v>5.8665002200000007</v>
      </c>
      <c r="BF22" s="99">
        <f>IF(AP22="","",SMALL(BE$9:BE$62,ROWS(AZ$9:AZ22)))</f>
        <v>5.9064004900000002</v>
      </c>
      <c r="BG22" s="88"/>
      <c r="BH22" s="99" t="str">
        <f>IF(OR(AP22="",AZ22=""),"",INDEX($AP$9:$AP$63,MATCH(BF22,$BE$9:BE$62,0)))</f>
        <v>C5</v>
      </c>
      <c r="BI22" s="7">
        <f t="shared" si="0"/>
        <v>7</v>
      </c>
      <c r="BJ22" s="7">
        <f t="shared" si="1"/>
        <v>9</v>
      </c>
      <c r="BK22" s="7">
        <f t="shared" si="2"/>
        <v>36</v>
      </c>
      <c r="BL22" s="280">
        <f>IF(BF22="","",IF(AND(BI21=BI22,BJ21=BJ22,BK21=BK22),BL21,$BL$9+13))</f>
        <v>14</v>
      </c>
      <c r="BM22" s="29"/>
      <c r="BN22" s="3"/>
    </row>
    <row r="23" spans="1:66" ht="21" thickBot="1">
      <c r="A23" s="131">
        <v>14</v>
      </c>
      <c r="B23" s="393" t="s">
        <v>79</v>
      </c>
      <c r="C23" s="274">
        <f>IF($Q$5&gt;=40,14,0)</f>
        <v>14</v>
      </c>
      <c r="D23" s="398" t="s">
        <v>97</v>
      </c>
      <c r="E23" s="274">
        <f>IF($Q$5&gt;=41,14,0)</f>
        <v>14</v>
      </c>
      <c r="F23" s="396" t="s">
        <v>115</v>
      </c>
      <c r="G23" s="274">
        <f>IF($Q$5&gt;=42,14,0)</f>
        <v>14</v>
      </c>
      <c r="H23" s="23"/>
      <c r="I23" s="196">
        <v>14</v>
      </c>
      <c r="J23" s="204" t="str">
        <f>IF(ISNA(MATCH(I23,$C$10:$C$27,0)),"",INDEX(B$10:$B$27,MATCH(I23,$C$10:$C$27,0)))</f>
        <v>A14</v>
      </c>
      <c r="K23" s="137" t="str">
        <f>IF(ISNA(MATCH(I23,$E$10:$E$27,0)),"",INDEX($D$10:D$27,MATCH(I23,$E$10:$E$27,0)))</f>
        <v>B14</v>
      </c>
      <c r="L23" s="188" t="str">
        <f>IF(ISNA(MATCH(I23,$G$10:$G$27,0)),"",INDEX($F$10:F$27,MATCH(I23,$G$10:$G$27,0)))</f>
        <v>C14</v>
      </c>
      <c r="N23" s="52" t="s">
        <v>5</v>
      </c>
      <c r="O23" s="141" t="str">
        <f>IF($Q$5=36,0,IF($Q$5=37,K21,IF($Q$5=38,K22,IF($Q$5=39,K22,IF($Q$5=40,J23,IF($Q$5=41,J23,IF($Q$5=42,J23,IF($Q$5=43,J23,IF($Q$5=44,J23,IF($Q$5=45,J23,IF($Q$5=46,J23,IF($Q$5=47,J23,IF($Q$5=48,J23,IF($Q$5=49,J23,IF($Q$5=50,J23,IF($Q$5=51,J23,IF($Q$5=52,J23,IF($Q$5=53,J23,IF($Q$5=54,J23,0)))))))))))))))))))</f>
        <v>A14</v>
      </c>
      <c r="P23" s="149" t="str">
        <f>IF($Q$5=36,0,IF($Q$5=37,L19,IF($Q$5=38,L21,IF($Q$5=39,L22,IF($Q$5=40,L22,IF($Q$5=41,K23,IF($Q$5=42,K23,IF($Q$5=43,L22,IF($Q$5=44,K23,IF($Q$5=45,K23,IF($Q$5=46,K2:K23,IF($Q$5=47,K23,IF($Q$5=48,K23,IF($Q$5=49,K23,IF($Q$5=50,K23,IF($Q$5=51,K23,IF($Q$5=52,K23,IF($Q$5=53,K23,IF($Q$5=54,K23,0)))))))))))))))))))</f>
        <v>B14</v>
      </c>
      <c r="Q23" s="143" t="str">
        <f>IF($Q$5=40,0,IF($Q$5=41,0,IF($Q$5=42,L23,IF($Q$5=43,0,IF($Q$5=44,0,IF($Q$5=45,0,IF($Q$5=46,L23,IF($Q$5=47,L23,IF($Q$5=48,L23,IF($Q$5=49,0,IF($Q$5=50,L23,IF($Q$5=51,L23,IF($Q$5=52,L23,IF($Q$5=53,L23,IF($Q$5=54,L23,0)))))))))))))))</f>
        <v>C14</v>
      </c>
      <c r="R23" s="170" t="str">
        <f>IF($Q$5=37,O23,IF($Q$5=38,O23,IF($Q$5=39,O23,IF($Q$5=40,J10,IF($Q$5=41,J10,IF($Q$5=42,J10,IF($Q$5=43,J24,IF($Q$5=44,J24,IF($Q$5=45,J24,IF($Q$5=46,J24,IF($Q$5=47,J24,IF($Q$5=48,J24,IF($Q$5=49,J24,IF($Q$5=50,J24,IF($Q$5=51,J24,IF($Q$5=52,J24,IF($Q$5=53,J24,IF($Q$5=54,J24,0))))))))))))))))))</f>
        <v>A15</v>
      </c>
      <c r="S23" s="171" t="str">
        <f>IF($Q$5=37,L12,IF($Q$5=38,L12,IF($Q$5=39,P22,IF($Q$5=40,L12,IF($Q$5=41,K11,IF($Q$5=42,K11,IF($Q$5=43,L11,IF($Q$5=44,L11,IF($Q$5=45,K10,IF($Q$5=46,K10,IF($Q$5=47,K25,IF($Q$5=48,K25,IF($Q$5=49,P11,IF($Q$5=50,K25,IF($Q$5=51,K25,IF($Q$5=52,K25,IF($Q$5=53,K25,IF($Q$5=54,K25,0))))))))))))))))))</f>
        <v>B16</v>
      </c>
      <c r="T23" s="181" t="str">
        <f>IF($Q$5=42,L12,IF($Q$5=46,L11,IF($Q$5=47,L11,IF($Q$5=48,L10,IF($Q$5=49,0,IF($Q$5=50,L10,IF($Q$5=51,L11,IF($Q$5=52,L10,IF($Q$5=53,L26,IF($Q$5=54,L26,0))))))))))</f>
        <v>C17</v>
      </c>
      <c r="U23" s="210" t="str">
        <f>IF($Q$5=32,0,IF($Q$5=33,0,IF($Q$5=34,0,IF($Q$5=35,0,IF($Q$5=36,0,IF($Q$5=37,R23,IF($Q$5=38,R23,IF($Q$5=39,R23,IF($Q$5=40,R10,IF($Q$5=41,R10,IF($Q$5=42,R10,IF($Q$5=43,R24,IF($Q$5=44,R24,IF($Q$5=45,R24,IF($Q$5=46,R24,IF($Q$5=47,R24,IF($Q$5=48,R24,IF($Q$5=49,R24,IF($Q$5=50,R24,IF($Q$5=51,R24,IF($Q$5=52,R24,IF($Q$5=53,R24,IF($Q$5=54,O25,0)))))))))))))))))))))))</f>
        <v>A16</v>
      </c>
      <c r="V23" s="176" t="str">
        <f>IF($Q$5=37,T12,IF($Q$5=38,T11,IF($Q$5=39,T12,IF($Q$5=40,T12,IF($Q$5=41,S11,IF($Q$5=42,S11,IF($Q$5=43,T12,IF($Q$5=44,S10,IF($Q$5=45,S10,IF($Q$5=46,S10,IF($Q$5=47,S25,IF($Q$5=48,S25,IF($Q$5=49,S11,IF($Q$5=50,S24,IF($Q$5=51,S24,IF($Q$5=52,S25,IF($Q$5=53,S25,IF($Q$5=54,S25,0))))))))))))))))))</f>
        <v>B18</v>
      </c>
      <c r="W23" s="177" t="str">
        <f>IF($Q$5=42,T12,IF($Q$5=43,0,IF($Q$5=44,0,IF($Q$5=45,0,IF($Q$5=46,T11,IF($Q$5=47,T11,IF($Q$5=48,T10,IF($Q$5=49,0,IF($Q$5=50,T10,IF($Q$5=51,T24,IF($Q$5=52,T25,IF($Q$5=53,T26,IF($Q$5=54,T26,0)))))))))))))</f>
        <v>C2</v>
      </c>
      <c r="X23" s="23"/>
      <c r="Y23" s="447"/>
      <c r="Z23" s="14" t="str">
        <f>+O13</f>
        <v>A4</v>
      </c>
      <c r="AA23" s="35">
        <v>11</v>
      </c>
      <c r="AB23" s="30">
        <f>IF(AA19+AA23=0,0,IF(AA19=AA23,2,IF(AA19&lt;AA23,3,1)))</f>
        <v>3</v>
      </c>
      <c r="AC23" s="15">
        <f>AA23-AA19</f>
        <v>7</v>
      </c>
      <c r="AD23" s="9"/>
      <c r="AE23" s="14" t="str">
        <f>+R13</f>
        <v>A5</v>
      </c>
      <c r="AF23" s="127">
        <v>9</v>
      </c>
      <c r="AG23" s="30">
        <f>IF(AF19+AF23=0,0,IF(AF19=AF23,2,IF(AF19&lt;AF23,3,1)))</f>
        <v>3</v>
      </c>
      <c r="AH23" s="15">
        <f>AF23-AF19</f>
        <v>3</v>
      </c>
      <c r="AI23" s="9"/>
      <c r="AJ23" s="14" t="str">
        <f>+U13</f>
        <v>A6</v>
      </c>
      <c r="AK23" s="37">
        <v>12</v>
      </c>
      <c r="AL23" s="30">
        <f>IF(AK19+AK23=0,0,IF(AK19=AK23,2,IF(AK19&lt;AK23,3,1)))</f>
        <v>3</v>
      </c>
      <c r="AM23" s="15">
        <f>AK23-AK19</f>
        <v>8</v>
      </c>
      <c r="AN23" s="23"/>
      <c r="AO23" s="54">
        <v>15</v>
      </c>
      <c r="AP23" s="321" t="str">
        <f>+Inscrits!B17</f>
        <v>A15</v>
      </c>
      <c r="AQ23" s="286">
        <f t="shared" si="3"/>
        <v>1</v>
      </c>
      <c r="AR23" s="99">
        <f t="shared" si="4"/>
        <v>-4</v>
      </c>
      <c r="AS23" s="219">
        <f t="shared" si="5"/>
        <v>8</v>
      </c>
      <c r="AT23" s="289">
        <f t="shared" si="6"/>
        <v>3</v>
      </c>
      <c r="AU23" s="99">
        <f t="shared" si="7"/>
        <v>1</v>
      </c>
      <c r="AV23" s="291">
        <f t="shared" si="8"/>
        <v>12</v>
      </c>
      <c r="AW23" s="286">
        <f t="shared" si="9"/>
        <v>3</v>
      </c>
      <c r="AX23" s="99">
        <f t="shared" si="10"/>
        <v>3</v>
      </c>
      <c r="AY23" s="291">
        <f t="shared" si="11"/>
        <v>10</v>
      </c>
      <c r="AZ23" s="286">
        <f t="shared" si="17"/>
        <v>7</v>
      </c>
      <c r="BA23" s="99">
        <f t="shared" si="12"/>
        <v>0</v>
      </c>
      <c r="BB23" s="291">
        <f t="shared" si="13"/>
        <v>30</v>
      </c>
      <c r="BC23" s="294">
        <f t="shared" si="14"/>
        <v>0</v>
      </c>
      <c r="BD23" s="7">
        <f t="shared" si="15"/>
        <v>0</v>
      </c>
      <c r="BE23" s="218">
        <f t="shared" si="16"/>
        <v>5.9970002300000003</v>
      </c>
      <c r="BF23" s="99">
        <f>IF(AP23="","",SMALL(BE$9:BE$62,ROWS(AZ$9:AZ23)))</f>
        <v>5.9168005500000005</v>
      </c>
      <c r="BG23" s="88"/>
      <c r="BH23" s="99" t="str">
        <f>IF(OR(AP23="",AZ23=""),"",INDEX($AP$9:$AP$63,MATCH(BF23,$BE$9:BE$62,0)))</f>
        <v>C11</v>
      </c>
      <c r="BI23" s="7">
        <f t="shared" si="0"/>
        <v>7</v>
      </c>
      <c r="BJ23" s="7">
        <f t="shared" si="1"/>
        <v>8</v>
      </c>
      <c r="BK23" s="7">
        <f t="shared" si="2"/>
        <v>32</v>
      </c>
      <c r="BL23" s="280">
        <f>IF(BF23="","",IF(AND(BI22=BI23,BJ22=BJ23,BK22=BK23),BL22,$BL$9+14))</f>
        <v>15</v>
      </c>
      <c r="BM23" s="29"/>
      <c r="BN23" s="3"/>
    </row>
    <row r="24" spans="1:66" ht="21" thickBot="1">
      <c r="A24" s="131">
        <v>15</v>
      </c>
      <c r="B24" s="393" t="s">
        <v>80</v>
      </c>
      <c r="C24" s="274">
        <f>IF($Q$5&gt;=43,15,0)</f>
        <v>15</v>
      </c>
      <c r="D24" s="398" t="s">
        <v>98</v>
      </c>
      <c r="E24" s="274">
        <f>IF($Q$5&gt;=44,15,0)</f>
        <v>15</v>
      </c>
      <c r="F24" s="396" t="s">
        <v>116</v>
      </c>
      <c r="G24" s="274">
        <f>IF($Q$5&gt;=45,15,0)</f>
        <v>15</v>
      </c>
      <c r="H24" s="23"/>
      <c r="I24" s="196">
        <v>15</v>
      </c>
      <c r="J24" s="204" t="str">
        <f>IF(ISNA(MATCH(I24,$C$10:$C$27,0)),"",INDEX(B$10:$B$27,MATCH(I24,$C$10:$C$27,0)))</f>
        <v>A15</v>
      </c>
      <c r="K24" s="137" t="str">
        <f>IF(ISNA(MATCH(I24,$E$10:$E$27,0)),"",INDEX($D$10:D$27,MATCH(I24,$E$10:$E$27,0)))</f>
        <v>B15</v>
      </c>
      <c r="L24" s="188" t="str">
        <f>IF(ISNA(MATCH(I24,$G$10:$G$27,0)),"",INDEX($F$10:F$27,MATCH(I24,$G$10:$G$27,0)))</f>
        <v>C15</v>
      </c>
      <c r="N24" s="82">
        <v>8</v>
      </c>
      <c r="O24" s="147" t="str">
        <f>IF($Q$5=43,J24,IF($Q$5=44,J24,IF($Q$5=45,J24,IF($Q$5=46,J24,IF($Q$5=47,J24,IF($Q$5=48,J24,IF($Q$5=49,J24,IF($Q$5=50,J24,IF($Q$5=51,J24,IF($Q$5=52,J24,IF($Q$5=53,J24,IF($Q$5=54,J24,0))))))))))))</f>
        <v>A15</v>
      </c>
      <c r="P24" s="142" t="str">
        <f>IF($Q$5=43,L23,IF($Q$5=44,L22,IF($Q$5=45,L23,IF($Q$5=46,K24,IF($Q$5=47,K24,IF($Q$5=48,K24,IF($Q$5=49,K24,IF($Q$5=50,K24,IF($Q$5=51,K24,IF($Q$5=52,K24,IF($Q$5=53,K24,IF($Q$5=54,K24,0))))))))))))</f>
        <v>B15</v>
      </c>
      <c r="Q24" s="148" t="str">
        <f>IF($Q$5=43,0,IF($Q$5=44,0,IF($Q$5=45,0,IF($Q$5=46,0,IF($Q$5=47,L24,IF($Q$5=48,L24,IF($Q$5=49,0,IF($Q$5=50,0,IF($Q$5=51,L24,IF($Q$5=52,L24,IF($Q$5=53,L24,IF($Q$5=54,L24,0))))))))))))</f>
        <v>C15</v>
      </c>
      <c r="R24" s="165" t="str">
        <f>IF($Q$5=43,J10,IF($Q$5=44,J10,IF($Q$5=45,J10,IF($Q$5=46,J25,IF($Q$5=47,J25,IF($Q$5=48,J25,IF($Q$5=49,J25,IF($Q$5=50,J25,IF($Q$5=51,J25,IF($Q$5=52,J25,IF($Q$5=53,J25,IF($Q$5=54,J25,0))))))))))))</f>
        <v>A16</v>
      </c>
      <c r="S24" s="157" t="str">
        <f>IF($Q$5=43,L12,IF($Q$5=44,L12,IF($Q$5=45,L11,IF($Q$5=46,K11,IF($Q$5=47,K10,IF($Q$5=48,K10,IF($Q$5=49,K10,IF($Q$5=50,K10,IF($Q$5=51,K10,IF($Q$5=52,K26,IF($Q$5=53,K26,IF($Q$5=54,K26,0))))))))))))</f>
        <v>B17</v>
      </c>
      <c r="T24" s="179" t="str">
        <f>IF($Q$5=47,L12,IF($Q$5=48,L11,IF($Q$5=49,0,IF($Q$5=50,0,IF($Q$5=51,L12,IF($Q$5=52,L11,IF($Q$5=53,L10,IF($Q$5=54,L27,0))))))))</f>
        <v>C18</v>
      </c>
      <c r="U24" s="165" t="str">
        <f>IF($Q$5=42,0,IF($Q$5=43,R10,IF($Q$5=44,R10,IF($Q$5=45,R10,IF($Q$5=46,R25,IF($Q$5=47,R25,IF($Q$5=48,O10,IF($Q$5=49,R25,IF($Q$5=50,R25,IF($Q$5=51,R25,IF($Q$5=52,R25,IF($Q$5=53,O26,IF($Q$5=54,O26,0)))))))))))))</f>
        <v>A17</v>
      </c>
      <c r="V24" s="163" t="str">
        <f>IF($Q$5=43,T10,IF($Q$5=44,T11,IF($Q$5=45,T11,IF($Q$5=46,S11,IF($Q$5=47,S10,IF($Q$5=48,S10,IF($Q$5=49,S10,IF($Q$5=50,S25,IF($Q$5=51,S25,IF($Q$5=52,S26,IF($Q$5=53,S26,IF($Q$5=54,S26,0))))))))))))</f>
        <v>B1</v>
      </c>
      <c r="W24" s="173" t="str">
        <f>IF($Q$5=47,T12,IF($Q$5=48,T11,IF($Q$5=49,0,IF($Q$5=50,0,IF($Q$5=51,T10,IF($Q$5=52,T10,IF($Q$5=53,T10,IF($Q$5=54,T27,0))))))))</f>
        <v>C3</v>
      </c>
      <c r="X24" s="23"/>
      <c r="Y24" s="447"/>
      <c r="Z24" s="14" t="str">
        <f>+P13</f>
        <v>B4</v>
      </c>
      <c r="AA24" s="69">
        <f>IF(ISTEXT(Z24),AA23,0)</f>
        <v>11</v>
      </c>
      <c r="AB24" s="18">
        <f>IF(ISTEXT(Z24),AB23,0)</f>
        <v>3</v>
      </c>
      <c r="AC24" s="62">
        <f>IF(ISTEXT(Z24),AC23,0)</f>
        <v>7</v>
      </c>
      <c r="AD24" s="11"/>
      <c r="AE24" s="14" t="str">
        <f>+S13</f>
        <v>B6</v>
      </c>
      <c r="AF24" s="18">
        <f>IF(ISTEXT(AE24),AF23,0)</f>
        <v>9</v>
      </c>
      <c r="AG24" s="18">
        <f>IF(ISTEXT(AE24),AG23,0)</f>
        <v>3</v>
      </c>
      <c r="AH24" s="62">
        <f>IF(ISTEXT(AE24),AH23,0)</f>
        <v>3</v>
      </c>
      <c r="AI24" s="11"/>
      <c r="AJ24" s="14" t="str">
        <f>+V13</f>
        <v>B8</v>
      </c>
      <c r="AK24" s="18">
        <f>IF(ISTEXT(AJ24),AK23,0)</f>
        <v>12</v>
      </c>
      <c r="AL24" s="18">
        <f>IF(ISTEXT(AJ24),AL23,0)</f>
        <v>3</v>
      </c>
      <c r="AM24" s="62">
        <f>IF(ISTEXT(AJ24),AM23,0)</f>
        <v>8</v>
      </c>
      <c r="AN24" s="23"/>
      <c r="AO24" s="54">
        <v>16</v>
      </c>
      <c r="AP24" s="321" t="str">
        <f>+Inscrits!B18</f>
        <v>A16</v>
      </c>
      <c r="AQ24" s="286">
        <f t="shared" si="3"/>
        <v>3</v>
      </c>
      <c r="AR24" s="99">
        <f t="shared" si="4"/>
        <v>4</v>
      </c>
      <c r="AS24" s="219">
        <f t="shared" si="5"/>
        <v>12</v>
      </c>
      <c r="AT24" s="289">
        <f t="shared" si="6"/>
        <v>3</v>
      </c>
      <c r="AU24" s="99">
        <f t="shared" si="7"/>
        <v>1</v>
      </c>
      <c r="AV24" s="291">
        <f t="shared" si="8"/>
        <v>10</v>
      </c>
      <c r="AW24" s="286">
        <f t="shared" si="9"/>
        <v>1</v>
      </c>
      <c r="AX24" s="99">
        <f t="shared" si="10"/>
        <v>-3</v>
      </c>
      <c r="AY24" s="291">
        <f t="shared" si="11"/>
        <v>7</v>
      </c>
      <c r="AZ24" s="286">
        <f t="shared" si="17"/>
        <v>7</v>
      </c>
      <c r="BA24" s="99">
        <f t="shared" si="12"/>
        <v>2</v>
      </c>
      <c r="BB24" s="291">
        <f t="shared" si="13"/>
        <v>29</v>
      </c>
      <c r="BC24" s="294">
        <f t="shared" si="14"/>
        <v>0</v>
      </c>
      <c r="BD24" s="7">
        <f t="shared" si="15"/>
        <v>2</v>
      </c>
      <c r="BE24" s="218">
        <f t="shared" si="16"/>
        <v>5.9771002400000004</v>
      </c>
      <c r="BF24" s="99">
        <f>IF(AP24="","",SMALL(BE$9:BE$62,ROWS(AZ$9:AZ24)))</f>
        <v>5.9373003100000004</v>
      </c>
      <c r="BG24" s="88"/>
      <c r="BH24" s="99" t="str">
        <f>IF(OR(AP24="",AZ24=""),"",INDEX($AP$9:$AP$63,MATCH(BF24,$BE$9:BE$62,0)))</f>
        <v>B5</v>
      </c>
      <c r="BI24" s="7">
        <f t="shared" si="0"/>
        <v>7</v>
      </c>
      <c r="BJ24" s="7">
        <f t="shared" si="1"/>
        <v>6</v>
      </c>
      <c r="BK24" s="7">
        <f t="shared" si="2"/>
        <v>27</v>
      </c>
      <c r="BL24" s="280">
        <f>IF(BF24="","",IF(AND(BI23=BI24,BJ23=BJ24,BK23=BK24),BL23,$BL$9+15))</f>
        <v>16</v>
      </c>
      <c r="BM24" s="29"/>
      <c r="BN24" s="3"/>
    </row>
    <row r="25" spans="1:66" ht="21" thickBot="1">
      <c r="A25" s="131">
        <v>16</v>
      </c>
      <c r="B25" s="393" t="s">
        <v>81</v>
      </c>
      <c r="C25" s="274">
        <f>IF($Q$5&gt;=46,16,0)</f>
        <v>16</v>
      </c>
      <c r="D25" s="398" t="s">
        <v>99</v>
      </c>
      <c r="E25" s="274">
        <f>IF($Q$5&gt;=47,16,0)</f>
        <v>16</v>
      </c>
      <c r="F25" s="396" t="s">
        <v>117</v>
      </c>
      <c r="G25" s="274">
        <f>IF($Q$5&gt;=48,16,0)</f>
        <v>16</v>
      </c>
      <c r="H25" s="23"/>
      <c r="I25" s="196">
        <v>16</v>
      </c>
      <c r="J25" s="204" t="str">
        <f>IF(ISNA(MATCH(I25,$C$10:$C$27,0)),"",INDEX(B$10:$B$27,MATCH(I25,$C$10:$C$27,0)))</f>
        <v>A16</v>
      </c>
      <c r="K25" s="137" t="str">
        <f>IF(ISNA(MATCH(I25,$E$10:$E$27,0)),"",INDEX($D$10:D$27,MATCH(I25,$E$10:$E$27,0)))</f>
        <v>B16</v>
      </c>
      <c r="L25" s="188" t="str">
        <f>IF(ISNA(MATCH(I25,$G$10:$G$27,0)),"",INDEX($F$10:F$27,MATCH(I25,$G$10:$G$27,0)))</f>
        <v>C16</v>
      </c>
      <c r="N25" s="52" t="s">
        <v>5</v>
      </c>
      <c r="O25" s="141" t="str">
        <f>IF($Q$5=43,K23,IF($Q$5=44,K24,IF($Q$5=45,K24,IF($Q$5=46,J25,IF($Q$5=47,J25,IF($Q$5=48,J25,IF($Q$5=49,J25,IF($Q$5=50,J25,IF($Q$5=51,J25,IF($Q$5=52,J25,IF($Q$5=53,J25,IF($Q$5=54,J25,0))))))))))))</f>
        <v>A16</v>
      </c>
      <c r="P25" s="146" t="str">
        <f>IF($Q$5=43,L21,IF($Q$5=44,L23,IF($Q$5=45,L24,IF($Q$5=46,L24,IF($Q$5=47,K25,IF($Q$5=48,K25,IF($Q$5=49,L25,IF($Q$5=50,K25,IF($Q$5=51,K25,IF($Q$5=52,K25,IF($Q$5=53,K25,IF($Q$5=54,K25,0))))))))))))</f>
        <v>B16</v>
      </c>
      <c r="Q25" s="143" t="str">
        <f>IF($Q$5=48,L25,IF($Q$5=49,0,IF($Q$5=50,0,IF($Q$5=51,0,IF($Q$5=52,L25,IF($Q$5=53,L25,IF($Q$5=54,L25,0)))))))</f>
        <v>C16</v>
      </c>
      <c r="R25" s="170" t="str">
        <f>IF($Q$5=43,O25,IF($Q$5=44,O25,IF($Q$5=45,O25,IF($Q$5=46,J10,IF($Q$5=47,J10,IF($Q$5=48,J10,IF($Q$5=49,J26,IF($Q$5=50,J26,IF($Q$5=51,J26,IF($Q$5=52,J26,IF($Q$5=53,J26,IF($Q$5=54,J26,0))))))))))))</f>
        <v>A17</v>
      </c>
      <c r="S25" s="171" t="str">
        <f>IF($Q$5=43,L10,IF($Q$5=44,K11,IF($Q$5=45,L12,IF($Q$5=46,L12,IF($Q$5=47,K11,IF($Q$5=48,K11,IF($Q$5=49,P27,IF($Q$5=50,K11,IF($Q$5=51,K11,IF($Q$5=52,K10,IF($Q$5=53,K27,IF($Q$5=54,K27,0))))))))))))</f>
        <v>B18</v>
      </c>
      <c r="T25" s="181" t="str">
        <f>IF($Q$5=48,L12,IF($Q$5=49,0,IF($Q$5=50,0,IF($Q$5=51,0,IF($Q$5=52,L12,IF($Q$5=53,L11,IF($Q$5=54,L10,0)))))))</f>
        <v>C1</v>
      </c>
      <c r="U25" s="184" t="str">
        <f>IF($Q$5=43,R25,IF($Q$5=44,R25,IF($Q$5=45,R25,IF($Q$5=46,R10,IF($Q$5=47,R10,IF($Q$5=48,R10,IF($Q$5=49,R26,IF($Q$5=50,R26,IF($Q$5=51,R26,IF($Q$5=52,O27,IF($Q$5=53,R26,IF($Q$5=54,O27,0))))))))))))</f>
        <v>A18</v>
      </c>
      <c r="V25" s="176" t="str">
        <f>IF($Q$5=43,T11,IF($Q$5=44,T12,IF($Q$5=45,T12,IF($Q$5=46,T12,IF($Q$5=47,S11,IF($Q$5=48,S11,IF($Q$5=49,S25,IF($Q$5=50,S10,IF($Q$5=51,S10,IF($Q$5=52,S10,IF($Q$5=53,S27,IF($Q$5=54,S27,0))))))))))))</f>
        <v>B2</v>
      </c>
      <c r="W25" s="177" t="str">
        <f>IF($Q$5=48,T12,IF($Q$5=49,0,IF($Q$5=50,0,IF($Q$5=51,0,IF($Q$5=52,T11,IF($Q$5=53,T11,IF($Q$5=54,T10,0)))))))</f>
        <v>C4</v>
      </c>
      <c r="X25" s="23"/>
      <c r="Y25" s="448"/>
      <c r="Z25" s="16" t="str">
        <f>+Q13</f>
        <v>C4</v>
      </c>
      <c r="AA25" s="69">
        <f>IF(ISTEXT(Z25),AA23,0)</f>
        <v>11</v>
      </c>
      <c r="AB25" s="18">
        <f>IF(ISTEXT(Z25),AB23,0)</f>
        <v>3</v>
      </c>
      <c r="AC25" s="62">
        <f>IF(ISTEXT(Z25),AC23,0)</f>
        <v>7</v>
      </c>
      <c r="AD25" s="11"/>
      <c r="AE25" s="16" t="str">
        <f>+T13</f>
        <v>C7</v>
      </c>
      <c r="AF25" s="18">
        <f>IF(ISTEXT(AE25),AF23,0)</f>
        <v>9</v>
      </c>
      <c r="AG25" s="18">
        <f>IF(ISTEXT(AE25),AG23,0)</f>
        <v>3</v>
      </c>
      <c r="AH25" s="62">
        <f>IF(ISTEXT(AE25),AH23,0)</f>
        <v>3</v>
      </c>
      <c r="AI25" s="11"/>
      <c r="AJ25" s="16" t="str">
        <f>+W13</f>
        <v>C10</v>
      </c>
      <c r="AK25" s="18">
        <f>IF(ISTEXT(AJ25),AK23,0)</f>
        <v>12</v>
      </c>
      <c r="AL25" s="18">
        <f>IF(ISTEXT(AJ25),AL23,0)</f>
        <v>3</v>
      </c>
      <c r="AM25" s="62">
        <f>IF(ISTEXT(AJ25),AM23,0)</f>
        <v>8</v>
      </c>
      <c r="AN25" s="23"/>
      <c r="AO25" s="54">
        <v>17</v>
      </c>
      <c r="AP25" s="321" t="str">
        <f>+Inscrits!B19</f>
        <v>A17</v>
      </c>
      <c r="AQ25" s="286">
        <f t="shared" si="3"/>
        <v>3</v>
      </c>
      <c r="AR25" s="99">
        <f t="shared" si="4"/>
        <v>6</v>
      </c>
      <c r="AS25" s="219">
        <f t="shared" si="5"/>
        <v>11</v>
      </c>
      <c r="AT25" s="289">
        <f t="shared" si="6"/>
        <v>1</v>
      </c>
      <c r="AU25" s="99">
        <f t="shared" si="7"/>
        <v>-1</v>
      </c>
      <c r="AV25" s="291">
        <f t="shared" si="8"/>
        <v>9</v>
      </c>
      <c r="AW25" s="286">
        <f t="shared" si="9"/>
        <v>3</v>
      </c>
      <c r="AX25" s="99">
        <f t="shared" si="10"/>
        <v>12</v>
      </c>
      <c r="AY25" s="291">
        <f t="shared" si="11"/>
        <v>13</v>
      </c>
      <c r="AZ25" s="286">
        <f t="shared" si="17"/>
        <v>7</v>
      </c>
      <c r="BA25" s="99">
        <f t="shared" si="12"/>
        <v>17</v>
      </c>
      <c r="BB25" s="291">
        <f t="shared" si="13"/>
        <v>33</v>
      </c>
      <c r="BC25" s="294">
        <f t="shared" si="14"/>
        <v>0</v>
      </c>
      <c r="BD25" s="7">
        <f t="shared" si="15"/>
        <v>17</v>
      </c>
      <c r="BE25" s="218">
        <f t="shared" si="16"/>
        <v>5.82670025</v>
      </c>
      <c r="BF25" s="99">
        <f>IF(AP25="","",SMALL(BE$9:BE$62,ROWS(AZ$9:AZ25)))</f>
        <v>5.94730019</v>
      </c>
      <c r="BG25" s="88"/>
      <c r="BH25" s="99" t="str">
        <f>IF(OR(AP25="",AZ25=""),"",INDEX($AP$9:$AP$63,MATCH(BF25,$BE$9:BE$62,0)))</f>
        <v>A11</v>
      </c>
      <c r="BI25" s="7">
        <f t="shared" si="0"/>
        <v>7</v>
      </c>
      <c r="BJ25" s="7">
        <f t="shared" si="1"/>
        <v>5</v>
      </c>
      <c r="BK25" s="7">
        <f t="shared" si="2"/>
        <v>27</v>
      </c>
      <c r="BL25" s="280">
        <f>IF(BF25="","",IF(AND(BI24=BI25,BJ24=BJ25,BK24=BK25),BL24,$BL$9+16))</f>
        <v>17</v>
      </c>
      <c r="BM25" s="29"/>
      <c r="BN25" s="3"/>
    </row>
    <row r="26" spans="1:66" ht="21" thickBot="1">
      <c r="A26" s="131">
        <v>17</v>
      </c>
      <c r="B26" s="393" t="s">
        <v>82</v>
      </c>
      <c r="C26" s="272">
        <f>IF($Q$5&gt;=49,17,0)</f>
        <v>17</v>
      </c>
      <c r="D26" s="398" t="s">
        <v>100</v>
      </c>
      <c r="E26" s="272">
        <f>IF($Q$5&gt;=50,17,0)</f>
        <v>17</v>
      </c>
      <c r="F26" s="396" t="s">
        <v>118</v>
      </c>
      <c r="G26" s="272">
        <f>IF($Q$5&gt;=51,17,0)</f>
        <v>17</v>
      </c>
      <c r="H26" s="134"/>
      <c r="I26" s="199">
        <v>17</v>
      </c>
      <c r="J26" s="205" t="str">
        <f>IF(ISNA(MATCH(I26,$C$10:$C$27,0)),"",INDEX(B$10:$B$27,MATCH(I26,$C$10:$C$27,0)))</f>
        <v>A17</v>
      </c>
      <c r="K26" s="200" t="str">
        <f>IF(ISNA(MATCH(I26,$E$10:$E$27,0)),"",INDEX($D$10:D$27,MATCH(I26,$E$10:$E$27,0)))</f>
        <v>B17</v>
      </c>
      <c r="L26" s="206" t="str">
        <f>IF(ISNA(MATCH(I26,$G$10:$G$27,0)),"",INDEX($F$10:F$27,MATCH(I26,$G$10:$G$27,0)))</f>
        <v>C17</v>
      </c>
      <c r="N26" s="82">
        <v>9</v>
      </c>
      <c r="O26" s="147" t="str">
        <f>IF($Q$5=49,J26,IF($Q$5=50,J26,IF($Q$5=51,J26,IF($Q$5=52,J26,IF($Q$5=53,J26,IF($Q$5=54,J26,0))))))</f>
        <v>A17</v>
      </c>
      <c r="P26" s="142" t="str">
        <f>IF($Q$5=49,L24,IF($Q$5=50,L24,IF($Q$5=51,L25,IF($Q$5=52,K26,IF($Q$5=53,K26,IF($Q$5=54,K26,0))))))</f>
        <v>B17</v>
      </c>
      <c r="Q26" s="148" t="str">
        <f>IF($Q$5=51,0,IF($Q$5=52,0,IF($Q$5=53,L26,IF($Q$5=54,L26,0))))</f>
        <v>C17</v>
      </c>
      <c r="R26" s="165" t="str">
        <f>IF($Q$5=43,0,IF($Q$5=44,0,IF($Q$5=45,0,IF($Q$5=46,0,IF($Q$5=47,0,IF($Q$5=48,0,IF($Q$5=49,O10,IF($Q$5=50,O10,IF($Q$5=51,O10,IF($Q$5=52,O27,IF($Q$5=53,O27,IF($Q$5=54,O27,0))))))))))))</f>
        <v>A18</v>
      </c>
      <c r="S26" s="157" t="str">
        <f>IF($Q$5=43,0,IF($Q$5=44,0,IF($Q$5=45,0,IF($Q$5=46,0,IF($Q$5=47,0,IF($Q$5=48,0,IF($Q$5=49,P26,IF($Q$5=50,Q11,IF($Q$5=51,P27,IF($Q$5=52,P11,IF($Q$5=53,P10,IF($Q$5=54,P10,0))))))))))))</f>
        <v>B1</v>
      </c>
      <c r="T26" s="212" t="str">
        <f>IF($Q$5=53,Q12,IF($Q$5=54,Q11,0))</f>
        <v>C2</v>
      </c>
      <c r="U26" s="215" t="str">
        <f>IF($Q$5=43,0,IF($Q$5=44,0,IF($Q$5=45,0,IF($Q$5=46,0,IF($Q$5=47,0,IF($Q$5=48,0,IF($Q$5=49,R10,IF($Q$5=50,R10,IF($Q$5=51,R10,IF($Q$5=52,R27,IF($Q$5=53,R27,IF($Q$5=54,R27,0))))))))))))</f>
        <v>A1</v>
      </c>
      <c r="V26" s="163" t="str">
        <f>IF($Q$5=43,0,IF($Q$5=44,0,IF($Q$5=45,0,IF($Q$5=46,0,IF($Q$5=47,0,IF($Q$5=48,0,IF($Q$5=49,S27,IF($Q$5=50,T11,IF($Q$5=51,T11,IF($Q$5=52,S11,IF($Q$5=53,S10,IF($Q$5=54,S10,0))))))))))))</f>
        <v>B3</v>
      </c>
      <c r="W26" s="173" t="str">
        <f>IF($Q$5=43,0,IF($Q$5=44,0,IF($Q$5=45,0,IF($Q$5=46,0,IF($Q$5=47,0,IF($Q$5=48,0,IF($Q$5=49,0,IF($Q$5=50,0,IF($Q$5=51,0,IF($Q$5=52,0,IF($Q$5=53,T12,IF($Q$5=54,T11,0))))))))))))</f>
        <v>C5</v>
      </c>
      <c r="X26" s="23"/>
      <c r="Y26" s="128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23"/>
      <c r="AO26" s="54">
        <v>18</v>
      </c>
      <c r="AP26" s="321" t="str">
        <f>+Inscrits!B20</f>
        <v>A18</v>
      </c>
      <c r="AQ26" s="286">
        <f t="shared" si="3"/>
        <v>1</v>
      </c>
      <c r="AR26" s="99">
        <f t="shared" si="4"/>
        <v>-6</v>
      </c>
      <c r="AS26" s="219">
        <f t="shared" si="5"/>
        <v>5</v>
      </c>
      <c r="AT26" s="289">
        <f t="shared" si="6"/>
        <v>1</v>
      </c>
      <c r="AU26" s="99">
        <f t="shared" si="7"/>
        <v>-8</v>
      </c>
      <c r="AV26" s="291">
        <f t="shared" si="8"/>
        <v>5</v>
      </c>
      <c r="AW26" s="286">
        <f t="shared" si="9"/>
        <v>1</v>
      </c>
      <c r="AX26" s="99">
        <f t="shared" si="10"/>
        <v>-12</v>
      </c>
      <c r="AY26" s="291">
        <f t="shared" si="11"/>
        <v>1</v>
      </c>
      <c r="AZ26" s="286">
        <f t="shared" si="17"/>
        <v>3</v>
      </c>
      <c r="BA26" s="99">
        <f t="shared" si="12"/>
        <v>-26</v>
      </c>
      <c r="BB26" s="291">
        <f t="shared" si="13"/>
        <v>11</v>
      </c>
      <c r="BC26" s="294">
        <f t="shared" si="14"/>
        <v>-26</v>
      </c>
      <c r="BD26" s="7">
        <f t="shared" si="15"/>
        <v>0</v>
      </c>
      <c r="BE26" s="218">
        <f t="shared" si="16"/>
        <v>48.258900259999997</v>
      </c>
      <c r="BF26" s="99">
        <f>IF(AP26="","",SMALL(BE$9:BE$62,ROWS(AZ$9:AZ26)))</f>
        <v>5.9569006099999999</v>
      </c>
      <c r="BG26" s="88"/>
      <c r="BH26" s="99" t="str">
        <f>IF(OR(AP26="",AZ26=""),"",INDEX($AP$9:$AP$63,MATCH(BF26,$BE$9:BE$62,0)))</f>
        <v>C17</v>
      </c>
      <c r="BI26" s="7">
        <f t="shared" si="0"/>
        <v>7</v>
      </c>
      <c r="BJ26" s="7">
        <f t="shared" si="1"/>
        <v>4</v>
      </c>
      <c r="BK26" s="7">
        <f t="shared" si="2"/>
        <v>31</v>
      </c>
      <c r="BL26" s="280">
        <f>IF(BF26="","",IF(AND(BI25=BI26,BJ25=BJ26,BK25=BK26),BL25,$BL$9+17))</f>
        <v>18</v>
      </c>
      <c r="BM26" s="29"/>
      <c r="BN26" s="3"/>
    </row>
    <row r="27" spans="1:66" ht="21" thickBot="1">
      <c r="A27" s="197">
        <v>18</v>
      </c>
      <c r="B27" s="394" t="s">
        <v>83</v>
      </c>
      <c r="C27" s="275">
        <f>IF($Q$5&gt;=52,18,0)</f>
        <v>18</v>
      </c>
      <c r="D27" s="401" t="s">
        <v>101</v>
      </c>
      <c r="E27" s="275">
        <f>IF($Q$5&gt;=53,18,0)</f>
        <v>18</v>
      </c>
      <c r="F27" s="402" t="s">
        <v>119</v>
      </c>
      <c r="G27" s="275">
        <f>IF($Q$5&gt;=54,18,0)</f>
        <v>18</v>
      </c>
      <c r="H27" s="134"/>
      <c r="I27" s="198">
        <v>18</v>
      </c>
      <c r="J27" s="207" t="str">
        <f>IF(ISNA(MATCH(I27,$C$10:$C$27,0)),"",INDEX(B$10:$B$27,MATCH(I27,$C$10:$C$27,0)))</f>
        <v>A18</v>
      </c>
      <c r="K27" s="189" t="str">
        <f>IF(ISNA(MATCH(I27,$E$10:$E$27,0)),"",INDEX($D$10:D$27,MATCH(I27,$E$10:$E$27,0)))</f>
        <v>B18</v>
      </c>
      <c r="L27" s="190" t="str">
        <f>IF(ISNA(MATCH(I27,$G$10:$G$27,0)),"",INDEX($F$10:F$27,MATCH(I27,$G$10:$G$27,0)))</f>
        <v>C18</v>
      </c>
      <c r="N27" s="52" t="s">
        <v>5</v>
      </c>
      <c r="O27" s="141" t="str">
        <f>IF($Q$5=49,K25,IF($Q$5=50,K26,IF($Q$5=51,K26,IF($Q$5=52,J27,IF($Q$5=53,J27,IF($Q$5=54,J27,0))))))</f>
        <v>A18</v>
      </c>
      <c r="P27" s="146" t="str">
        <f>IF($Q$5=49,L23,IF($Q$5=50,L25,IF($Q$5=51,L26,IF($Q$5=52,L26,IF($Q$5=53,K27,IF($Q$5=54,K27,0))))))</f>
        <v>B18</v>
      </c>
      <c r="Q27" s="211" t="str">
        <f>IF($Q$5=54,L27,0)</f>
        <v>C18</v>
      </c>
      <c r="R27" s="213" t="str">
        <f>IF($Q$5=43,0,IF($Q$5=44,0,IF($Q$5=45,0,IF($Q$5=46,0,IF($Q$5=47,0,IF($Q$5=48,0,IF($Q$5=49,O27,IF($Q$5=50,O27,IF($Q$5=51,O27,IF($Q$5=52,O10,IF($Q$5=53,O10,IF($Q$5=54,O10,0))))))))))))</f>
        <v>A1</v>
      </c>
      <c r="S27" s="146" t="str">
        <f>IF($Q$5=43,0,IF($Q$5=44,0,IF($Q$5=45,0,IF($Q$5=46,0,IF($Q$5=47,0,IF($Q$5=48,0,IF($Q$5=49,P25,IF($Q$5=50,Q12,IF($Q$5=51,P26,IF($Q$5=52,P27,IF($Q$5=53,P11,IF($Q$5=54,P11,0))))))))))))</f>
        <v>B2</v>
      </c>
      <c r="T27" s="214" t="str">
        <f>IF($Q$5=54,Q12,0)</f>
        <v>C3</v>
      </c>
      <c r="U27" s="216" t="str">
        <f>IF($Q$5=43,0,IF($Q$5=44,0,IF($Q$5=45,0,IF($Q$5=46,0,IF($Q$5=47,0,IF($Q$5=48,0,IF($Q$5=49,R27,IF($Q$5=50,R27,IF($Q$5=51,R27,IF($Q$5=52,R10,IF($Q$5=53,R10,IF($Q$5=54,R10,0))))))))))))</f>
        <v>A2</v>
      </c>
      <c r="V27" s="176" t="str">
        <f>IF($Q$5=43,0,IF($Q$5=44,0,IF($Q$5=45,0,IF($Q$5=46,0,IF($Q$5=47,0,IF($Q$5=48,0,IF($Q$5=49,S26,IF($Q$5=50,T12,IF($Q$5=51,T12,IF($Q$5=52,T12,IF($Q$5=53,S11,IF($Q$5=54,S11,0))))))))))))</f>
        <v>B4</v>
      </c>
      <c r="W27" s="177" t="str">
        <f>IF($Q$5=43,0,IF($Q$5=44,0,IF($Q$5=45,0,IF($Q$5=46,0,IF($Q$5=47,0,IF($Q$5=48,0,IF($Q$5=49,0,IF($Q$5=50,0,IF($Q$5=51,0,IF($Q$5=52,0,IF($Q$5=53,0,IF($Q$5=54,T12,0))))))))))))</f>
        <v>C6</v>
      </c>
      <c r="X27" s="23"/>
      <c r="Y27" s="446">
        <v>3</v>
      </c>
      <c r="Z27" s="12" t="str">
        <f>+O14</f>
        <v>A5</v>
      </c>
      <c r="AA27" s="33">
        <v>13</v>
      </c>
      <c r="AB27" s="48">
        <f>IF(AA27+AA31=0,0,IF(AA27=AA31,2,IF(AA27&gt;AA31,3,1)))</f>
        <v>3</v>
      </c>
      <c r="AC27" s="13">
        <f>AA27-AA31</f>
        <v>6</v>
      </c>
      <c r="AD27" s="9"/>
      <c r="AE27" s="12" t="str">
        <f>+R14</f>
        <v>A6</v>
      </c>
      <c r="AF27" s="126">
        <v>13</v>
      </c>
      <c r="AG27" s="48">
        <f>IF(AF27+AF31=0,0,IF(AF27=AF31,2,IF(AF27&gt;AF31,3,1)))</f>
        <v>3</v>
      </c>
      <c r="AH27" s="13">
        <f>AF27-AF31</f>
        <v>11</v>
      </c>
      <c r="AI27" s="9"/>
      <c r="AJ27" s="12" t="str">
        <f>+U14</f>
        <v>A7</v>
      </c>
      <c r="AK27" s="36">
        <v>11</v>
      </c>
      <c r="AL27" s="48">
        <f>IF(AK27+AK31=0,0,IF(AK27=AK31,2,IF(AK27&gt;AK31,3,1)))</f>
        <v>3</v>
      </c>
      <c r="AM27" s="13">
        <f>AK27-AK31</f>
        <v>5</v>
      </c>
      <c r="AN27" s="23"/>
      <c r="AO27" s="54">
        <v>19</v>
      </c>
      <c r="AP27" s="322" t="str">
        <f>+Inscrits!D3</f>
        <v>B1</v>
      </c>
      <c r="AQ27" s="286">
        <f t="shared" si="3"/>
        <v>1</v>
      </c>
      <c r="AR27" s="99">
        <f t="shared" si="4"/>
        <v>-3</v>
      </c>
      <c r="AS27" s="219">
        <f t="shared" si="5"/>
        <v>5</v>
      </c>
      <c r="AT27" s="289">
        <f t="shared" si="6"/>
        <v>1</v>
      </c>
      <c r="AU27" s="99">
        <f t="shared" si="7"/>
        <v>-8</v>
      </c>
      <c r="AV27" s="291">
        <f t="shared" si="8"/>
        <v>5</v>
      </c>
      <c r="AW27" s="286">
        <f t="shared" si="9"/>
        <v>3</v>
      </c>
      <c r="AX27" s="99">
        <f t="shared" si="10"/>
        <v>12</v>
      </c>
      <c r="AY27" s="291">
        <f t="shared" si="11"/>
        <v>13</v>
      </c>
      <c r="AZ27" s="286">
        <f t="shared" si="17"/>
        <v>5</v>
      </c>
      <c r="BA27" s="99">
        <f t="shared" si="12"/>
        <v>1</v>
      </c>
      <c r="BB27" s="291">
        <f t="shared" si="13"/>
        <v>23</v>
      </c>
      <c r="BC27" s="294">
        <f t="shared" si="14"/>
        <v>0</v>
      </c>
      <c r="BD27" s="7">
        <f t="shared" si="15"/>
        <v>1</v>
      </c>
      <c r="BE27" s="218">
        <f t="shared" si="16"/>
        <v>29.987700269999998</v>
      </c>
      <c r="BF27" s="99">
        <f>IF(AP27="","",SMALL(BE$9:BE$62,ROWS(AZ$9:AZ27)))</f>
        <v>5.9673001999999995</v>
      </c>
      <c r="BG27" s="88"/>
      <c r="BH27" s="99" t="str">
        <f>IF(OR(AP27="",AZ27=""),"",INDEX($AP$9:$AP$63,MATCH(BF27,$BE$9:BE$62,0)))</f>
        <v>A12</v>
      </c>
      <c r="BI27" s="7">
        <f t="shared" si="0"/>
        <v>7</v>
      </c>
      <c r="BJ27" s="7">
        <f t="shared" si="1"/>
        <v>3</v>
      </c>
      <c r="BK27" s="7">
        <f t="shared" si="2"/>
        <v>27</v>
      </c>
      <c r="BL27" s="280">
        <f>IF(BF27="","",IF(AND(BI26=BI27,BJ26=BJ27,BK26=BK27),BL26,$BL$9+18))</f>
        <v>19</v>
      </c>
      <c r="BM27" s="29"/>
      <c r="BN27" s="3"/>
    </row>
    <row r="28" spans="1:66" ht="16.5" thickBo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128"/>
      <c r="P28" s="23"/>
      <c r="Q28" s="23"/>
      <c r="R28" s="23"/>
      <c r="S28" s="23"/>
      <c r="T28" s="23"/>
      <c r="U28" s="29"/>
      <c r="V28" s="23"/>
      <c r="W28" s="23"/>
      <c r="X28" s="23"/>
      <c r="Y28" s="447"/>
      <c r="Z28" s="14" t="str">
        <f>+P14</f>
        <v>B5</v>
      </c>
      <c r="AA28" s="17">
        <f>IF(ISTEXT(Z28),AA27,0)</f>
        <v>13</v>
      </c>
      <c r="AB28" s="18">
        <f>IF(ISTEXT(Z28),AB27,0)</f>
        <v>3</v>
      </c>
      <c r="AC28" s="19">
        <f>IF(ISTEXT(Z28),AC27,0)</f>
        <v>6</v>
      </c>
      <c r="AD28" s="9"/>
      <c r="AE28" s="14" t="str">
        <f>+S14</f>
        <v>B7</v>
      </c>
      <c r="AF28" s="17">
        <f>IF(ISTEXT(AE28),AF27,0)</f>
        <v>13</v>
      </c>
      <c r="AG28" s="59">
        <f>IF(ISTEXT(AE28),AG27,0)</f>
        <v>3</v>
      </c>
      <c r="AH28" s="19">
        <f>IF(ISTEXT(AE28),AH27,0)</f>
        <v>11</v>
      </c>
      <c r="AI28" s="9"/>
      <c r="AJ28" s="14" t="str">
        <f>+V14</f>
        <v>B9</v>
      </c>
      <c r="AK28" s="17">
        <f>IF(ISTEXT(AJ28),AK27,0)</f>
        <v>11</v>
      </c>
      <c r="AL28" s="59">
        <f>IF(ISTEXT(AJ28),AL27,0)</f>
        <v>3</v>
      </c>
      <c r="AM28" s="19">
        <f>IF(ISTEXT(AJ28),AM27,0)</f>
        <v>5</v>
      </c>
      <c r="AN28" s="23"/>
      <c r="AO28" s="54">
        <v>20</v>
      </c>
      <c r="AP28" s="322" t="str">
        <f>+Inscrits!D4</f>
        <v>B2</v>
      </c>
      <c r="AQ28" s="286">
        <f t="shared" si="3"/>
        <v>3</v>
      </c>
      <c r="AR28" s="99">
        <f t="shared" si="4"/>
        <v>3</v>
      </c>
      <c r="AS28" s="219">
        <f t="shared" si="5"/>
        <v>8</v>
      </c>
      <c r="AT28" s="289">
        <f t="shared" si="6"/>
        <v>3</v>
      </c>
      <c r="AU28" s="99">
        <f t="shared" si="7"/>
        <v>8</v>
      </c>
      <c r="AV28" s="291">
        <f t="shared" si="8"/>
        <v>13</v>
      </c>
      <c r="AW28" s="286">
        <f t="shared" si="9"/>
        <v>1</v>
      </c>
      <c r="AX28" s="99">
        <f t="shared" si="10"/>
        <v>-12</v>
      </c>
      <c r="AY28" s="291">
        <f t="shared" si="11"/>
        <v>1</v>
      </c>
      <c r="AZ28" s="286">
        <f t="shared" si="17"/>
        <v>7</v>
      </c>
      <c r="BA28" s="99">
        <f t="shared" si="12"/>
        <v>-1</v>
      </c>
      <c r="BB28" s="291">
        <f t="shared" si="13"/>
        <v>22</v>
      </c>
      <c r="BC28" s="294">
        <f t="shared" si="14"/>
        <v>-1</v>
      </c>
      <c r="BD28" s="7">
        <f t="shared" si="15"/>
        <v>0</v>
      </c>
      <c r="BE28" s="218">
        <f t="shared" si="16"/>
        <v>6.0078002799999997</v>
      </c>
      <c r="BF28" s="99">
        <f>IF(AP28="","",SMALL(BE$9:BE$62,ROWS(AZ$9:AZ28)))</f>
        <v>5.9674001499999996</v>
      </c>
      <c r="BG28" s="88"/>
      <c r="BH28" s="99" t="str">
        <f>IF(OR(AP28="",AZ28=""),"",INDEX($AP$9:$AP$63,MATCH(BF28,$BE$9:BE$62,0)))</f>
        <v>A7</v>
      </c>
      <c r="BI28" s="7">
        <f t="shared" si="0"/>
        <v>7</v>
      </c>
      <c r="BJ28" s="7">
        <f t="shared" si="1"/>
        <v>3</v>
      </c>
      <c r="BK28" s="7">
        <f t="shared" si="2"/>
        <v>26</v>
      </c>
      <c r="BL28" s="280">
        <f>IF(BF28="","",IF(AND(BI27=BI28,BJ27=BJ28,BK27=BK28),BL27,$BL$9+19))</f>
        <v>20</v>
      </c>
      <c r="BM28" s="29"/>
      <c r="BN28" s="3"/>
    </row>
    <row r="29" spans="1:66" ht="15.7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P29" s="23"/>
      <c r="Q29" s="23"/>
      <c r="R29" s="23"/>
      <c r="S29" s="23"/>
      <c r="T29" s="23"/>
      <c r="U29" s="29"/>
      <c r="V29" s="23"/>
      <c r="W29" s="23"/>
      <c r="X29" s="23"/>
      <c r="Y29" s="447"/>
      <c r="Z29" s="14" t="str">
        <f>+Q14</f>
        <v>C5</v>
      </c>
      <c r="AA29" s="71">
        <f>IF(ISTEXT(Z29),AA27,0)</f>
        <v>13</v>
      </c>
      <c r="AB29" s="67">
        <f>IF(ISTEXT(Z29),AB27,0)</f>
        <v>3</v>
      </c>
      <c r="AC29" s="72">
        <f>IF(ISTEXT(Z29),AC27,0)</f>
        <v>6</v>
      </c>
      <c r="AD29" s="9"/>
      <c r="AE29" s="14" t="str">
        <f>+T14</f>
        <v>C8</v>
      </c>
      <c r="AF29" s="71">
        <f>IF(ISTEXT(AE29),AF27,0)</f>
        <v>13</v>
      </c>
      <c r="AG29" s="64">
        <f>IF(ISTEXT(AE29),AG27,0)</f>
        <v>3</v>
      </c>
      <c r="AH29" s="72">
        <f>IF(ISTEXT(AE29),AH27,0)</f>
        <v>11</v>
      </c>
      <c r="AI29" s="9"/>
      <c r="AJ29" s="14" t="str">
        <f>+W14</f>
        <v>C11</v>
      </c>
      <c r="AK29" s="71">
        <f>IF(ISTEXT(AJ29),AK27,0)</f>
        <v>11</v>
      </c>
      <c r="AL29" s="64">
        <f>IF(ISTEXT(AJ29),AL27,0)</f>
        <v>3</v>
      </c>
      <c r="AM29" s="72">
        <f>IF(ISTEXT(AJ29),AM27,0)</f>
        <v>5</v>
      </c>
      <c r="AN29" s="23"/>
      <c r="AO29" s="54">
        <v>21</v>
      </c>
      <c r="AP29" s="322" t="str">
        <f>+Inscrits!D5</f>
        <v>B3</v>
      </c>
      <c r="AQ29" s="286">
        <f t="shared" si="3"/>
        <v>1</v>
      </c>
      <c r="AR29" s="99">
        <f t="shared" si="4"/>
        <v>-7</v>
      </c>
      <c r="AS29" s="219">
        <f t="shared" si="5"/>
        <v>4</v>
      </c>
      <c r="AT29" s="289">
        <f t="shared" si="6"/>
        <v>3</v>
      </c>
      <c r="AU29" s="99">
        <f t="shared" si="7"/>
        <v>2</v>
      </c>
      <c r="AV29" s="291">
        <f t="shared" si="8"/>
        <v>12</v>
      </c>
      <c r="AW29" s="286">
        <f t="shared" si="9"/>
        <v>3</v>
      </c>
      <c r="AX29" s="99">
        <f t="shared" si="10"/>
        <v>5</v>
      </c>
      <c r="AY29" s="291">
        <f t="shared" si="11"/>
        <v>13</v>
      </c>
      <c r="AZ29" s="286">
        <f t="shared" si="17"/>
        <v>7</v>
      </c>
      <c r="BA29" s="99">
        <f t="shared" si="12"/>
        <v>0</v>
      </c>
      <c r="BB29" s="291">
        <f t="shared" si="13"/>
        <v>29</v>
      </c>
      <c r="BC29" s="294">
        <f t="shared" si="14"/>
        <v>0</v>
      </c>
      <c r="BD29" s="7">
        <f t="shared" si="15"/>
        <v>0</v>
      </c>
      <c r="BE29" s="218">
        <f t="shared" si="16"/>
        <v>5.9971002899999997</v>
      </c>
      <c r="BF29" s="99">
        <f>IF(AP29="","",SMALL(BE$9:BE$62,ROWS(AZ$9:AZ29)))</f>
        <v>5.9771002400000004</v>
      </c>
      <c r="BG29" s="88"/>
      <c r="BH29" s="99" t="str">
        <f>IF(OR(AP29="",AZ29=""),"",INDEX($AP$9:$AP$63,MATCH(BF29,$BE$9:BE$62,0)))</f>
        <v>A16</v>
      </c>
      <c r="BI29" s="7">
        <f t="shared" si="0"/>
        <v>7</v>
      </c>
      <c r="BJ29" s="7">
        <f t="shared" si="1"/>
        <v>2</v>
      </c>
      <c r="BK29" s="7">
        <f t="shared" si="2"/>
        <v>29</v>
      </c>
      <c r="BL29" s="280">
        <f>IF(BF29="","",IF(AND(BI28=BI29,BJ28=BJ29,BK28=BK29),BL28,$BL$9+20))</f>
        <v>21</v>
      </c>
      <c r="BM29" s="29"/>
      <c r="BN29" s="3"/>
    </row>
    <row r="30" spans="1:66" ht="15.7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P30" s="23"/>
      <c r="Q30" s="23"/>
      <c r="R30" s="23"/>
      <c r="S30" s="23"/>
      <c r="T30" s="23"/>
      <c r="U30" s="29"/>
      <c r="V30" s="23"/>
      <c r="W30" s="23"/>
      <c r="X30" s="23"/>
      <c r="Y30" s="447"/>
      <c r="Z30" s="32"/>
      <c r="AA30" s="21" t="s">
        <v>5</v>
      </c>
      <c r="AB30" s="21"/>
      <c r="AC30" s="22"/>
      <c r="AD30" s="1"/>
      <c r="AE30" s="32"/>
      <c r="AF30" s="21" t="s">
        <v>5</v>
      </c>
      <c r="AG30" s="21"/>
      <c r="AH30" s="22"/>
      <c r="AI30" s="1"/>
      <c r="AJ30" s="32"/>
      <c r="AK30" s="21" t="s">
        <v>5</v>
      </c>
      <c r="AL30" s="21"/>
      <c r="AM30" s="22"/>
      <c r="AN30" s="23"/>
      <c r="AO30" s="54">
        <v>22</v>
      </c>
      <c r="AP30" s="322" t="str">
        <f>+Inscrits!D6</f>
        <v>B4</v>
      </c>
      <c r="AQ30" s="286">
        <f t="shared" si="3"/>
        <v>3</v>
      </c>
      <c r="AR30" s="99">
        <f t="shared" si="4"/>
        <v>7</v>
      </c>
      <c r="AS30" s="219">
        <f t="shared" si="5"/>
        <v>11</v>
      </c>
      <c r="AT30" s="289">
        <f t="shared" si="6"/>
        <v>1</v>
      </c>
      <c r="AU30" s="99">
        <f t="shared" si="7"/>
        <v>-2</v>
      </c>
      <c r="AV30" s="291">
        <f t="shared" si="8"/>
        <v>10</v>
      </c>
      <c r="AW30" s="286">
        <f t="shared" si="9"/>
        <v>1</v>
      </c>
      <c r="AX30" s="99">
        <f t="shared" si="10"/>
        <v>-5</v>
      </c>
      <c r="AY30" s="291">
        <f t="shared" si="11"/>
        <v>8</v>
      </c>
      <c r="AZ30" s="286">
        <f t="shared" si="17"/>
        <v>5</v>
      </c>
      <c r="BA30" s="99">
        <f t="shared" si="12"/>
        <v>0</v>
      </c>
      <c r="BB30" s="291">
        <f t="shared" si="13"/>
        <v>29</v>
      </c>
      <c r="BC30" s="294">
        <f t="shared" si="14"/>
        <v>0</v>
      </c>
      <c r="BD30" s="7">
        <f t="shared" si="15"/>
        <v>0</v>
      </c>
      <c r="BE30" s="218">
        <f t="shared" si="16"/>
        <v>29.9971003</v>
      </c>
      <c r="BF30" s="99">
        <f>IF(AP30="","",SMALL(BE$9:BE$62,ROWS(AZ$9:AZ30)))</f>
        <v>5.9874001300000002</v>
      </c>
      <c r="BG30" s="88"/>
      <c r="BH30" s="99" t="str">
        <f>IF(OR(AP30="",AZ30=""),"",INDEX($AP$9:$AP$63,MATCH(BF30,$BE$9:BE$62,0)))</f>
        <v>A5</v>
      </c>
      <c r="BI30" s="7">
        <f t="shared" si="0"/>
        <v>7</v>
      </c>
      <c r="BJ30" s="7">
        <f t="shared" si="1"/>
        <v>1</v>
      </c>
      <c r="BK30" s="7">
        <f t="shared" si="2"/>
        <v>26</v>
      </c>
      <c r="BL30" s="280">
        <f>IF(BF30="","",IF(AND(BI29=BI30,BJ29=BJ30,BK29=BK30),BL29,$BL$9+21))</f>
        <v>22</v>
      </c>
      <c r="BM30" s="29"/>
      <c r="BN30" s="3"/>
    </row>
    <row r="31" spans="1:66" ht="15.7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P31" s="23"/>
      <c r="Q31" s="23"/>
      <c r="R31" s="23"/>
      <c r="S31" s="23"/>
      <c r="T31" s="23"/>
      <c r="U31" s="23"/>
      <c r="V31" s="23"/>
      <c r="W31" s="23"/>
      <c r="X31" s="23"/>
      <c r="Y31" s="447"/>
      <c r="Z31" s="14" t="str">
        <f>+O15</f>
        <v>A6</v>
      </c>
      <c r="AA31" s="35">
        <v>7</v>
      </c>
      <c r="AB31" s="30">
        <f>IF(AA27+AA31=0,0,IF(AA27=AA31,2,IF(AA27&lt;AA31,3,1)))</f>
        <v>1</v>
      </c>
      <c r="AC31" s="15">
        <f>AA31-AA27</f>
        <v>-6</v>
      </c>
      <c r="AD31" s="9"/>
      <c r="AE31" s="14" t="str">
        <f>+R15</f>
        <v>A7</v>
      </c>
      <c r="AF31" s="127">
        <v>2</v>
      </c>
      <c r="AG31" s="30">
        <f>IF(AF27+AF31=0,0,IF(AF27=AF31,2,IF(AF27&lt;AF31,3,1)))</f>
        <v>1</v>
      </c>
      <c r="AH31" s="15">
        <f>AF31-AF27</f>
        <v>-11</v>
      </c>
      <c r="AI31" s="9"/>
      <c r="AJ31" s="14" t="str">
        <f>+U15</f>
        <v>A8</v>
      </c>
      <c r="AK31" s="37">
        <v>6</v>
      </c>
      <c r="AL31" s="30">
        <f>IF(AK27+AK31=0,0,IF(AK27=AK31,2,IF(AK27&lt;AK31,3,1)))</f>
        <v>1</v>
      </c>
      <c r="AM31" s="15">
        <f>AK31-AK27</f>
        <v>-5</v>
      </c>
      <c r="AN31" s="23"/>
      <c r="AO31" s="54">
        <v>23</v>
      </c>
      <c r="AP31" s="322" t="str">
        <f>+Inscrits!D7</f>
        <v>B5</v>
      </c>
      <c r="AQ31" s="286">
        <f t="shared" si="3"/>
        <v>3</v>
      </c>
      <c r="AR31" s="99">
        <f t="shared" si="4"/>
        <v>6</v>
      </c>
      <c r="AS31" s="219">
        <f t="shared" si="5"/>
        <v>13</v>
      </c>
      <c r="AT31" s="289">
        <f t="shared" si="6"/>
        <v>1</v>
      </c>
      <c r="AU31" s="99">
        <f t="shared" si="7"/>
        <v>-3</v>
      </c>
      <c r="AV31" s="291">
        <f t="shared" si="8"/>
        <v>6</v>
      </c>
      <c r="AW31" s="286">
        <f t="shared" si="9"/>
        <v>3</v>
      </c>
      <c r="AX31" s="99">
        <f t="shared" si="10"/>
        <v>3</v>
      </c>
      <c r="AY31" s="291">
        <f t="shared" si="11"/>
        <v>8</v>
      </c>
      <c r="AZ31" s="286">
        <f t="shared" si="17"/>
        <v>7</v>
      </c>
      <c r="BA31" s="99">
        <f t="shared" si="12"/>
        <v>6</v>
      </c>
      <c r="BB31" s="291">
        <f t="shared" si="13"/>
        <v>27</v>
      </c>
      <c r="BC31" s="294">
        <f t="shared" si="14"/>
        <v>0</v>
      </c>
      <c r="BD31" s="7">
        <f t="shared" si="15"/>
        <v>6</v>
      </c>
      <c r="BE31" s="218">
        <f t="shared" si="16"/>
        <v>5.9373003100000004</v>
      </c>
      <c r="BF31" s="99">
        <f>IF(AP31="","",SMALL(BE$9:BE$62,ROWS(AZ$9:AZ31)))</f>
        <v>5.9970002300000003</v>
      </c>
      <c r="BG31" s="88"/>
      <c r="BH31" s="99" t="str">
        <f>IF(OR(AP31="",AZ31=""),"",INDEX($AP$9:$AP$63,MATCH(BF31,$BE$9:BE$62,0)))</f>
        <v>A15</v>
      </c>
      <c r="BI31" s="7">
        <f t="shared" si="0"/>
        <v>7</v>
      </c>
      <c r="BJ31" s="7">
        <f t="shared" si="1"/>
        <v>0</v>
      </c>
      <c r="BK31" s="7">
        <f t="shared" si="2"/>
        <v>30</v>
      </c>
      <c r="BL31" s="280">
        <f>IF(BF31="","",IF(AND(BI30=BI31,BJ30=BJ31,BK30=BK31),BL30,$BL$9+22))</f>
        <v>23</v>
      </c>
      <c r="BM31" s="29"/>
      <c r="BN31" s="3"/>
    </row>
    <row r="32" spans="1:66" ht="16.5" thickBo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P32" s="23"/>
      <c r="Q32" s="23"/>
      <c r="R32" s="23"/>
      <c r="S32" s="23"/>
      <c r="T32" s="23"/>
      <c r="U32" s="23"/>
      <c r="V32" s="23"/>
      <c r="W32" s="23"/>
      <c r="X32" s="23"/>
      <c r="Y32" s="447"/>
      <c r="Z32" s="14" t="str">
        <f>+P15</f>
        <v>B6</v>
      </c>
      <c r="AA32" s="17">
        <f>IF(ISTEXT(Z32),AA31,0)</f>
        <v>7</v>
      </c>
      <c r="AB32" s="18">
        <f>IF(ISTEXT(Z32),AB31,0)</f>
        <v>1</v>
      </c>
      <c r="AC32" s="19">
        <f>IF(ISTEXT(Z32),AC31,0)</f>
        <v>-6</v>
      </c>
      <c r="AD32" s="9"/>
      <c r="AE32" s="14" t="str">
        <f>+S15</f>
        <v>B8</v>
      </c>
      <c r="AF32" s="17">
        <f>IF(ISTEXT(AE32),AF31,0)</f>
        <v>2</v>
      </c>
      <c r="AG32" s="18">
        <f>IF(ISTEXT(AE32),AG31,0)</f>
        <v>1</v>
      </c>
      <c r="AH32" s="19">
        <f>IF(ISTEXT(AE32),AH31,0)</f>
        <v>-11</v>
      </c>
      <c r="AI32" s="9"/>
      <c r="AJ32" s="14" t="str">
        <f>+V15</f>
        <v>B10</v>
      </c>
      <c r="AK32" s="17">
        <f>IF(ISTEXT(AJ32),AK31,0)</f>
        <v>6</v>
      </c>
      <c r="AL32" s="18">
        <f>IF(ISTEXT(AJ32),AL31,0)</f>
        <v>1</v>
      </c>
      <c r="AM32" s="19">
        <f>IF(ISTEXT(AJ32),AM31,0)</f>
        <v>-5</v>
      </c>
      <c r="AN32" s="23"/>
      <c r="AO32" s="54">
        <v>24</v>
      </c>
      <c r="AP32" s="322" t="str">
        <f>+Inscrits!D8</f>
        <v>B6</v>
      </c>
      <c r="AQ32" s="286">
        <f t="shared" si="3"/>
        <v>1</v>
      </c>
      <c r="AR32" s="99">
        <f t="shared" si="4"/>
        <v>-6</v>
      </c>
      <c r="AS32" s="219">
        <f t="shared" si="5"/>
        <v>7</v>
      </c>
      <c r="AT32" s="289">
        <f t="shared" si="6"/>
        <v>3</v>
      </c>
      <c r="AU32" s="99">
        <f t="shared" si="7"/>
        <v>3</v>
      </c>
      <c r="AV32" s="291">
        <f t="shared" si="8"/>
        <v>9</v>
      </c>
      <c r="AW32" s="286">
        <f t="shared" si="9"/>
        <v>1</v>
      </c>
      <c r="AX32" s="99">
        <f t="shared" si="10"/>
        <v>-3</v>
      </c>
      <c r="AY32" s="291">
        <f t="shared" si="11"/>
        <v>5</v>
      </c>
      <c r="AZ32" s="286">
        <f t="shared" si="17"/>
        <v>5</v>
      </c>
      <c r="BA32" s="99">
        <f t="shared" si="12"/>
        <v>-6</v>
      </c>
      <c r="BB32" s="291">
        <f t="shared" si="13"/>
        <v>21</v>
      </c>
      <c r="BC32" s="294">
        <f t="shared" si="14"/>
        <v>-6</v>
      </c>
      <c r="BD32" s="7">
        <f t="shared" si="15"/>
        <v>0</v>
      </c>
      <c r="BE32" s="218">
        <f t="shared" si="16"/>
        <v>30.057900320000002</v>
      </c>
      <c r="BF32" s="99">
        <f>IF(AP32="","",SMALL(BE$9:BE$62,ROWS(AZ$9:AZ32)))</f>
        <v>5.9971002899999997</v>
      </c>
      <c r="BG32" s="88"/>
      <c r="BH32" s="99" t="str">
        <f>IF(OR(AP32="",AZ32=""),"",INDEX($AP$9:$AP$63,MATCH(BF32,$BE$9:BE$62,0)))</f>
        <v>B3</v>
      </c>
      <c r="BI32" s="7">
        <f t="shared" si="0"/>
        <v>7</v>
      </c>
      <c r="BJ32" s="7">
        <f t="shared" si="1"/>
        <v>0</v>
      </c>
      <c r="BK32" s="7">
        <f t="shared" si="2"/>
        <v>29</v>
      </c>
      <c r="BL32" s="280">
        <f>IF(BF32="","",IF(AND(BI31=BI32,BJ31=BJ32,BK31=BK32),BL31,$BL$9+23))</f>
        <v>24</v>
      </c>
      <c r="BM32" s="29"/>
      <c r="BN32" s="3"/>
    </row>
    <row r="33" spans="1:66" ht="16.5" thickBo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P33" s="23"/>
      <c r="Q33" s="23"/>
      <c r="R33" s="23"/>
      <c r="S33" s="23"/>
      <c r="T33" s="23"/>
      <c r="U33" s="23"/>
      <c r="V33" s="23"/>
      <c r="W33" s="23"/>
      <c r="X33" s="23"/>
      <c r="Y33" s="448"/>
      <c r="Z33" s="16" t="str">
        <f>+Q15</f>
        <v>C6</v>
      </c>
      <c r="AA33" s="17">
        <f>IF(ISTEXT(Z33),AA31,0)</f>
        <v>7</v>
      </c>
      <c r="AB33" s="18">
        <f>IF(ISTEXT(Z33),AB31,0)</f>
        <v>1</v>
      </c>
      <c r="AC33" s="19">
        <f>IF(ISTEXT(Z33),AC31,0)</f>
        <v>-6</v>
      </c>
      <c r="AD33" s="9"/>
      <c r="AE33" s="16" t="str">
        <f>+T15</f>
        <v>C9</v>
      </c>
      <c r="AF33" s="17">
        <f>IF(ISTEXT(AE33),AF31,0)</f>
        <v>2</v>
      </c>
      <c r="AG33" s="18">
        <f>IF(ISTEXT(AE33),AG31,0)</f>
        <v>1</v>
      </c>
      <c r="AH33" s="19">
        <f>IF(ISTEXT(AE33),AH31,0)</f>
        <v>-11</v>
      </c>
      <c r="AI33" s="9"/>
      <c r="AJ33" s="16" t="str">
        <f>+W15</f>
        <v>C12</v>
      </c>
      <c r="AK33" s="17">
        <f>IF(ISTEXT(AJ33),AK31,0)</f>
        <v>6</v>
      </c>
      <c r="AL33" s="18">
        <f>IF(ISTEXT(AJ33),AL31,0)</f>
        <v>1</v>
      </c>
      <c r="AM33" s="19">
        <f>IF(ISTEXT(AJ33),AM31,0)</f>
        <v>-5</v>
      </c>
      <c r="AN33" s="23"/>
      <c r="AO33" s="54">
        <v>25</v>
      </c>
      <c r="AP33" s="322" t="str">
        <f>+Inscrits!D9</f>
        <v>B7</v>
      </c>
      <c r="AQ33" s="286">
        <f t="shared" si="3"/>
        <v>3</v>
      </c>
      <c r="AR33" s="99">
        <f t="shared" si="4"/>
        <v>9</v>
      </c>
      <c r="AS33" s="219">
        <f t="shared" si="5"/>
        <v>13</v>
      </c>
      <c r="AT33" s="289">
        <f t="shared" si="6"/>
        <v>3</v>
      </c>
      <c r="AU33" s="99">
        <f t="shared" si="7"/>
        <v>11</v>
      </c>
      <c r="AV33" s="291">
        <f t="shared" si="8"/>
        <v>13</v>
      </c>
      <c r="AW33" s="286">
        <f t="shared" si="9"/>
        <v>1</v>
      </c>
      <c r="AX33" s="99">
        <f t="shared" si="10"/>
        <v>-8</v>
      </c>
      <c r="AY33" s="291">
        <f t="shared" si="11"/>
        <v>4</v>
      </c>
      <c r="AZ33" s="286">
        <f t="shared" si="17"/>
        <v>7</v>
      </c>
      <c r="BA33" s="99">
        <f t="shared" si="12"/>
        <v>12</v>
      </c>
      <c r="BB33" s="291">
        <f t="shared" si="13"/>
        <v>30</v>
      </c>
      <c r="BC33" s="294">
        <f t="shared" si="14"/>
        <v>0</v>
      </c>
      <c r="BD33" s="7">
        <f t="shared" si="15"/>
        <v>12</v>
      </c>
      <c r="BE33" s="218">
        <f t="shared" si="16"/>
        <v>5.8770003299999996</v>
      </c>
      <c r="BF33" s="99">
        <f>IF(AP33="","",SMALL(BE$9:BE$62,ROWS(AZ$9:AZ33)))</f>
        <v>5.9972001000000006</v>
      </c>
      <c r="BG33" s="88"/>
      <c r="BH33" s="99" t="str">
        <f>IF(OR(AP33="",AZ33=""),"",INDEX($AP$9:$AP$63,MATCH(BF33,$BE$9:BE$62,0)))</f>
        <v>A2</v>
      </c>
      <c r="BI33" s="7">
        <f t="shared" si="0"/>
        <v>7</v>
      </c>
      <c r="BJ33" s="7">
        <f t="shared" si="1"/>
        <v>0</v>
      </c>
      <c r="BK33" s="7">
        <f t="shared" si="2"/>
        <v>28</v>
      </c>
      <c r="BL33" s="280">
        <f>IF(BF33="","",IF(AND(BI32=BI33,BJ32=BJ33,BK32=BK33),BL32,$BL$9+24))</f>
        <v>25</v>
      </c>
      <c r="BM33" s="29"/>
      <c r="BN33" s="3"/>
    </row>
    <row r="34" spans="1:66" ht="16.5" thickBo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P34" s="23"/>
      <c r="Q34" s="23"/>
      <c r="R34" s="23"/>
      <c r="S34" s="23"/>
      <c r="T34" s="23"/>
      <c r="U34" s="192"/>
      <c r="V34" s="23"/>
      <c r="W34" s="23"/>
      <c r="X34" s="23"/>
      <c r="Y34" s="128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23"/>
      <c r="AO34" s="54">
        <v>26</v>
      </c>
      <c r="AP34" s="322" t="str">
        <f>+Inscrits!D10</f>
        <v>B8</v>
      </c>
      <c r="AQ34" s="286">
        <f t="shared" si="3"/>
        <v>1</v>
      </c>
      <c r="AR34" s="99">
        <f t="shared" si="4"/>
        <v>-9</v>
      </c>
      <c r="AS34" s="219">
        <f t="shared" si="5"/>
        <v>4</v>
      </c>
      <c r="AT34" s="289">
        <f t="shared" si="6"/>
        <v>1</v>
      </c>
      <c r="AU34" s="99">
        <f t="shared" si="7"/>
        <v>-11</v>
      </c>
      <c r="AV34" s="291">
        <f t="shared" si="8"/>
        <v>2</v>
      </c>
      <c r="AW34" s="286">
        <f t="shared" si="9"/>
        <v>3</v>
      </c>
      <c r="AX34" s="99">
        <f t="shared" si="10"/>
        <v>8</v>
      </c>
      <c r="AY34" s="291">
        <f t="shared" si="11"/>
        <v>12</v>
      </c>
      <c r="AZ34" s="286">
        <f t="shared" si="17"/>
        <v>5</v>
      </c>
      <c r="BA34" s="99">
        <f t="shared" si="12"/>
        <v>-12</v>
      </c>
      <c r="BB34" s="291">
        <f t="shared" si="13"/>
        <v>18</v>
      </c>
      <c r="BC34" s="294">
        <f t="shared" si="14"/>
        <v>-12</v>
      </c>
      <c r="BD34" s="7">
        <f t="shared" si="15"/>
        <v>0</v>
      </c>
      <c r="BE34" s="218">
        <f t="shared" si="16"/>
        <v>30.118200340000001</v>
      </c>
      <c r="BF34" s="99">
        <f>IF(AP34="","",SMALL(BE$9:BE$62,ROWS(AZ$9:AZ34)))</f>
        <v>6.0078002799999997</v>
      </c>
      <c r="BG34" s="88"/>
      <c r="BH34" s="99" t="str">
        <f>IF(OR(AP34="",AZ34=""),"",INDEX($AP$9:$AP$63,MATCH(BF34,$BE$9:BE$62,0)))</f>
        <v>B2</v>
      </c>
      <c r="BI34" s="7">
        <f t="shared" si="0"/>
        <v>7</v>
      </c>
      <c r="BJ34" s="7">
        <f t="shared" si="1"/>
        <v>-1</v>
      </c>
      <c r="BK34" s="7">
        <f t="shared" si="2"/>
        <v>22</v>
      </c>
      <c r="BL34" s="280">
        <f>IF(BF34="","",IF(AND(BI33=BI34,BJ33=BJ34,BK33=BK34),BL33,$BL$9+25))</f>
        <v>26</v>
      </c>
      <c r="BM34" s="29"/>
      <c r="BN34" s="3"/>
    </row>
    <row r="35" spans="1:66" ht="15.7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P35" s="23"/>
      <c r="Q35" s="23"/>
      <c r="R35" s="23"/>
      <c r="S35" s="23"/>
      <c r="T35" s="23"/>
      <c r="U35" s="23"/>
      <c r="V35" s="23"/>
      <c r="W35" s="23"/>
      <c r="X35" s="23"/>
      <c r="Y35" s="446">
        <v>4</v>
      </c>
      <c r="Z35" s="12" t="str">
        <f>+O16</f>
        <v>A7</v>
      </c>
      <c r="AA35" s="33">
        <v>13</v>
      </c>
      <c r="AB35" s="48">
        <f>IF(AA35+AA39=0,0,IF(AA35=AA39,2,IF(AA35&gt;AA39,3,1)))</f>
        <v>3</v>
      </c>
      <c r="AC35" s="13">
        <f>AA35-AA39</f>
        <v>9</v>
      </c>
      <c r="AD35" s="9"/>
      <c r="AE35" s="12" t="str">
        <f>+R16</f>
        <v>A8</v>
      </c>
      <c r="AF35" s="126">
        <v>5</v>
      </c>
      <c r="AG35" s="48">
        <f>IF(AF35+AF39=0,0,IF(AF35=AF39,2,IF(AF35&gt;AF39,3,1)))</f>
        <v>1</v>
      </c>
      <c r="AH35" s="13">
        <f>AF35-AF39</f>
        <v>-4</v>
      </c>
      <c r="AI35" s="9"/>
      <c r="AJ35" s="12" t="str">
        <f>+U16</f>
        <v>A9</v>
      </c>
      <c r="AK35" s="36">
        <v>6</v>
      </c>
      <c r="AL35" s="48">
        <f>IF(AK35+AK39=0,0,IF(AK35=AK39,2,IF(AK35&gt;AK39,3,1)))</f>
        <v>1</v>
      </c>
      <c r="AM35" s="13">
        <f>AK35-AK39</f>
        <v>-1</v>
      </c>
      <c r="AN35" s="23"/>
      <c r="AO35" s="54">
        <v>27</v>
      </c>
      <c r="AP35" s="322" t="str">
        <f>+Inscrits!D11</f>
        <v>B9</v>
      </c>
      <c r="AQ35" s="286">
        <f t="shared" si="3"/>
        <v>3</v>
      </c>
      <c r="AR35" s="99">
        <f t="shared" si="4"/>
        <v>11</v>
      </c>
      <c r="AS35" s="219">
        <f t="shared" si="5"/>
        <v>13</v>
      </c>
      <c r="AT35" s="289">
        <f t="shared" si="6"/>
        <v>1</v>
      </c>
      <c r="AU35" s="99">
        <f t="shared" si="7"/>
        <v>-4</v>
      </c>
      <c r="AV35" s="291">
        <f t="shared" si="8"/>
        <v>5</v>
      </c>
      <c r="AW35" s="286">
        <f t="shared" si="9"/>
        <v>3</v>
      </c>
      <c r="AX35" s="99">
        <f t="shared" si="10"/>
        <v>5</v>
      </c>
      <c r="AY35" s="291">
        <f t="shared" si="11"/>
        <v>11</v>
      </c>
      <c r="AZ35" s="286">
        <f t="shared" si="17"/>
        <v>7</v>
      </c>
      <c r="BA35" s="99">
        <f t="shared" si="12"/>
        <v>12</v>
      </c>
      <c r="BB35" s="291">
        <f t="shared" si="13"/>
        <v>29</v>
      </c>
      <c r="BC35" s="294">
        <f t="shared" si="14"/>
        <v>0</v>
      </c>
      <c r="BD35" s="7">
        <f t="shared" si="15"/>
        <v>12</v>
      </c>
      <c r="BE35" s="218">
        <f t="shared" si="16"/>
        <v>5.8771003499999992</v>
      </c>
      <c r="BF35" s="99">
        <f>IF(AP35="","",SMALL(BE$9:BE$62,ROWS(AZ$9:AZ35)))</f>
        <v>6.0174006199999992</v>
      </c>
      <c r="BG35" s="88"/>
      <c r="BH35" s="99" t="str">
        <f>IF(OR(AP35="",AZ35=""),"",INDEX($AP$9:$AP$63,MATCH(BF35,$BE$9:BE$62,0)))</f>
        <v>C18</v>
      </c>
      <c r="BI35" s="7">
        <f t="shared" si="0"/>
        <v>7</v>
      </c>
      <c r="BJ35" s="7">
        <f t="shared" si="1"/>
        <v>-2</v>
      </c>
      <c r="BK35" s="7">
        <f t="shared" si="2"/>
        <v>26</v>
      </c>
      <c r="BL35" s="280">
        <f>IF(BF35="","",IF(AND(BI34=BI35,BJ34=BJ35,BK34=BK35),BL34,$BL$9+26))</f>
        <v>27</v>
      </c>
      <c r="BM35" s="29"/>
      <c r="BN35" s="3"/>
    </row>
    <row r="36" spans="1:66" ht="16.5" thickBo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P36" s="23"/>
      <c r="Q36" s="23"/>
      <c r="R36" s="23"/>
      <c r="S36" s="23"/>
      <c r="T36" s="23"/>
      <c r="U36" s="23"/>
      <c r="V36" s="23"/>
      <c r="W36" s="23"/>
      <c r="X36" s="23"/>
      <c r="Y36" s="447"/>
      <c r="Z36" s="14" t="str">
        <f>+P16</f>
        <v>B7</v>
      </c>
      <c r="AA36" s="17">
        <f>IF(ISTEXT(Z36),AA35,0)</f>
        <v>13</v>
      </c>
      <c r="AB36" s="18">
        <f>IF(ISTEXT(Z36),AB35,0)</f>
        <v>3</v>
      </c>
      <c r="AC36" s="19">
        <f>IF(ISTEXT(Z36),AC35,0)</f>
        <v>9</v>
      </c>
      <c r="AD36" s="9"/>
      <c r="AE36" s="14" t="str">
        <f>+S16</f>
        <v>B9</v>
      </c>
      <c r="AF36" s="17">
        <f>IF(ISTEXT(AE36),AF35,0)</f>
        <v>5</v>
      </c>
      <c r="AG36" s="59">
        <f>IF(ISTEXT(AE36),AG35,0)</f>
        <v>1</v>
      </c>
      <c r="AH36" s="19">
        <f>IF(ISTEXT(AE36),AH35,0)</f>
        <v>-4</v>
      </c>
      <c r="AI36" s="9"/>
      <c r="AJ36" s="14" t="str">
        <f>+V16</f>
        <v>B11</v>
      </c>
      <c r="AK36" s="17">
        <f>IF(ISTEXT(AJ36),AK35,0)</f>
        <v>6</v>
      </c>
      <c r="AL36" s="59">
        <f>IF(ISTEXT(AJ36),AL35,0)</f>
        <v>1</v>
      </c>
      <c r="AM36" s="19">
        <f>IF(ISTEXT(AJ36),AM35,0)</f>
        <v>-1</v>
      </c>
      <c r="AN36" s="23"/>
      <c r="AO36" s="54">
        <v>28</v>
      </c>
      <c r="AP36" s="322" t="str">
        <f>+Inscrits!D12</f>
        <v>B10</v>
      </c>
      <c r="AQ36" s="286">
        <f t="shared" si="3"/>
        <v>1</v>
      </c>
      <c r="AR36" s="99">
        <f t="shared" si="4"/>
        <v>-11</v>
      </c>
      <c r="AS36" s="219">
        <f t="shared" si="5"/>
        <v>2</v>
      </c>
      <c r="AT36" s="289">
        <f t="shared" si="6"/>
        <v>3</v>
      </c>
      <c r="AU36" s="99">
        <f t="shared" si="7"/>
        <v>4</v>
      </c>
      <c r="AV36" s="291">
        <f t="shared" si="8"/>
        <v>9</v>
      </c>
      <c r="AW36" s="286">
        <f t="shared" si="9"/>
        <v>1</v>
      </c>
      <c r="AX36" s="99">
        <f t="shared" si="10"/>
        <v>-5</v>
      </c>
      <c r="AY36" s="291">
        <f t="shared" si="11"/>
        <v>6</v>
      </c>
      <c r="AZ36" s="286">
        <f t="shared" si="17"/>
        <v>5</v>
      </c>
      <c r="BA36" s="99">
        <f t="shared" si="12"/>
        <v>-12</v>
      </c>
      <c r="BB36" s="291">
        <f t="shared" si="13"/>
        <v>17</v>
      </c>
      <c r="BC36" s="294">
        <f t="shared" si="14"/>
        <v>-12</v>
      </c>
      <c r="BD36" s="7">
        <f t="shared" si="15"/>
        <v>0</v>
      </c>
      <c r="BE36" s="218">
        <f t="shared" si="16"/>
        <v>30.118300360000003</v>
      </c>
      <c r="BF36" s="99">
        <f>IF(AP36="","",SMALL(BE$9:BE$62,ROWS(AZ$9:AZ36)))</f>
        <v>6.0276004800000003</v>
      </c>
      <c r="BG36" s="88"/>
      <c r="BH36" s="99" t="str">
        <f>IF(OR(AP36="",AZ36=""),"",INDEX($AP$9:$AP$63,MATCH(BF36,$BE$9:BE$62,0)))</f>
        <v>C4</v>
      </c>
      <c r="BI36" s="7">
        <f t="shared" si="0"/>
        <v>7</v>
      </c>
      <c r="BJ36" s="7">
        <f t="shared" si="1"/>
        <v>-3</v>
      </c>
      <c r="BK36" s="7">
        <f t="shared" si="2"/>
        <v>24</v>
      </c>
      <c r="BL36" s="280">
        <f>IF(BF36="","",IF(AND(BI35=BI36,BJ35=BJ36,BK35=BK36),BL35,$BL$9+27))</f>
        <v>28</v>
      </c>
      <c r="BM36" s="29"/>
      <c r="BN36" s="3"/>
    </row>
    <row r="37" spans="1:66" ht="15.7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P37" s="23"/>
      <c r="Q37" s="23"/>
      <c r="R37" s="23"/>
      <c r="S37" s="23"/>
      <c r="T37" s="23"/>
      <c r="U37" s="23"/>
      <c r="V37" s="23"/>
      <c r="W37" s="23"/>
      <c r="X37" s="23"/>
      <c r="Y37" s="447"/>
      <c r="Z37" s="14" t="str">
        <f>+Q16</f>
        <v>C7</v>
      </c>
      <c r="AA37" s="71">
        <f>IF(ISTEXT(Z37),AA35,0)</f>
        <v>13</v>
      </c>
      <c r="AB37" s="67">
        <f>IF(ISTEXT(Z37),AB35,0)</f>
        <v>3</v>
      </c>
      <c r="AC37" s="72">
        <f>IF(ISTEXT(Z37),AC35,0)</f>
        <v>9</v>
      </c>
      <c r="AD37" s="9"/>
      <c r="AE37" s="14" t="str">
        <f>+T16</f>
        <v>C10</v>
      </c>
      <c r="AF37" s="71">
        <f>IF(ISTEXT(AE37),AF35,0)</f>
        <v>5</v>
      </c>
      <c r="AG37" s="64">
        <f>IF(ISTEXT(AE37),AG35,0)</f>
        <v>1</v>
      </c>
      <c r="AH37" s="72">
        <f>IF(ISTEXT(AE37),AH35,0)</f>
        <v>-4</v>
      </c>
      <c r="AI37" s="9"/>
      <c r="AJ37" s="14" t="str">
        <f>+W16</f>
        <v>C13</v>
      </c>
      <c r="AK37" s="71">
        <f>IF(ISTEXT(AJ37),AK35,0)</f>
        <v>6</v>
      </c>
      <c r="AL37" s="64">
        <f>IF(ISTEXT(AJ37),AL35,0)</f>
        <v>1</v>
      </c>
      <c r="AM37" s="72">
        <f>IF(ISTEXT(AJ37),AM35,0)</f>
        <v>-1</v>
      </c>
      <c r="AN37" s="23"/>
      <c r="AO37" s="54">
        <v>29</v>
      </c>
      <c r="AP37" s="322" t="str">
        <f>+Inscrits!D13</f>
        <v>B11</v>
      </c>
      <c r="AQ37" s="286">
        <f t="shared" si="3"/>
        <v>1</v>
      </c>
      <c r="AR37" s="99">
        <f t="shared" si="4"/>
        <v>-1</v>
      </c>
      <c r="AS37" s="219">
        <f t="shared" si="5"/>
        <v>12</v>
      </c>
      <c r="AT37" s="289">
        <f t="shared" si="6"/>
        <v>1</v>
      </c>
      <c r="AU37" s="99">
        <f t="shared" si="7"/>
        <v>-3</v>
      </c>
      <c r="AV37" s="291">
        <f t="shared" si="8"/>
        <v>5</v>
      </c>
      <c r="AW37" s="286">
        <f t="shared" si="9"/>
        <v>1</v>
      </c>
      <c r="AX37" s="99">
        <f t="shared" si="10"/>
        <v>-1</v>
      </c>
      <c r="AY37" s="291">
        <f t="shared" si="11"/>
        <v>6</v>
      </c>
      <c r="AZ37" s="286">
        <f t="shared" si="17"/>
        <v>3</v>
      </c>
      <c r="BA37" s="99">
        <f t="shared" si="12"/>
        <v>-5</v>
      </c>
      <c r="BB37" s="291">
        <f t="shared" si="13"/>
        <v>23</v>
      </c>
      <c r="BC37" s="294">
        <f t="shared" si="14"/>
        <v>-5</v>
      </c>
      <c r="BD37" s="7">
        <f t="shared" si="15"/>
        <v>0</v>
      </c>
      <c r="BE37" s="218">
        <f t="shared" si="16"/>
        <v>48.047700370000001</v>
      </c>
      <c r="BF37" s="99">
        <f>IF(AP37="","",SMALL(BE$9:BE$62,ROWS(AZ$9:AZ37)))</f>
        <v>6.0281003900000005</v>
      </c>
      <c r="BG37" s="88"/>
      <c r="BH37" s="99" t="str">
        <f>IF(OR(AP37="",AZ37=""),"",INDEX($AP$9:$AP$63,MATCH(BF37,$BE$9:BE$62,0)))</f>
        <v>B13</v>
      </c>
      <c r="BI37" s="7">
        <f t="shared" si="0"/>
        <v>7</v>
      </c>
      <c r="BJ37" s="7">
        <f t="shared" si="1"/>
        <v>-3</v>
      </c>
      <c r="BK37" s="7">
        <f t="shared" si="2"/>
        <v>19</v>
      </c>
      <c r="BL37" s="280">
        <f>IF(BF37="","",IF(AND(BI36=BI37,BJ36=BJ37,BK36=BK37),BL36,$BL$9+28))</f>
        <v>29</v>
      </c>
      <c r="BM37" s="29"/>
      <c r="BN37" s="3"/>
    </row>
    <row r="38" spans="1:66" ht="15.7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P38" s="23"/>
      <c r="Q38" s="23"/>
      <c r="R38" s="23"/>
      <c r="S38" s="23"/>
      <c r="T38" s="23"/>
      <c r="U38" s="23"/>
      <c r="V38" s="23"/>
      <c r="W38" s="23"/>
      <c r="X38" s="23"/>
      <c r="Y38" s="447"/>
      <c r="Z38" s="32"/>
      <c r="AA38" s="21" t="s">
        <v>5</v>
      </c>
      <c r="AB38" s="21"/>
      <c r="AC38" s="22"/>
      <c r="AD38" s="1"/>
      <c r="AE38" s="32"/>
      <c r="AF38" s="21" t="s">
        <v>5</v>
      </c>
      <c r="AG38" s="21"/>
      <c r="AH38" s="22"/>
      <c r="AI38" s="1"/>
      <c r="AJ38" s="32"/>
      <c r="AK38" s="21" t="s">
        <v>5</v>
      </c>
      <c r="AL38" s="21"/>
      <c r="AM38" s="22"/>
      <c r="AN38" s="23"/>
      <c r="AO38" s="54">
        <v>30</v>
      </c>
      <c r="AP38" s="322" t="str">
        <f>+Inscrits!D14</f>
        <v>B12</v>
      </c>
      <c r="AQ38" s="286">
        <f t="shared" si="3"/>
        <v>3</v>
      </c>
      <c r="AR38" s="99">
        <f t="shared" si="4"/>
        <v>1</v>
      </c>
      <c r="AS38" s="219">
        <f t="shared" si="5"/>
        <v>13</v>
      </c>
      <c r="AT38" s="289">
        <f t="shared" si="6"/>
        <v>3</v>
      </c>
      <c r="AU38" s="99">
        <f t="shared" si="7"/>
        <v>3</v>
      </c>
      <c r="AV38" s="291">
        <f t="shared" si="8"/>
        <v>8</v>
      </c>
      <c r="AW38" s="286">
        <f t="shared" si="9"/>
        <v>3</v>
      </c>
      <c r="AX38" s="99">
        <f t="shared" si="10"/>
        <v>1</v>
      </c>
      <c r="AY38" s="291">
        <f t="shared" si="11"/>
        <v>7</v>
      </c>
      <c r="AZ38" s="286">
        <f t="shared" si="17"/>
        <v>9</v>
      </c>
      <c r="BA38" s="99">
        <f t="shared" si="12"/>
        <v>5</v>
      </c>
      <c r="BB38" s="291">
        <f t="shared" si="13"/>
        <v>28</v>
      </c>
      <c r="BC38" s="294">
        <f t="shared" si="14"/>
        <v>0</v>
      </c>
      <c r="BD38" s="7">
        <f t="shared" si="15"/>
        <v>5</v>
      </c>
      <c r="BE38" s="218">
        <f t="shared" si="16"/>
        <v>0.94720037999999995</v>
      </c>
      <c r="BF38" s="99">
        <f>IF(AP38="","",SMALL(BE$9:BE$62,ROWS(AZ$9:AZ38)))</f>
        <v>29.967800400000002</v>
      </c>
      <c r="BG38" s="88"/>
      <c r="BH38" s="99" t="str">
        <f>IF(OR(AP38="",AZ38=""),"",INDEX($AP$9:$AP$63,MATCH(BF38,$BE$9:BE$62,0)))</f>
        <v>B14</v>
      </c>
      <c r="BI38" s="7">
        <f t="shared" si="0"/>
        <v>5</v>
      </c>
      <c r="BJ38" s="7">
        <f t="shared" si="1"/>
        <v>3</v>
      </c>
      <c r="BK38" s="7">
        <f t="shared" si="2"/>
        <v>22</v>
      </c>
      <c r="BL38" s="280">
        <f>IF(BF38="","",IF(AND(BI37=BI38,BJ37=BJ38,BK37=BK38),BL37,$BL$9+29))</f>
        <v>30</v>
      </c>
      <c r="BM38" s="29"/>
      <c r="BN38" s="3"/>
    </row>
    <row r="39" spans="1:66" ht="15.7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P39" s="23"/>
      <c r="Q39" s="23"/>
      <c r="R39" s="23"/>
      <c r="S39" s="23"/>
      <c r="T39" s="23"/>
      <c r="U39" s="23"/>
      <c r="V39" s="23"/>
      <c r="W39" s="23"/>
      <c r="X39" s="23"/>
      <c r="Y39" s="447"/>
      <c r="Z39" s="14" t="str">
        <f>+O17</f>
        <v>A8</v>
      </c>
      <c r="AA39" s="35">
        <v>4</v>
      </c>
      <c r="AB39" s="30">
        <f>IF(AA35+AA39=0,0,IF(AA35=AA39,2,IF(AA35&lt;AA39,3,1)))</f>
        <v>1</v>
      </c>
      <c r="AC39" s="15">
        <f>AA39-AA35</f>
        <v>-9</v>
      </c>
      <c r="AD39" s="9"/>
      <c r="AE39" s="14" t="str">
        <f>+R17</f>
        <v>A9</v>
      </c>
      <c r="AF39" s="127">
        <v>9</v>
      </c>
      <c r="AG39" s="30">
        <f>IF(AF35+AF39=0,0,IF(AF35=AF39,2,IF(AF35&lt;AF39,3,1)))</f>
        <v>3</v>
      </c>
      <c r="AH39" s="15">
        <f>AF39-AF35</f>
        <v>4</v>
      </c>
      <c r="AI39" s="9"/>
      <c r="AJ39" s="14" t="str">
        <f>+U17</f>
        <v>A10</v>
      </c>
      <c r="AK39" s="37">
        <v>7</v>
      </c>
      <c r="AL39" s="30">
        <f>IF(AK35+AK39=0,0,IF(AK35=AK39,2,IF(AK35&lt;AK39,3,1)))</f>
        <v>3</v>
      </c>
      <c r="AM39" s="15">
        <f>AK39-AK35</f>
        <v>1</v>
      </c>
      <c r="AN39" s="23"/>
      <c r="AO39" s="54">
        <v>31</v>
      </c>
      <c r="AP39" s="322" t="str">
        <f>+Inscrits!D15</f>
        <v>B13</v>
      </c>
      <c r="AQ39" s="286">
        <f t="shared" si="3"/>
        <v>1</v>
      </c>
      <c r="AR39" s="99">
        <f t="shared" si="4"/>
        <v>-11</v>
      </c>
      <c r="AS39" s="219">
        <f t="shared" si="5"/>
        <v>2</v>
      </c>
      <c r="AT39" s="289">
        <f t="shared" si="6"/>
        <v>3</v>
      </c>
      <c r="AU39" s="99">
        <f t="shared" si="7"/>
        <v>5</v>
      </c>
      <c r="AV39" s="291">
        <f t="shared" si="8"/>
        <v>10</v>
      </c>
      <c r="AW39" s="286">
        <f t="shared" si="9"/>
        <v>3</v>
      </c>
      <c r="AX39" s="99">
        <f t="shared" si="10"/>
        <v>3</v>
      </c>
      <c r="AY39" s="291">
        <f t="shared" si="11"/>
        <v>7</v>
      </c>
      <c r="AZ39" s="286">
        <f t="shared" si="17"/>
        <v>7</v>
      </c>
      <c r="BA39" s="99">
        <f t="shared" si="12"/>
        <v>-3</v>
      </c>
      <c r="BB39" s="291">
        <f t="shared" si="13"/>
        <v>19</v>
      </c>
      <c r="BC39" s="294">
        <f t="shared" si="14"/>
        <v>-3</v>
      </c>
      <c r="BD39" s="7">
        <f t="shared" si="15"/>
        <v>0</v>
      </c>
      <c r="BE39" s="218">
        <f t="shared" si="16"/>
        <v>6.0281003900000005</v>
      </c>
      <c r="BF39" s="99">
        <f>IF(AP39="","",SMALL(BE$9:BE$62,ROWS(AZ$9:AZ39)))</f>
        <v>29.987700269999998</v>
      </c>
      <c r="BG39" s="88"/>
      <c r="BH39" s="99" t="str">
        <f>IF(OR(AP39="",AZ39=""),"",INDEX($AP$9:$AP$63,MATCH(BF39,$BE$9:BE$62,0)))</f>
        <v>B1</v>
      </c>
      <c r="BI39" s="7">
        <f t="shared" si="0"/>
        <v>5</v>
      </c>
      <c r="BJ39" s="7">
        <f t="shared" si="1"/>
        <v>1</v>
      </c>
      <c r="BK39" s="7">
        <f t="shared" si="2"/>
        <v>23</v>
      </c>
      <c r="BL39" s="280">
        <f>IF(BF39="","",IF(AND(BI38=BI39,BJ38=BJ39,BK38=BK39),BL38,$BL$9+30))</f>
        <v>31</v>
      </c>
      <c r="BM39" s="29"/>
      <c r="BN39" s="3"/>
    </row>
    <row r="40" spans="1:66" ht="16.5" thickBo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P40" s="23"/>
      <c r="Q40" s="23"/>
      <c r="R40" s="23"/>
      <c r="S40" s="23"/>
      <c r="T40" s="23"/>
      <c r="U40" s="23"/>
      <c r="V40" s="23"/>
      <c r="W40" s="23"/>
      <c r="X40" s="23"/>
      <c r="Y40" s="447"/>
      <c r="Z40" s="14" t="str">
        <f>+P17</f>
        <v>B8</v>
      </c>
      <c r="AA40" s="17">
        <f>IF(ISTEXT(Z40),AA39,0)</f>
        <v>4</v>
      </c>
      <c r="AB40" s="18">
        <f>IF(ISTEXT(Z40),AB39,0)</f>
        <v>1</v>
      </c>
      <c r="AC40" s="19">
        <f>IF(ISTEXT(Z40),AC39,0)</f>
        <v>-9</v>
      </c>
      <c r="AD40" s="9"/>
      <c r="AE40" s="14" t="str">
        <f>+S17</f>
        <v>B10</v>
      </c>
      <c r="AF40" s="17">
        <f>IF(ISTEXT(AE40),AF39,0)</f>
        <v>9</v>
      </c>
      <c r="AG40" s="18">
        <f>IF(ISTEXT(AE40),AG39,0)</f>
        <v>3</v>
      </c>
      <c r="AH40" s="19">
        <f>IF(ISTEXT(AE40),AH39,0)</f>
        <v>4</v>
      </c>
      <c r="AI40" s="9"/>
      <c r="AJ40" s="14" t="str">
        <f>+V17</f>
        <v>B12</v>
      </c>
      <c r="AK40" s="17">
        <f>IF(ISTEXT(AJ40),AK39,0)</f>
        <v>7</v>
      </c>
      <c r="AL40" s="18">
        <f>IF(ISTEXT(AJ40),AL39,0)</f>
        <v>3</v>
      </c>
      <c r="AM40" s="19">
        <f>IF(ISTEXT(AJ40),AM39,0)</f>
        <v>1</v>
      </c>
      <c r="AN40" s="23"/>
      <c r="AO40" s="54">
        <v>32</v>
      </c>
      <c r="AP40" s="322" t="str">
        <f>+Inscrits!D16</f>
        <v>B14</v>
      </c>
      <c r="AQ40" s="286">
        <f t="shared" si="3"/>
        <v>3</v>
      </c>
      <c r="AR40" s="99">
        <f t="shared" si="4"/>
        <v>11</v>
      </c>
      <c r="AS40" s="219">
        <f t="shared" si="5"/>
        <v>13</v>
      </c>
      <c r="AT40" s="289">
        <f t="shared" si="6"/>
        <v>1</v>
      </c>
      <c r="AU40" s="99">
        <f t="shared" si="7"/>
        <v>-5</v>
      </c>
      <c r="AV40" s="291">
        <f t="shared" si="8"/>
        <v>5</v>
      </c>
      <c r="AW40" s="286">
        <f t="shared" si="9"/>
        <v>1</v>
      </c>
      <c r="AX40" s="99">
        <f t="shared" si="10"/>
        <v>-3</v>
      </c>
      <c r="AY40" s="291">
        <f t="shared" si="11"/>
        <v>4</v>
      </c>
      <c r="AZ40" s="286">
        <f t="shared" si="17"/>
        <v>5</v>
      </c>
      <c r="BA40" s="99">
        <f t="shared" si="12"/>
        <v>3</v>
      </c>
      <c r="BB40" s="291">
        <f t="shared" si="13"/>
        <v>22</v>
      </c>
      <c r="BC40" s="294">
        <f t="shared" si="14"/>
        <v>0</v>
      </c>
      <c r="BD40" s="7">
        <f t="shared" si="15"/>
        <v>3</v>
      </c>
      <c r="BE40" s="218">
        <f t="shared" si="16"/>
        <v>29.967800400000002</v>
      </c>
      <c r="BF40" s="99">
        <f>IF(AP40="","",SMALL(BE$9:BE$62,ROWS(AZ$9:AZ40)))</f>
        <v>29.987800119999999</v>
      </c>
      <c r="BG40" s="88"/>
      <c r="BH40" s="99" t="str">
        <f>IF(OR(AP40="",AZ40=""),"",INDEX($AP$9:$AP$63,MATCH(BF40,$BE$9:BE$62,0)))</f>
        <v>A4</v>
      </c>
      <c r="BI40" s="7">
        <f t="shared" si="0"/>
        <v>5</v>
      </c>
      <c r="BJ40" s="7">
        <f t="shared" si="1"/>
        <v>1</v>
      </c>
      <c r="BK40" s="7">
        <f t="shared" si="2"/>
        <v>22</v>
      </c>
      <c r="BL40" s="280">
        <f>IF(BF40="","",IF(AND(BI39=BI40,BJ39=BJ40,BK39=BK40),BL39,$BL$9+31))</f>
        <v>32</v>
      </c>
      <c r="BM40" s="29"/>
      <c r="BN40" s="3"/>
    </row>
    <row r="41" spans="1:66" ht="16.5" thickBo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P41" s="23"/>
      <c r="Q41" s="23"/>
      <c r="R41" s="23"/>
      <c r="S41" s="23"/>
      <c r="T41" s="23"/>
      <c r="U41" s="23"/>
      <c r="V41" s="23"/>
      <c r="W41" s="23"/>
      <c r="X41" s="23"/>
      <c r="Y41" s="448"/>
      <c r="Z41" s="16" t="str">
        <f>+Q17</f>
        <v>C8</v>
      </c>
      <c r="AA41" s="17">
        <f>IF(ISTEXT(Z41),AA39,0)</f>
        <v>4</v>
      </c>
      <c r="AB41" s="18">
        <f>IF(ISTEXT(Z41),AB39,0)</f>
        <v>1</v>
      </c>
      <c r="AC41" s="19">
        <f>IF(ISTEXT(Z41),AC39,0)</f>
        <v>-9</v>
      </c>
      <c r="AD41" s="9"/>
      <c r="AE41" s="16" t="str">
        <f>+T17</f>
        <v>C11</v>
      </c>
      <c r="AF41" s="17">
        <f>IF(ISTEXT(AE41),AF39,0)</f>
        <v>9</v>
      </c>
      <c r="AG41" s="18">
        <f>IF(ISTEXT(AE41),AG39,0)</f>
        <v>3</v>
      </c>
      <c r="AH41" s="19">
        <f>IF(ISTEXT(AE41),AH39,0)</f>
        <v>4</v>
      </c>
      <c r="AI41" s="9"/>
      <c r="AJ41" s="16" t="str">
        <f>+W17</f>
        <v>C14</v>
      </c>
      <c r="AK41" s="17">
        <f>IF(ISTEXT(AJ41),AK39,0)</f>
        <v>7</v>
      </c>
      <c r="AL41" s="18">
        <f>IF(ISTEXT(AJ41),AL39,0)</f>
        <v>3</v>
      </c>
      <c r="AM41" s="19">
        <f>IF(ISTEXT(AJ41),AM39,0)</f>
        <v>1</v>
      </c>
      <c r="AN41" s="23"/>
      <c r="AO41" s="54">
        <v>33</v>
      </c>
      <c r="AP41" s="322" t="str">
        <f>+Inscrits!D17</f>
        <v>B15</v>
      </c>
      <c r="AQ41" s="286">
        <f t="shared" si="3"/>
        <v>1</v>
      </c>
      <c r="AR41" s="99">
        <f t="shared" si="4"/>
        <v>-4</v>
      </c>
      <c r="AS41" s="219">
        <f t="shared" si="5"/>
        <v>8</v>
      </c>
      <c r="AT41" s="289">
        <f t="shared" si="6"/>
        <v>1</v>
      </c>
      <c r="AU41" s="99">
        <f t="shared" si="7"/>
        <v>-1</v>
      </c>
      <c r="AV41" s="291">
        <f t="shared" si="8"/>
        <v>11</v>
      </c>
      <c r="AW41" s="286">
        <f t="shared" si="9"/>
        <v>1</v>
      </c>
      <c r="AX41" s="99">
        <f t="shared" si="10"/>
        <v>-3</v>
      </c>
      <c r="AY41" s="291">
        <f t="shared" si="11"/>
        <v>8</v>
      </c>
      <c r="AZ41" s="286">
        <f t="shared" si="17"/>
        <v>3</v>
      </c>
      <c r="BA41" s="99">
        <f t="shared" si="12"/>
        <v>-8</v>
      </c>
      <c r="BB41" s="291">
        <f t="shared" si="13"/>
        <v>27</v>
      </c>
      <c r="BC41" s="294">
        <f t="shared" si="14"/>
        <v>-8</v>
      </c>
      <c r="BD41" s="7">
        <f t="shared" si="15"/>
        <v>0</v>
      </c>
      <c r="BE41" s="218">
        <f t="shared" si="16"/>
        <v>48.077300409999999</v>
      </c>
      <c r="BF41" s="99">
        <f>IF(AP41="","",SMALL(BE$9:BE$62,ROWS(AZ$9:AZ41)))</f>
        <v>29.9971003</v>
      </c>
      <c r="BG41" s="88"/>
      <c r="BH41" s="99" t="str">
        <f>IF(OR(AP41="",AZ41=""),"",INDEX($AP$9:$AP$63,MATCH(BF41,$BE$9:BE$62,0)))</f>
        <v>B4</v>
      </c>
      <c r="BI41" s="7">
        <f t="shared" ref="BI41:BI62" si="18">IF(AP41="","",INDEX($AZ$9:$AZ$63,MATCH(BF41,$BE$9:$BE$62,0)))</f>
        <v>5</v>
      </c>
      <c r="BJ41" s="7">
        <f t="shared" ref="BJ41:BJ62" si="19">IF(AP41="","",INDEX($BA$9:$BA$63,MATCH(BF41,$BE$9:$BE$62,0)))</f>
        <v>0</v>
      </c>
      <c r="BK41" s="7">
        <f t="shared" ref="BK41:BK62" si="20">IF(AP41="","",INDEX($BB$9:$BB$63,MATCH(BF41,$BE$9:$BE$62,0)))</f>
        <v>29</v>
      </c>
      <c r="BL41" s="280">
        <f>IF(BF41="","",IF(AND(BI40=BI41,BJ40=BJ41,BK40=BK41),BL40,$BL$9+32))</f>
        <v>33</v>
      </c>
      <c r="BM41" s="29"/>
      <c r="BN41" s="3"/>
    </row>
    <row r="42" spans="1:66" ht="16.5" thickBo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P42" s="23"/>
      <c r="Q42" s="23"/>
      <c r="R42" s="23"/>
      <c r="S42" s="23"/>
      <c r="T42" s="23"/>
      <c r="U42" s="23"/>
      <c r="V42" s="23"/>
      <c r="W42" s="23"/>
      <c r="X42" s="23"/>
      <c r="Y42" s="128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23"/>
      <c r="AO42" s="54">
        <v>34</v>
      </c>
      <c r="AP42" s="322" t="str">
        <f>+Inscrits!D18</f>
        <v>B16</v>
      </c>
      <c r="AQ42" s="286">
        <f t="shared" si="3"/>
        <v>3</v>
      </c>
      <c r="AR42" s="99">
        <f t="shared" si="4"/>
        <v>4</v>
      </c>
      <c r="AS42" s="219">
        <f t="shared" si="5"/>
        <v>12</v>
      </c>
      <c r="AT42" s="289">
        <f t="shared" si="6"/>
        <v>3</v>
      </c>
      <c r="AU42" s="99">
        <f t="shared" si="7"/>
        <v>1</v>
      </c>
      <c r="AV42" s="291">
        <f t="shared" si="8"/>
        <v>12</v>
      </c>
      <c r="AW42" s="286">
        <f t="shared" si="9"/>
        <v>3</v>
      </c>
      <c r="AX42" s="99">
        <f t="shared" si="10"/>
        <v>3</v>
      </c>
      <c r="AY42" s="291">
        <f t="shared" si="11"/>
        <v>11</v>
      </c>
      <c r="AZ42" s="286">
        <f t="shared" si="17"/>
        <v>9</v>
      </c>
      <c r="BA42" s="99">
        <f t="shared" si="12"/>
        <v>8</v>
      </c>
      <c r="BB42" s="291">
        <f t="shared" si="13"/>
        <v>35</v>
      </c>
      <c r="BC42" s="294">
        <f t="shared" si="14"/>
        <v>0</v>
      </c>
      <c r="BD42" s="7">
        <f t="shared" si="15"/>
        <v>8</v>
      </c>
      <c r="BE42" s="218">
        <f t="shared" si="16"/>
        <v>0.91650042000000009</v>
      </c>
      <c r="BF42" s="99">
        <f>IF(AP42="","",SMALL(BE$9:BE$62,ROWS(AZ$9:AZ42)))</f>
        <v>29.997300599999999</v>
      </c>
      <c r="BG42" s="88"/>
      <c r="BH42" s="99" t="str">
        <f>IF(OR(AP42="",AZ42=""),"",INDEX($AP$9:$AP$63,MATCH(BF42,$BE$9:BE$62,0)))</f>
        <v>C16</v>
      </c>
      <c r="BI42" s="7">
        <f t="shared" si="18"/>
        <v>5</v>
      </c>
      <c r="BJ42" s="7">
        <f t="shared" si="19"/>
        <v>0</v>
      </c>
      <c r="BK42" s="7">
        <f t="shared" si="20"/>
        <v>27</v>
      </c>
      <c r="BL42" s="280">
        <f>IF(BF42="","",IF(AND(BI41=BI42,BJ41=BJ42,BK41=BK42),BL41,$BL$9+33))</f>
        <v>34</v>
      </c>
      <c r="BM42" s="29"/>
      <c r="BN42" s="3"/>
    </row>
    <row r="43" spans="1:66" ht="15.7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P43" s="23"/>
      <c r="Q43" s="23"/>
      <c r="R43" s="23"/>
      <c r="S43" s="23"/>
      <c r="T43" s="23"/>
      <c r="U43" s="23"/>
      <c r="V43" s="23"/>
      <c r="W43" s="23"/>
      <c r="X43" s="23"/>
      <c r="Y43" s="446">
        <v>5</v>
      </c>
      <c r="Z43" s="12" t="str">
        <f>+O18</f>
        <v>A9</v>
      </c>
      <c r="AA43" s="33">
        <v>13</v>
      </c>
      <c r="AB43" s="48">
        <f>IF(AA43+AA47=0,0,IF(AA43=AA47,2,IF(AA43&gt;AA47,3,1)))</f>
        <v>3</v>
      </c>
      <c r="AC43" s="13">
        <f>AA43-AA47</f>
        <v>11</v>
      </c>
      <c r="AD43" s="9"/>
      <c r="AE43" s="12" t="str">
        <f>+R18</f>
        <v>A10</v>
      </c>
      <c r="AF43" s="126">
        <v>5</v>
      </c>
      <c r="AG43" s="48">
        <f>IF(AF43+AF47=0,0,IF(AF43=AF47,2,IF(AF43&gt;AF47,3,1)))</f>
        <v>1</v>
      </c>
      <c r="AH43" s="13">
        <f>AF43-AF47</f>
        <v>-3</v>
      </c>
      <c r="AI43" s="9"/>
      <c r="AJ43" s="12" t="str">
        <f>+U18</f>
        <v>A11</v>
      </c>
      <c r="AK43" s="36">
        <v>7</v>
      </c>
      <c r="AL43" s="48">
        <f>IF(AK43+AK47=0,0,IF(AK43=AK47,2,IF(AK43&gt;AK47,3,1)))</f>
        <v>3</v>
      </c>
      <c r="AM43" s="13">
        <f>AK43-AK47</f>
        <v>3</v>
      </c>
      <c r="AN43" s="23"/>
      <c r="AO43" s="54">
        <v>35</v>
      </c>
      <c r="AP43" s="322" t="str">
        <f>+Inscrits!D19</f>
        <v>B17</v>
      </c>
      <c r="AQ43" s="286">
        <f t="shared" si="3"/>
        <v>3</v>
      </c>
      <c r="AR43" s="99">
        <f t="shared" si="4"/>
        <v>6</v>
      </c>
      <c r="AS43" s="219">
        <f t="shared" si="5"/>
        <v>11</v>
      </c>
      <c r="AT43" s="289">
        <f t="shared" si="6"/>
        <v>3</v>
      </c>
      <c r="AU43" s="99">
        <f t="shared" si="7"/>
        <v>1</v>
      </c>
      <c r="AV43" s="291">
        <f t="shared" si="8"/>
        <v>10</v>
      </c>
      <c r="AW43" s="286">
        <f t="shared" si="9"/>
        <v>3</v>
      </c>
      <c r="AX43" s="99">
        <f t="shared" si="10"/>
        <v>3</v>
      </c>
      <c r="AY43" s="291">
        <f t="shared" si="11"/>
        <v>10</v>
      </c>
      <c r="AZ43" s="286">
        <f t="shared" si="17"/>
        <v>9</v>
      </c>
      <c r="BA43" s="99">
        <f t="shared" si="12"/>
        <v>10</v>
      </c>
      <c r="BB43" s="291">
        <f t="shared" si="13"/>
        <v>31</v>
      </c>
      <c r="BC43" s="294">
        <f t="shared" si="14"/>
        <v>0</v>
      </c>
      <c r="BD43" s="7">
        <f t="shared" si="15"/>
        <v>10</v>
      </c>
      <c r="BE43" s="218">
        <f t="shared" si="16"/>
        <v>0.89690043000000008</v>
      </c>
      <c r="BF43" s="99">
        <f>IF(AP43="","",SMALL(BE$9:BE$62,ROWS(AZ$9:AZ43)))</f>
        <v>30.007600450000002</v>
      </c>
      <c r="BG43" s="88"/>
      <c r="BH43" s="99" t="str">
        <f>IF(OR(AP43="",AZ43=""),"",INDEX($AP$9:$AP$63,MATCH(BF43,$BE$9:BE$62,0)))</f>
        <v>C1</v>
      </c>
      <c r="BI43" s="7">
        <f t="shared" si="18"/>
        <v>5</v>
      </c>
      <c r="BJ43" s="7">
        <f t="shared" si="19"/>
        <v>-1</v>
      </c>
      <c r="BK43" s="7">
        <f t="shared" si="20"/>
        <v>24</v>
      </c>
      <c r="BL43" s="280">
        <f>IF(BF43="","",IF(AND(BI42=BI43,BJ42=BJ43,BK42=BK43),BL42,$BL$9+34))</f>
        <v>35</v>
      </c>
      <c r="BM43" s="29"/>
      <c r="BN43" s="3"/>
    </row>
    <row r="44" spans="1:66" ht="16.5" thickBo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P44" s="23"/>
      <c r="Q44" s="23"/>
      <c r="R44" s="23"/>
      <c r="S44" s="23"/>
      <c r="T44" s="23"/>
      <c r="U44" s="23"/>
      <c r="V44" s="23"/>
      <c r="W44" s="23"/>
      <c r="X44" s="23"/>
      <c r="Y44" s="447"/>
      <c r="Z44" s="14" t="str">
        <f>+P18</f>
        <v>B9</v>
      </c>
      <c r="AA44" s="17">
        <f>IF(ISTEXT(Z44),AA43,0)</f>
        <v>13</v>
      </c>
      <c r="AB44" s="18">
        <f>IF(ISTEXT(Z44),AB43,0)</f>
        <v>3</v>
      </c>
      <c r="AC44" s="19">
        <f>IF(ISTEXT(Z44),AC43,0)</f>
        <v>11</v>
      </c>
      <c r="AD44" s="9"/>
      <c r="AE44" s="14" t="str">
        <f>+S18</f>
        <v>B11</v>
      </c>
      <c r="AF44" s="17">
        <f>IF(ISTEXT(AE44),AF43,0)</f>
        <v>5</v>
      </c>
      <c r="AG44" s="59">
        <f>IF(ISTEXT(AE44),AG43,0)</f>
        <v>1</v>
      </c>
      <c r="AH44" s="19">
        <f>IF(ISTEXT(AE44),AH43,0)</f>
        <v>-3</v>
      </c>
      <c r="AI44" s="9"/>
      <c r="AJ44" s="14" t="str">
        <f>+V18</f>
        <v>B13</v>
      </c>
      <c r="AK44" s="17">
        <f>IF(ISTEXT(AJ44),AK43,0)</f>
        <v>7</v>
      </c>
      <c r="AL44" s="59">
        <f>IF(ISTEXT(AJ44),AL43,0)</f>
        <v>3</v>
      </c>
      <c r="AM44" s="19">
        <f>IF(ISTEXT(AJ44),AM43,0)</f>
        <v>3</v>
      </c>
      <c r="AN44" s="23"/>
      <c r="AO44" s="54">
        <v>36</v>
      </c>
      <c r="AP44" s="322" t="str">
        <f>+Inscrits!D20</f>
        <v>B18</v>
      </c>
      <c r="AQ44" s="286">
        <f t="shared" si="3"/>
        <v>1</v>
      </c>
      <c r="AR44" s="99">
        <f t="shared" si="4"/>
        <v>-6</v>
      </c>
      <c r="AS44" s="219">
        <f t="shared" si="5"/>
        <v>5</v>
      </c>
      <c r="AT44" s="289">
        <f t="shared" si="6"/>
        <v>1</v>
      </c>
      <c r="AU44" s="99">
        <f t="shared" si="7"/>
        <v>-1</v>
      </c>
      <c r="AV44" s="291">
        <f t="shared" si="8"/>
        <v>9</v>
      </c>
      <c r="AW44" s="286">
        <f t="shared" si="9"/>
        <v>1</v>
      </c>
      <c r="AX44" s="99">
        <f t="shared" si="10"/>
        <v>-3</v>
      </c>
      <c r="AY44" s="291">
        <f t="shared" si="11"/>
        <v>7</v>
      </c>
      <c r="AZ44" s="286">
        <f t="shared" si="17"/>
        <v>3</v>
      </c>
      <c r="BA44" s="99">
        <f t="shared" si="12"/>
        <v>-10</v>
      </c>
      <c r="BB44" s="291">
        <f t="shared" si="13"/>
        <v>21</v>
      </c>
      <c r="BC44" s="294">
        <f t="shared" si="14"/>
        <v>-10</v>
      </c>
      <c r="BD44" s="7">
        <f t="shared" si="15"/>
        <v>0</v>
      </c>
      <c r="BE44" s="218">
        <f t="shared" si="16"/>
        <v>48.097900440000004</v>
      </c>
      <c r="BF44" s="99">
        <f>IF(AP44="","",SMALL(BE$9:BE$62,ROWS(AZ$9:AZ44)))</f>
        <v>30.007800520000004</v>
      </c>
      <c r="BG44" s="88"/>
      <c r="BH44" s="99" t="str">
        <f>IF(OR(AP44="",AZ44=""),"",INDEX($AP$9:$AP$63,MATCH(BF44,$BE$9:BE$62,0)))</f>
        <v>C8</v>
      </c>
      <c r="BI44" s="7">
        <f t="shared" si="18"/>
        <v>5</v>
      </c>
      <c r="BJ44" s="7">
        <f t="shared" si="19"/>
        <v>-1</v>
      </c>
      <c r="BK44" s="7">
        <f t="shared" si="20"/>
        <v>22</v>
      </c>
      <c r="BL44" s="280">
        <f>IF(BF44="","",IF(AND(BI43=BI44,BJ43=BJ44,BK43=BK44),BL43,$BL$9+35))</f>
        <v>36</v>
      </c>
      <c r="BM44" s="29"/>
      <c r="BN44" s="3"/>
    </row>
    <row r="45" spans="1:66" ht="15.7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P45" s="23"/>
      <c r="Q45" s="23"/>
      <c r="R45" s="23"/>
      <c r="S45" s="23"/>
      <c r="T45" s="23"/>
      <c r="U45" s="23"/>
      <c r="V45" s="23"/>
      <c r="W45" s="23"/>
      <c r="X45" s="23"/>
      <c r="Y45" s="447"/>
      <c r="Z45" s="14" t="str">
        <f>+Q18</f>
        <v>C9</v>
      </c>
      <c r="AA45" s="71">
        <f>IF(ISTEXT(Z45),AA43,0)</f>
        <v>13</v>
      </c>
      <c r="AB45" s="67">
        <f>IF(ISTEXT(Z45),AB43,0)</f>
        <v>3</v>
      </c>
      <c r="AC45" s="72">
        <f>IF(ISTEXT(Z45),AC43,0)</f>
        <v>11</v>
      </c>
      <c r="AD45" s="9"/>
      <c r="AE45" s="14" t="str">
        <f>+T18</f>
        <v>C12</v>
      </c>
      <c r="AF45" s="71">
        <f>IF(ISTEXT(AE45),AF43,0)</f>
        <v>5</v>
      </c>
      <c r="AG45" s="64">
        <f>IF(ISTEXT(AE45),AG43,0)</f>
        <v>1</v>
      </c>
      <c r="AH45" s="72">
        <f>IF(ISTEXT(AE45),AH43,0)</f>
        <v>-3</v>
      </c>
      <c r="AI45" s="9"/>
      <c r="AJ45" s="14" t="str">
        <f>+W18</f>
        <v>C15</v>
      </c>
      <c r="AK45" s="71">
        <f>IF(ISTEXT(AJ45),AK43,0)</f>
        <v>7</v>
      </c>
      <c r="AL45" s="64">
        <f>IF(ISTEXT(AJ45),AL43,0)</f>
        <v>3</v>
      </c>
      <c r="AM45" s="72">
        <f>IF(ISTEXT(AJ45),AM43,0)</f>
        <v>3</v>
      </c>
      <c r="AN45" s="23"/>
      <c r="AO45" s="54">
        <v>37</v>
      </c>
      <c r="AP45" s="323" t="str">
        <f>+Inscrits!F3</f>
        <v>C1</v>
      </c>
      <c r="AQ45" s="286">
        <f t="shared" si="3"/>
        <v>1</v>
      </c>
      <c r="AR45" s="99">
        <f t="shared" si="4"/>
        <v>-3</v>
      </c>
      <c r="AS45" s="219">
        <f t="shared" si="5"/>
        <v>5</v>
      </c>
      <c r="AT45" s="289">
        <f t="shared" si="6"/>
        <v>1</v>
      </c>
      <c r="AU45" s="99">
        <f t="shared" si="7"/>
        <v>-1</v>
      </c>
      <c r="AV45" s="291">
        <f t="shared" si="8"/>
        <v>9</v>
      </c>
      <c r="AW45" s="286">
        <f t="shared" si="9"/>
        <v>3</v>
      </c>
      <c r="AX45" s="99">
        <f t="shared" si="10"/>
        <v>3</v>
      </c>
      <c r="AY45" s="291">
        <f t="shared" si="11"/>
        <v>10</v>
      </c>
      <c r="AZ45" s="286">
        <f t="shared" si="17"/>
        <v>5</v>
      </c>
      <c r="BA45" s="99">
        <f t="shared" si="12"/>
        <v>-1</v>
      </c>
      <c r="BB45" s="291">
        <f t="shared" si="13"/>
        <v>24</v>
      </c>
      <c r="BC45" s="294">
        <f t="shared" si="14"/>
        <v>-1</v>
      </c>
      <c r="BD45" s="7">
        <f t="shared" si="15"/>
        <v>0</v>
      </c>
      <c r="BE45" s="218">
        <f t="shared" si="16"/>
        <v>30.007600450000002</v>
      </c>
      <c r="BF45" s="99">
        <f>IF(AP45="","",SMALL(BE$9:BE$62,ROWS(AZ$9:AZ45)))</f>
        <v>30.057800109999999</v>
      </c>
      <c r="BG45" s="88"/>
      <c r="BH45" s="99" t="str">
        <f>IF(OR(AP45="",AZ45=""),"",INDEX($AP$9:$AP$63,MATCH(BF45,$BE$9:BE$62,0)))</f>
        <v>A3</v>
      </c>
      <c r="BI45" s="7">
        <f t="shared" si="18"/>
        <v>5</v>
      </c>
      <c r="BJ45" s="7">
        <f t="shared" si="19"/>
        <v>-6</v>
      </c>
      <c r="BK45" s="7">
        <f t="shared" si="20"/>
        <v>22</v>
      </c>
      <c r="BL45" s="280">
        <f>IF(BF45="","",IF(AND(BI44=BI45,BJ44=BJ45,BK44=BK45),BL44,$BL$9+36))</f>
        <v>37</v>
      </c>
      <c r="BM45" s="29"/>
      <c r="BN45" s="3"/>
    </row>
    <row r="46" spans="1:66" ht="15.7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P46" s="23"/>
      <c r="Q46" s="23"/>
      <c r="R46" s="23"/>
      <c r="S46" s="23"/>
      <c r="T46" s="23"/>
      <c r="U46" s="23"/>
      <c r="V46" s="23"/>
      <c r="W46" s="23"/>
      <c r="X46" s="23"/>
      <c r="Y46" s="447"/>
      <c r="Z46" s="32"/>
      <c r="AA46" s="21" t="s">
        <v>5</v>
      </c>
      <c r="AB46" s="21"/>
      <c r="AC46" s="22"/>
      <c r="AD46" s="1"/>
      <c r="AE46" s="32"/>
      <c r="AF46" s="21" t="s">
        <v>5</v>
      </c>
      <c r="AG46" s="21"/>
      <c r="AH46" s="22"/>
      <c r="AI46" s="1"/>
      <c r="AJ46" s="32"/>
      <c r="AK46" s="21" t="s">
        <v>5</v>
      </c>
      <c r="AL46" s="21"/>
      <c r="AM46" s="22"/>
      <c r="AN46" s="23"/>
      <c r="AO46" s="54">
        <v>38</v>
      </c>
      <c r="AP46" s="323" t="str">
        <f>+Inscrits!F4</f>
        <v>C2</v>
      </c>
      <c r="AQ46" s="286">
        <f t="shared" si="3"/>
        <v>3</v>
      </c>
      <c r="AR46" s="99">
        <f t="shared" si="4"/>
        <v>3</v>
      </c>
      <c r="AS46" s="219">
        <f t="shared" si="5"/>
        <v>8</v>
      </c>
      <c r="AT46" s="289">
        <f t="shared" si="6"/>
        <v>1</v>
      </c>
      <c r="AU46" s="99">
        <f t="shared" si="7"/>
        <v>-8</v>
      </c>
      <c r="AV46" s="291">
        <f t="shared" si="8"/>
        <v>5</v>
      </c>
      <c r="AW46" s="286">
        <f t="shared" si="9"/>
        <v>1</v>
      </c>
      <c r="AX46" s="99">
        <f t="shared" si="10"/>
        <v>-3</v>
      </c>
      <c r="AY46" s="291">
        <f t="shared" si="11"/>
        <v>7</v>
      </c>
      <c r="AZ46" s="286">
        <f t="shared" si="17"/>
        <v>5</v>
      </c>
      <c r="BA46" s="99">
        <f t="shared" si="12"/>
        <v>-8</v>
      </c>
      <c r="BB46" s="291">
        <f t="shared" si="13"/>
        <v>20</v>
      </c>
      <c r="BC46" s="294">
        <f t="shared" si="14"/>
        <v>-8</v>
      </c>
      <c r="BD46" s="7">
        <f t="shared" si="15"/>
        <v>0</v>
      </c>
      <c r="BE46" s="218">
        <f t="shared" si="16"/>
        <v>30.078000459999998</v>
      </c>
      <c r="BF46" s="99">
        <f>IF(AP46="","",SMALL(BE$9:BE$62,ROWS(AZ$9:AZ46)))</f>
        <v>30.057900320000002</v>
      </c>
      <c r="BG46" s="88"/>
      <c r="BH46" s="99" t="str">
        <f>IF(OR(AP46="",AZ46=""),"",INDEX($AP$9:$AP$63,MATCH(BF46,$BE$9:BE$62,0)))</f>
        <v>B6</v>
      </c>
      <c r="BI46" s="7">
        <f t="shared" si="18"/>
        <v>5</v>
      </c>
      <c r="BJ46" s="7">
        <f t="shared" si="19"/>
        <v>-6</v>
      </c>
      <c r="BK46" s="7">
        <f t="shared" si="20"/>
        <v>21</v>
      </c>
      <c r="BL46" s="280">
        <f>IF(BF46="","",IF(AND(BI45=BI46,BJ45=BJ46,BK45=BK46),BL45,$BL$9+37))</f>
        <v>38</v>
      </c>
      <c r="BM46" s="29"/>
      <c r="BN46" s="3"/>
    </row>
    <row r="47" spans="1:66" ht="15.7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P47" s="23"/>
      <c r="Q47" s="23"/>
      <c r="R47" s="23"/>
      <c r="S47" s="23"/>
      <c r="T47" s="23"/>
      <c r="U47" s="23"/>
      <c r="V47" s="23"/>
      <c r="W47" s="23"/>
      <c r="X47" s="23"/>
      <c r="Y47" s="447"/>
      <c r="Z47" s="14" t="str">
        <f>+O19</f>
        <v>A10</v>
      </c>
      <c r="AA47" s="35">
        <v>2</v>
      </c>
      <c r="AB47" s="30">
        <f>IF(AA43+AA47=0,0,IF(AA43=AA47,2,IF(AA43&lt;AA47,3,1)))</f>
        <v>1</v>
      </c>
      <c r="AC47" s="15">
        <f>AA47-AA43</f>
        <v>-11</v>
      </c>
      <c r="AD47" s="9"/>
      <c r="AE47" s="14" t="str">
        <f>+R19</f>
        <v>A11</v>
      </c>
      <c r="AF47" s="127">
        <v>8</v>
      </c>
      <c r="AG47" s="30">
        <f>IF(AF43+AF47=0,0,IF(AF43=AF47,2,IF(AF43&lt;AF47,3,1)))</f>
        <v>3</v>
      </c>
      <c r="AH47" s="15">
        <f>AF47-AF43</f>
        <v>3</v>
      </c>
      <c r="AI47" s="9"/>
      <c r="AJ47" s="14" t="str">
        <f>+U19</f>
        <v>A12</v>
      </c>
      <c r="AK47" s="37">
        <v>4</v>
      </c>
      <c r="AL47" s="30">
        <f>IF(AK43+AK47=0,0,IF(AK43=AK47,2,IF(AK43&lt;AK47,3,1)))</f>
        <v>1</v>
      </c>
      <c r="AM47" s="15">
        <f>AK47-AK43</f>
        <v>-3</v>
      </c>
      <c r="AN47" s="23"/>
      <c r="AO47" s="54">
        <v>39</v>
      </c>
      <c r="AP47" s="323" t="str">
        <f>+Inscrits!F5</f>
        <v>C3</v>
      </c>
      <c r="AQ47" s="286">
        <f t="shared" si="3"/>
        <v>1</v>
      </c>
      <c r="AR47" s="99">
        <f t="shared" si="4"/>
        <v>-7</v>
      </c>
      <c r="AS47" s="219">
        <f t="shared" si="5"/>
        <v>4</v>
      </c>
      <c r="AT47" s="289">
        <f t="shared" si="6"/>
        <v>3</v>
      </c>
      <c r="AU47" s="99">
        <f t="shared" si="7"/>
        <v>8</v>
      </c>
      <c r="AV47" s="291">
        <f t="shared" si="8"/>
        <v>13</v>
      </c>
      <c r="AW47" s="286">
        <f t="shared" si="9"/>
        <v>3</v>
      </c>
      <c r="AX47" s="99">
        <f t="shared" si="10"/>
        <v>12</v>
      </c>
      <c r="AY47" s="291">
        <f t="shared" si="11"/>
        <v>13</v>
      </c>
      <c r="AZ47" s="286">
        <f t="shared" si="17"/>
        <v>7</v>
      </c>
      <c r="BA47" s="99">
        <f t="shared" si="12"/>
        <v>13</v>
      </c>
      <c r="BB47" s="291">
        <f t="shared" si="13"/>
        <v>30</v>
      </c>
      <c r="BC47" s="294">
        <f t="shared" si="14"/>
        <v>0</v>
      </c>
      <c r="BD47" s="7">
        <f t="shared" si="15"/>
        <v>13</v>
      </c>
      <c r="BE47" s="218">
        <f t="shared" si="16"/>
        <v>5.8670004699999998</v>
      </c>
      <c r="BF47" s="99">
        <f>IF(AP47="","",SMALL(BE$9:BE$62,ROWS(AZ$9:AZ47)))</f>
        <v>30.058000589999999</v>
      </c>
      <c r="BG47" s="88"/>
      <c r="BH47" s="99" t="str">
        <f>IF(OR(AP47="",AZ47=""),"",INDEX($AP$9:$AP$63,MATCH(BF47,$BE$9:BE$62,0)))</f>
        <v>C15</v>
      </c>
      <c r="BI47" s="7">
        <f t="shared" si="18"/>
        <v>5</v>
      </c>
      <c r="BJ47" s="7">
        <f t="shared" si="19"/>
        <v>-6</v>
      </c>
      <c r="BK47" s="7">
        <f t="shared" si="20"/>
        <v>20</v>
      </c>
      <c r="BL47" s="280">
        <f>IF(BF47="","",IF(AND(BI46=BI47,BJ46=BJ47,BK46=BK47),BL46,$BL$9+38))</f>
        <v>39</v>
      </c>
      <c r="BM47" s="29"/>
      <c r="BN47" s="3"/>
    </row>
    <row r="48" spans="1:66" ht="16.5" thickBo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P48" s="23"/>
      <c r="Q48" s="23"/>
      <c r="R48" s="23"/>
      <c r="S48" s="23"/>
      <c r="T48" s="23"/>
      <c r="U48" s="23"/>
      <c r="V48" s="23"/>
      <c r="W48" s="23"/>
      <c r="X48" s="23"/>
      <c r="Y48" s="447"/>
      <c r="Z48" s="14" t="str">
        <f>+P19</f>
        <v>B10</v>
      </c>
      <c r="AA48" s="17">
        <f>IF(ISTEXT(Z48),AA47,0)</f>
        <v>2</v>
      </c>
      <c r="AB48" s="18">
        <f>IF(ISTEXT(Z48),AB47,0)</f>
        <v>1</v>
      </c>
      <c r="AC48" s="19">
        <f>IF(ISTEXT(Z48),AC47,0)</f>
        <v>-11</v>
      </c>
      <c r="AD48" s="9"/>
      <c r="AE48" s="14" t="str">
        <f>+S19</f>
        <v>B12</v>
      </c>
      <c r="AF48" s="17">
        <f>IF(ISTEXT(AE48),AF47,0)</f>
        <v>8</v>
      </c>
      <c r="AG48" s="18">
        <f>IF(ISTEXT(AE48),AG47,0)</f>
        <v>3</v>
      </c>
      <c r="AH48" s="19">
        <f>IF(ISTEXT(AE48),AH47,0)</f>
        <v>3</v>
      </c>
      <c r="AI48" s="9"/>
      <c r="AJ48" s="14" t="str">
        <f>+V19</f>
        <v>B14</v>
      </c>
      <c r="AK48" s="17">
        <f>IF(ISTEXT(AJ48),AK47,0)</f>
        <v>4</v>
      </c>
      <c r="AL48" s="18">
        <f>IF(ISTEXT(AJ48),AL47,0)</f>
        <v>1</v>
      </c>
      <c r="AM48" s="19">
        <f>IF(ISTEXT(AJ48),AM47,0)</f>
        <v>-3</v>
      </c>
      <c r="AN48" s="23"/>
      <c r="AO48" s="54">
        <v>40</v>
      </c>
      <c r="AP48" s="323" t="str">
        <f>+Inscrits!F6</f>
        <v>C4</v>
      </c>
      <c r="AQ48" s="286">
        <f t="shared" si="3"/>
        <v>3</v>
      </c>
      <c r="AR48" s="99">
        <f t="shared" si="4"/>
        <v>7</v>
      </c>
      <c r="AS48" s="219">
        <f t="shared" si="5"/>
        <v>11</v>
      </c>
      <c r="AT48" s="289">
        <f t="shared" si="6"/>
        <v>3</v>
      </c>
      <c r="AU48" s="99">
        <f t="shared" si="7"/>
        <v>2</v>
      </c>
      <c r="AV48" s="291">
        <f t="shared" si="8"/>
        <v>12</v>
      </c>
      <c r="AW48" s="286">
        <f t="shared" si="9"/>
        <v>1</v>
      </c>
      <c r="AX48" s="99">
        <f t="shared" si="10"/>
        <v>-12</v>
      </c>
      <c r="AY48" s="291">
        <f t="shared" si="11"/>
        <v>1</v>
      </c>
      <c r="AZ48" s="286">
        <f t="shared" si="17"/>
        <v>7</v>
      </c>
      <c r="BA48" s="99">
        <f t="shared" si="12"/>
        <v>-3</v>
      </c>
      <c r="BB48" s="291">
        <f t="shared" si="13"/>
        <v>24</v>
      </c>
      <c r="BC48" s="294">
        <f t="shared" si="14"/>
        <v>-3</v>
      </c>
      <c r="BD48" s="7">
        <f t="shared" si="15"/>
        <v>0</v>
      </c>
      <c r="BE48" s="218">
        <f t="shared" si="16"/>
        <v>6.0276004800000003</v>
      </c>
      <c r="BF48" s="99">
        <f>IF(AP48="","",SMALL(BE$9:BE$62,ROWS(AZ$9:AZ48)))</f>
        <v>30.067600559999999</v>
      </c>
      <c r="BG48" s="88"/>
      <c r="BH48" s="99" t="str">
        <f>IF(OR(AP48="",AZ48=""),"",INDEX($AP$9:$AP$63,MATCH(BF48,$BE$9:BE$62,0)))</f>
        <v>C12</v>
      </c>
      <c r="BI48" s="7">
        <f t="shared" si="18"/>
        <v>5</v>
      </c>
      <c r="BJ48" s="7">
        <f t="shared" si="19"/>
        <v>-7</v>
      </c>
      <c r="BK48" s="7">
        <f t="shared" si="20"/>
        <v>24</v>
      </c>
      <c r="BL48" s="280">
        <f>IF(BF48="","",IF(AND(BI47=BI48,BJ47=BJ48,BK47=BK48),BL47,$BL$9+39))</f>
        <v>40</v>
      </c>
      <c r="BM48" s="29"/>
      <c r="BN48" s="3"/>
    </row>
    <row r="49" spans="1:66" ht="16.5" thickBo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P49" s="23"/>
      <c r="Q49" s="23"/>
      <c r="R49" s="23"/>
      <c r="S49" s="23"/>
      <c r="T49" s="23"/>
      <c r="U49" s="23"/>
      <c r="V49" s="23"/>
      <c r="W49" s="23"/>
      <c r="X49" s="23"/>
      <c r="Y49" s="448"/>
      <c r="Z49" s="16" t="str">
        <f>+Q19</f>
        <v>C10</v>
      </c>
      <c r="AA49" s="17">
        <f>IF(ISTEXT(Z49),AA47,0)</f>
        <v>2</v>
      </c>
      <c r="AB49" s="18">
        <f>IF(ISTEXT(Z49),AB47,0)</f>
        <v>1</v>
      </c>
      <c r="AC49" s="19">
        <f>IF(ISTEXT(Z49),AC47,0)</f>
        <v>-11</v>
      </c>
      <c r="AD49" s="9"/>
      <c r="AE49" s="16" t="str">
        <f>+T19</f>
        <v>C13</v>
      </c>
      <c r="AF49" s="17">
        <f>IF(ISTEXT(AE49),AF47,0)</f>
        <v>8</v>
      </c>
      <c r="AG49" s="18">
        <f>IF(ISTEXT(AE49),AG47,0)</f>
        <v>3</v>
      </c>
      <c r="AH49" s="19">
        <f>IF(ISTEXT(AE49),AH47,0)</f>
        <v>3</v>
      </c>
      <c r="AI49" s="9"/>
      <c r="AJ49" s="16" t="str">
        <f>+W19</f>
        <v>C16</v>
      </c>
      <c r="AK49" s="17">
        <f>IF(ISTEXT(AJ49),AK47,0)</f>
        <v>4</v>
      </c>
      <c r="AL49" s="18">
        <f>IF(ISTEXT(AJ49),AL47,0)</f>
        <v>1</v>
      </c>
      <c r="AM49" s="19">
        <f>IF(ISTEXT(AJ49),AM47,0)</f>
        <v>-3</v>
      </c>
      <c r="AN49" s="23"/>
      <c r="AO49" s="54">
        <v>41</v>
      </c>
      <c r="AP49" s="323" t="str">
        <f>+Inscrits!F7</f>
        <v>C5</v>
      </c>
      <c r="AQ49" s="286">
        <f t="shared" si="3"/>
        <v>3</v>
      </c>
      <c r="AR49" s="99">
        <f t="shared" si="4"/>
        <v>6</v>
      </c>
      <c r="AS49" s="219">
        <f t="shared" si="5"/>
        <v>13</v>
      </c>
      <c r="AT49" s="289">
        <f t="shared" si="6"/>
        <v>1</v>
      </c>
      <c r="AU49" s="99">
        <f t="shared" si="7"/>
        <v>-2</v>
      </c>
      <c r="AV49" s="291">
        <f t="shared" si="8"/>
        <v>10</v>
      </c>
      <c r="AW49" s="286">
        <f t="shared" si="9"/>
        <v>3</v>
      </c>
      <c r="AX49" s="99">
        <f t="shared" si="10"/>
        <v>5</v>
      </c>
      <c r="AY49" s="291">
        <f t="shared" si="11"/>
        <v>13</v>
      </c>
      <c r="AZ49" s="286">
        <f t="shared" si="17"/>
        <v>7</v>
      </c>
      <c r="BA49" s="99">
        <f t="shared" si="12"/>
        <v>9</v>
      </c>
      <c r="BB49" s="291">
        <f t="shared" si="13"/>
        <v>36</v>
      </c>
      <c r="BC49" s="294">
        <f t="shared" si="14"/>
        <v>0</v>
      </c>
      <c r="BD49" s="7">
        <f t="shared" si="15"/>
        <v>9</v>
      </c>
      <c r="BE49" s="218">
        <f t="shared" si="16"/>
        <v>5.9064004900000002</v>
      </c>
      <c r="BF49" s="99">
        <f>IF(AP49="","",SMALL(BE$9:BE$62,ROWS(AZ$9:AZ49)))</f>
        <v>30.06810054</v>
      </c>
      <c r="BG49" s="88"/>
      <c r="BH49" s="99" t="str">
        <f>IF(OR(AP49="",AZ49=""),"",INDEX($AP$9:$AP$63,MATCH(BF49,$BE$9:BE$62,0)))</f>
        <v>C10</v>
      </c>
      <c r="BI49" s="7">
        <f t="shared" si="18"/>
        <v>5</v>
      </c>
      <c r="BJ49" s="7">
        <f t="shared" si="19"/>
        <v>-7</v>
      </c>
      <c r="BK49" s="7">
        <f t="shared" si="20"/>
        <v>19</v>
      </c>
      <c r="BL49" s="280">
        <f>IF(BF49="","",IF(AND(BI48=BI49,BJ48=BJ49,BK48=BK49),BL48,$BL$9+40))</f>
        <v>41</v>
      </c>
      <c r="BM49" s="29"/>
      <c r="BN49" s="3"/>
    </row>
    <row r="50" spans="1:66" ht="16.5" thickBo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P50" s="23"/>
      <c r="Q50" s="23"/>
      <c r="R50" s="23"/>
      <c r="S50" s="23"/>
      <c r="T50" s="23"/>
      <c r="U50" s="23"/>
      <c r="V50" s="23"/>
      <c r="W50" s="23"/>
      <c r="X50" s="23"/>
      <c r="Y50" s="128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23"/>
      <c r="AO50" s="54">
        <v>42</v>
      </c>
      <c r="AP50" s="323" t="str">
        <f>+Inscrits!F8</f>
        <v>C6</v>
      </c>
      <c r="AQ50" s="286">
        <f t="shared" si="3"/>
        <v>1</v>
      </c>
      <c r="AR50" s="99">
        <f t="shared" si="4"/>
        <v>-6</v>
      </c>
      <c r="AS50" s="219">
        <f t="shared" si="5"/>
        <v>7</v>
      </c>
      <c r="AT50" s="289">
        <f t="shared" si="6"/>
        <v>1</v>
      </c>
      <c r="AU50" s="99">
        <f t="shared" si="7"/>
        <v>-3</v>
      </c>
      <c r="AV50" s="291">
        <f t="shared" si="8"/>
        <v>6</v>
      </c>
      <c r="AW50" s="286">
        <f t="shared" si="9"/>
        <v>1</v>
      </c>
      <c r="AX50" s="99">
        <f t="shared" si="10"/>
        <v>-5</v>
      </c>
      <c r="AY50" s="291">
        <f t="shared" si="11"/>
        <v>8</v>
      </c>
      <c r="AZ50" s="286">
        <f t="shared" si="17"/>
        <v>3</v>
      </c>
      <c r="BA50" s="99">
        <f t="shared" si="12"/>
        <v>-14</v>
      </c>
      <c r="BB50" s="291">
        <f t="shared" si="13"/>
        <v>21</v>
      </c>
      <c r="BC50" s="294">
        <f t="shared" si="14"/>
        <v>-14</v>
      </c>
      <c r="BD50" s="7">
        <f t="shared" si="15"/>
        <v>0</v>
      </c>
      <c r="BE50" s="218">
        <f t="shared" si="16"/>
        <v>48.137900500000001</v>
      </c>
      <c r="BF50" s="99">
        <f>IF(AP50="","",SMALL(BE$9:BE$62,ROWS(AZ$9:AZ50)))</f>
        <v>30.078000459999998</v>
      </c>
      <c r="BG50" s="88"/>
      <c r="BH50" s="99" t="str">
        <f>IF(OR(AP50="",AZ50=""),"",INDEX($AP$9:$AP$63,MATCH(BF50,$BE$9:BE$62,0)))</f>
        <v>C2</v>
      </c>
      <c r="BI50" s="7">
        <f t="shared" si="18"/>
        <v>5</v>
      </c>
      <c r="BJ50" s="7">
        <f t="shared" si="19"/>
        <v>-8</v>
      </c>
      <c r="BK50" s="7">
        <f t="shared" si="20"/>
        <v>20</v>
      </c>
      <c r="BL50" s="280">
        <f>IF(BF50="","",IF(AND(BI49=BI50,BJ49=BJ50,BK49=BK50),BL49,$BL$9+41))</f>
        <v>42</v>
      </c>
      <c r="BM50" s="29"/>
      <c r="BN50" s="3"/>
    </row>
    <row r="51" spans="1:66" ht="15.7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P51" s="23"/>
      <c r="Q51" s="23"/>
      <c r="R51" s="23"/>
      <c r="S51" s="23"/>
      <c r="T51" s="23"/>
      <c r="U51" s="23"/>
      <c r="V51" s="23"/>
      <c r="W51" s="23"/>
      <c r="X51" s="23"/>
      <c r="Y51" s="446">
        <v>6</v>
      </c>
      <c r="Z51" s="12" t="str">
        <f>+O20</f>
        <v>A11</v>
      </c>
      <c r="AA51" s="33">
        <v>12</v>
      </c>
      <c r="AB51" s="48">
        <f>IF(AA51+AA55=0,0,IF(AA51=AA55,2,IF(AA51&gt;AA55,3,1)))</f>
        <v>1</v>
      </c>
      <c r="AC51" s="13">
        <f>AA51-AA55</f>
        <v>-1</v>
      </c>
      <c r="AD51" s="9"/>
      <c r="AE51" s="12" t="str">
        <f>+R20</f>
        <v>A12</v>
      </c>
      <c r="AF51" s="126">
        <v>10</v>
      </c>
      <c r="AG51" s="48">
        <f>IF(AF51+AF55=0,0,IF(AF51=AF55,2,IF(AF51&gt;AF55,3,1)))</f>
        <v>3</v>
      </c>
      <c r="AH51" s="13">
        <f>AF51-AF55</f>
        <v>5</v>
      </c>
      <c r="AI51" s="9"/>
      <c r="AJ51" s="12" t="str">
        <f>+U20</f>
        <v>A13</v>
      </c>
      <c r="AK51" s="36">
        <v>8</v>
      </c>
      <c r="AL51" s="48">
        <f>IF(AK51+AK55=0,0,IF(AK51=AK55,2,IF(AK51&gt;AK55,3,1)))</f>
        <v>1</v>
      </c>
      <c r="AM51" s="13">
        <f>AK51-AK55</f>
        <v>-3</v>
      </c>
      <c r="AN51" s="23"/>
      <c r="AO51" s="54">
        <v>43</v>
      </c>
      <c r="AP51" s="323" t="str">
        <f>+Inscrits!F9</f>
        <v>C7</v>
      </c>
      <c r="AQ51" s="286">
        <f t="shared" si="3"/>
        <v>3</v>
      </c>
      <c r="AR51" s="99">
        <f t="shared" si="4"/>
        <v>9</v>
      </c>
      <c r="AS51" s="219">
        <f t="shared" si="5"/>
        <v>13</v>
      </c>
      <c r="AT51" s="289">
        <f t="shared" si="6"/>
        <v>3</v>
      </c>
      <c r="AU51" s="99">
        <f t="shared" si="7"/>
        <v>3</v>
      </c>
      <c r="AV51" s="291">
        <f t="shared" si="8"/>
        <v>9</v>
      </c>
      <c r="AW51" s="286">
        <f t="shared" si="9"/>
        <v>3</v>
      </c>
      <c r="AX51" s="99">
        <f t="shared" si="10"/>
        <v>3</v>
      </c>
      <c r="AY51" s="291">
        <f t="shared" si="11"/>
        <v>8</v>
      </c>
      <c r="AZ51" s="286">
        <f t="shared" si="17"/>
        <v>9</v>
      </c>
      <c r="BA51" s="99">
        <f t="shared" si="12"/>
        <v>15</v>
      </c>
      <c r="BB51" s="291">
        <f t="shared" si="13"/>
        <v>30</v>
      </c>
      <c r="BC51" s="294">
        <f t="shared" si="14"/>
        <v>0</v>
      </c>
      <c r="BD51" s="7">
        <f t="shared" si="15"/>
        <v>15</v>
      </c>
      <c r="BE51" s="218">
        <f t="shared" si="16"/>
        <v>0.84700050999999998</v>
      </c>
      <c r="BF51" s="99">
        <f>IF(AP51="","",SMALL(BE$9:BE$62,ROWS(AZ$9:AZ51)))</f>
        <v>30.07810053</v>
      </c>
      <c r="BG51" s="88"/>
      <c r="BH51" s="99" t="str">
        <f>IF(OR(AP51="",AZ51=""),"",INDEX($AP$9:$AP$63,MATCH(BF51,$BE$9:BE$62,0)))</f>
        <v>C9</v>
      </c>
      <c r="BI51" s="7">
        <f t="shared" si="18"/>
        <v>5</v>
      </c>
      <c r="BJ51" s="7">
        <f t="shared" si="19"/>
        <v>-8</v>
      </c>
      <c r="BK51" s="7">
        <f t="shared" si="20"/>
        <v>19</v>
      </c>
      <c r="BL51" s="280">
        <f>IF(BF51="","",IF(AND(BI50=BI51,BJ50=BJ51,BK50=BK51),BL50,$BL$9+42))</f>
        <v>43</v>
      </c>
      <c r="BM51" s="29"/>
      <c r="BN51" s="3"/>
    </row>
    <row r="52" spans="1:66" ht="16.5" thickBo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P52" s="23"/>
      <c r="Q52" s="23"/>
      <c r="R52" s="23"/>
      <c r="S52" s="23"/>
      <c r="T52" s="23"/>
      <c r="U52" s="23"/>
      <c r="V52" s="23"/>
      <c r="W52" s="23"/>
      <c r="X52" s="23"/>
      <c r="Y52" s="447"/>
      <c r="Z52" s="14" t="str">
        <f>+P20</f>
        <v>B11</v>
      </c>
      <c r="AA52" s="17">
        <f>IF(ISTEXT(Z52),AA51,0)</f>
        <v>12</v>
      </c>
      <c r="AB52" s="18">
        <f>IF(ISTEXT(Z52),AB51,0)</f>
        <v>1</v>
      </c>
      <c r="AC52" s="19">
        <f>IF(ISTEXT(Z52),AC51,0)</f>
        <v>-1</v>
      </c>
      <c r="AD52" s="9"/>
      <c r="AE52" s="14" t="str">
        <f>+S20</f>
        <v>B13</v>
      </c>
      <c r="AF52" s="17">
        <f>IF(ISTEXT(AE52),AF51,0)</f>
        <v>10</v>
      </c>
      <c r="AG52" s="59">
        <f>IF(ISTEXT(AE52),AG51,0)</f>
        <v>3</v>
      </c>
      <c r="AH52" s="19">
        <f>IF(ISTEXT(AE52),AH51,0)</f>
        <v>5</v>
      </c>
      <c r="AI52" s="9"/>
      <c r="AJ52" s="14" t="str">
        <f>+V20</f>
        <v>B15</v>
      </c>
      <c r="AK52" s="17">
        <f>IF(ISTEXT(AJ52),AK51,0)</f>
        <v>8</v>
      </c>
      <c r="AL52" s="59">
        <f>IF(ISTEXT(AJ52),AL51,0)</f>
        <v>1</v>
      </c>
      <c r="AM52" s="19">
        <f>IF(ISTEXT(AJ52),AM51,0)</f>
        <v>-3</v>
      </c>
      <c r="AN52" s="23"/>
      <c r="AO52" s="54">
        <v>44</v>
      </c>
      <c r="AP52" s="323" t="str">
        <f>+Inscrits!F10</f>
        <v>C8</v>
      </c>
      <c r="AQ52" s="286">
        <f t="shared" si="3"/>
        <v>1</v>
      </c>
      <c r="AR52" s="99">
        <f t="shared" si="4"/>
        <v>-9</v>
      </c>
      <c r="AS52" s="219">
        <f t="shared" si="5"/>
        <v>4</v>
      </c>
      <c r="AT52" s="289">
        <f t="shared" si="6"/>
        <v>3</v>
      </c>
      <c r="AU52" s="99">
        <f t="shared" si="7"/>
        <v>11</v>
      </c>
      <c r="AV52" s="291">
        <f t="shared" si="8"/>
        <v>13</v>
      </c>
      <c r="AW52" s="286">
        <f t="shared" si="9"/>
        <v>1</v>
      </c>
      <c r="AX52" s="99">
        <f t="shared" si="10"/>
        <v>-3</v>
      </c>
      <c r="AY52" s="291">
        <f t="shared" si="11"/>
        <v>5</v>
      </c>
      <c r="AZ52" s="286">
        <f t="shared" si="17"/>
        <v>5</v>
      </c>
      <c r="BA52" s="99">
        <f t="shared" si="12"/>
        <v>-1</v>
      </c>
      <c r="BB52" s="291">
        <f t="shared" si="13"/>
        <v>22</v>
      </c>
      <c r="BC52" s="294">
        <f t="shared" si="14"/>
        <v>-1</v>
      </c>
      <c r="BD52" s="7">
        <f t="shared" si="15"/>
        <v>0</v>
      </c>
      <c r="BE52" s="218">
        <f t="shared" si="16"/>
        <v>30.007800520000004</v>
      </c>
      <c r="BF52" s="99">
        <f>IF(AP52="","",SMALL(BE$9:BE$62,ROWS(AZ$9:AZ52)))</f>
        <v>30.088400570000001</v>
      </c>
      <c r="BG52" s="88"/>
      <c r="BH52" s="99" t="str">
        <f>IF(OR(AP52="",AZ52=""),"",INDEX($AP$9:$AP$63,MATCH(BF52,$BE$9:BE$62,0)))</f>
        <v>C13</v>
      </c>
      <c r="BI52" s="7">
        <f t="shared" si="18"/>
        <v>5</v>
      </c>
      <c r="BJ52" s="7">
        <f t="shared" si="19"/>
        <v>-9</v>
      </c>
      <c r="BK52" s="7">
        <f t="shared" si="20"/>
        <v>16</v>
      </c>
      <c r="BL52" s="280">
        <f>IF(BF52="","",IF(AND(BI51=BI52,BJ51=BJ52,BK51=BK52),BL51,$BL$9+43))</f>
        <v>44</v>
      </c>
      <c r="BM52" s="29"/>
      <c r="BN52" s="3"/>
    </row>
    <row r="53" spans="1:66" ht="15.7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P53" s="23"/>
      <c r="Q53" s="23"/>
      <c r="R53" s="23"/>
      <c r="S53" s="23"/>
      <c r="T53" s="23"/>
      <c r="U53" s="23"/>
      <c r="V53" s="23"/>
      <c r="W53" s="23"/>
      <c r="X53" s="23"/>
      <c r="Y53" s="447"/>
      <c r="Z53" s="14" t="str">
        <f>+Q20</f>
        <v>C11</v>
      </c>
      <c r="AA53" s="71">
        <f>IF(ISTEXT(Z53),AA51,0)</f>
        <v>12</v>
      </c>
      <c r="AB53" s="67">
        <f>IF(ISTEXT(Z53),AB51,0)</f>
        <v>1</v>
      </c>
      <c r="AC53" s="72">
        <f>IF(ISTEXT(Z53),AC51,0)</f>
        <v>-1</v>
      </c>
      <c r="AD53" s="9"/>
      <c r="AE53" s="14" t="str">
        <f>+T20</f>
        <v>C14</v>
      </c>
      <c r="AF53" s="71">
        <f>IF(ISTEXT(AE53),AF51,0)</f>
        <v>10</v>
      </c>
      <c r="AG53" s="64">
        <f>IF(ISTEXT(AE53),AG51,0)</f>
        <v>3</v>
      </c>
      <c r="AH53" s="72">
        <f>IF(ISTEXT(AE53),AH51,0)</f>
        <v>5</v>
      </c>
      <c r="AI53" s="9"/>
      <c r="AJ53" s="14" t="str">
        <f>+W20</f>
        <v>C17</v>
      </c>
      <c r="AK53" s="71">
        <f>IF(ISTEXT(AJ53),AK51,0)</f>
        <v>8</v>
      </c>
      <c r="AL53" s="64">
        <f>IF(ISTEXT(AJ53),AL51,0)</f>
        <v>1</v>
      </c>
      <c r="AM53" s="72">
        <f>IF(ISTEXT(AJ53),AM51,0)</f>
        <v>-3</v>
      </c>
      <c r="AN53" s="23"/>
      <c r="AO53" s="54">
        <v>45</v>
      </c>
      <c r="AP53" s="323" t="str">
        <f>+Inscrits!F11</f>
        <v>C9</v>
      </c>
      <c r="AQ53" s="286">
        <f t="shared" si="3"/>
        <v>3</v>
      </c>
      <c r="AR53" s="99">
        <f t="shared" si="4"/>
        <v>11</v>
      </c>
      <c r="AS53" s="219">
        <f t="shared" si="5"/>
        <v>13</v>
      </c>
      <c r="AT53" s="289">
        <f t="shared" si="6"/>
        <v>1</v>
      </c>
      <c r="AU53" s="99">
        <f t="shared" si="7"/>
        <v>-11</v>
      </c>
      <c r="AV53" s="291">
        <f t="shared" si="8"/>
        <v>2</v>
      </c>
      <c r="AW53" s="286">
        <f t="shared" si="9"/>
        <v>1</v>
      </c>
      <c r="AX53" s="99">
        <f t="shared" si="10"/>
        <v>-8</v>
      </c>
      <c r="AY53" s="291">
        <f t="shared" si="11"/>
        <v>4</v>
      </c>
      <c r="AZ53" s="286">
        <f t="shared" si="17"/>
        <v>5</v>
      </c>
      <c r="BA53" s="99">
        <f t="shared" si="12"/>
        <v>-8</v>
      </c>
      <c r="BB53" s="291">
        <f t="shared" si="13"/>
        <v>19</v>
      </c>
      <c r="BC53" s="294">
        <f t="shared" si="14"/>
        <v>-8</v>
      </c>
      <c r="BD53" s="7">
        <f t="shared" si="15"/>
        <v>0</v>
      </c>
      <c r="BE53" s="218">
        <f t="shared" si="16"/>
        <v>30.07810053</v>
      </c>
      <c r="BF53" s="99">
        <f>IF(AP53="","",SMALL(BE$9:BE$62,ROWS(AZ$9:AZ53)))</f>
        <v>30.118200340000001</v>
      </c>
      <c r="BG53" s="88"/>
      <c r="BH53" s="99" t="str">
        <f>IF(OR(AP53="",AZ53=""),"",INDEX($AP$9:$AP$63,MATCH(BF53,$BE$9:BE$62,0)))</f>
        <v>B8</v>
      </c>
      <c r="BI53" s="7">
        <f t="shared" si="18"/>
        <v>5</v>
      </c>
      <c r="BJ53" s="7">
        <f t="shared" si="19"/>
        <v>-12</v>
      </c>
      <c r="BK53" s="7">
        <f t="shared" si="20"/>
        <v>18</v>
      </c>
      <c r="BL53" s="280">
        <f>IF(BF53="","",IF(AND(BI52=BI53,BJ52=BJ53,BK52=BK53),BL52,$BL$9+44))</f>
        <v>45</v>
      </c>
      <c r="BM53" s="29"/>
      <c r="BN53" s="3"/>
    </row>
    <row r="54" spans="1:66" ht="15.7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P54" s="23"/>
      <c r="Q54" s="23"/>
      <c r="R54" s="23"/>
      <c r="S54" s="23"/>
      <c r="T54" s="23"/>
      <c r="U54" s="23"/>
      <c r="V54" s="23"/>
      <c r="W54" s="23"/>
      <c r="X54" s="23"/>
      <c r="Y54" s="447"/>
      <c r="Z54" s="32"/>
      <c r="AA54" s="21" t="s">
        <v>5</v>
      </c>
      <c r="AB54" s="21"/>
      <c r="AC54" s="22"/>
      <c r="AD54" s="1"/>
      <c r="AE54" s="32"/>
      <c r="AF54" s="21" t="s">
        <v>5</v>
      </c>
      <c r="AG54" s="21"/>
      <c r="AH54" s="22"/>
      <c r="AI54" s="1"/>
      <c r="AJ54" s="32"/>
      <c r="AK54" s="21" t="s">
        <v>5</v>
      </c>
      <c r="AL54" s="21"/>
      <c r="AM54" s="22"/>
      <c r="AN54" s="23"/>
      <c r="AO54" s="54">
        <v>46</v>
      </c>
      <c r="AP54" s="323" t="str">
        <f>+Inscrits!F12</f>
        <v>C10</v>
      </c>
      <c r="AQ54" s="286">
        <f t="shared" si="3"/>
        <v>1</v>
      </c>
      <c r="AR54" s="99">
        <f t="shared" si="4"/>
        <v>-11</v>
      </c>
      <c r="AS54" s="219">
        <f t="shared" si="5"/>
        <v>2</v>
      </c>
      <c r="AT54" s="289">
        <f t="shared" si="6"/>
        <v>1</v>
      </c>
      <c r="AU54" s="99">
        <f t="shared" si="7"/>
        <v>-4</v>
      </c>
      <c r="AV54" s="291">
        <f t="shared" si="8"/>
        <v>5</v>
      </c>
      <c r="AW54" s="286">
        <f t="shared" si="9"/>
        <v>3</v>
      </c>
      <c r="AX54" s="99">
        <f t="shared" si="10"/>
        <v>8</v>
      </c>
      <c r="AY54" s="291">
        <f t="shared" si="11"/>
        <v>12</v>
      </c>
      <c r="AZ54" s="286">
        <f t="shared" si="17"/>
        <v>5</v>
      </c>
      <c r="BA54" s="99">
        <f t="shared" si="12"/>
        <v>-7</v>
      </c>
      <c r="BB54" s="291">
        <f t="shared" si="13"/>
        <v>19</v>
      </c>
      <c r="BC54" s="294">
        <f t="shared" si="14"/>
        <v>-7</v>
      </c>
      <c r="BD54" s="7">
        <f t="shared" si="15"/>
        <v>0</v>
      </c>
      <c r="BE54" s="218">
        <f t="shared" si="16"/>
        <v>30.06810054</v>
      </c>
      <c r="BF54" s="99">
        <f>IF(AP54="","",SMALL(BE$9:BE$62,ROWS(AZ$9:AZ54)))</f>
        <v>30.118300360000003</v>
      </c>
      <c r="BG54" s="88"/>
      <c r="BH54" s="99" t="str">
        <f>IF(OR(AP54="",AZ54=""),"",INDEX($AP$9:$AP$63,MATCH(BF54,$BE$9:BE$62,0)))</f>
        <v>B10</v>
      </c>
      <c r="BI54" s="7">
        <f t="shared" si="18"/>
        <v>5</v>
      </c>
      <c r="BJ54" s="7">
        <f t="shared" si="19"/>
        <v>-12</v>
      </c>
      <c r="BK54" s="7">
        <f t="shared" si="20"/>
        <v>17</v>
      </c>
      <c r="BL54" s="280">
        <f>IF(BF54="","",IF(AND(BI53=BI54,BJ53=BJ54,BK53=BK54),BL53,$BL$9+45))</f>
        <v>46</v>
      </c>
      <c r="BM54" s="29"/>
      <c r="BN54" s="3"/>
    </row>
    <row r="55" spans="1:66" ht="15.7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P55" s="23"/>
      <c r="Q55" s="23"/>
      <c r="R55" s="23"/>
      <c r="S55" s="23"/>
      <c r="T55" s="23"/>
      <c r="U55" s="23"/>
      <c r="V55" s="23"/>
      <c r="W55" s="23"/>
      <c r="X55" s="23"/>
      <c r="Y55" s="447"/>
      <c r="Z55" s="14" t="str">
        <f>+O21</f>
        <v>A12</v>
      </c>
      <c r="AA55" s="35">
        <v>13</v>
      </c>
      <c r="AB55" s="30">
        <f>IF(AA51+AA55=0,0,IF(AA51=AA55,2,IF(AA51&lt;AA55,3,1)))</f>
        <v>3</v>
      </c>
      <c r="AC55" s="15">
        <f>AA55-AA51</f>
        <v>1</v>
      </c>
      <c r="AD55" s="9"/>
      <c r="AE55" s="14" t="str">
        <f>+R21</f>
        <v>A13</v>
      </c>
      <c r="AF55" s="127">
        <v>5</v>
      </c>
      <c r="AG55" s="30">
        <f>IF(AF51+AF55=0,0,IF(AF51=AF55,2,IF(AF51&lt;AF55,3,1)))</f>
        <v>1</v>
      </c>
      <c r="AH55" s="15">
        <f>AF55-AF51</f>
        <v>-5</v>
      </c>
      <c r="AI55" s="9"/>
      <c r="AJ55" s="14" t="str">
        <f>+U21</f>
        <v>A14</v>
      </c>
      <c r="AK55" s="37">
        <v>11</v>
      </c>
      <c r="AL55" s="30">
        <f>IF(AK51+AK55=0,0,IF(AK51=AK55,2,IF(AK51&lt;AK55,3,1)))</f>
        <v>3</v>
      </c>
      <c r="AM55" s="15">
        <f>AK55-AK51</f>
        <v>3</v>
      </c>
      <c r="AN55" s="23"/>
      <c r="AO55" s="54">
        <v>47</v>
      </c>
      <c r="AP55" s="323" t="str">
        <f>+Inscrits!F13</f>
        <v>C11</v>
      </c>
      <c r="AQ55" s="286">
        <f t="shared" si="3"/>
        <v>1</v>
      </c>
      <c r="AR55" s="99">
        <f t="shared" si="4"/>
        <v>-1</v>
      </c>
      <c r="AS55" s="219">
        <f t="shared" si="5"/>
        <v>12</v>
      </c>
      <c r="AT55" s="289">
        <f t="shared" si="6"/>
        <v>3</v>
      </c>
      <c r="AU55" s="99">
        <f t="shared" si="7"/>
        <v>4</v>
      </c>
      <c r="AV55" s="291">
        <f t="shared" si="8"/>
        <v>9</v>
      </c>
      <c r="AW55" s="286">
        <f t="shared" si="9"/>
        <v>3</v>
      </c>
      <c r="AX55" s="99">
        <f t="shared" si="10"/>
        <v>5</v>
      </c>
      <c r="AY55" s="291">
        <f t="shared" si="11"/>
        <v>11</v>
      </c>
      <c r="AZ55" s="286">
        <f t="shared" si="17"/>
        <v>7</v>
      </c>
      <c r="BA55" s="99">
        <f t="shared" si="12"/>
        <v>8</v>
      </c>
      <c r="BB55" s="291">
        <f t="shared" si="13"/>
        <v>32</v>
      </c>
      <c r="BC55" s="294">
        <f t="shared" si="14"/>
        <v>0</v>
      </c>
      <c r="BD55" s="7">
        <f t="shared" si="15"/>
        <v>8</v>
      </c>
      <c r="BE55" s="218">
        <f t="shared" si="16"/>
        <v>5.9168005500000005</v>
      </c>
      <c r="BF55" s="99">
        <f>IF(AP55="","",SMALL(BE$9:BE$62,ROWS(AZ$9:AZ55)))</f>
        <v>30.128600179999999</v>
      </c>
      <c r="BG55" s="88"/>
      <c r="BH55" s="99" t="str">
        <f>IF(OR(AP55="",AZ55=""),"",INDEX($AP$9:$AP$63,MATCH(BF55,$BE$9:BE$62,0)))</f>
        <v>A10</v>
      </c>
      <c r="BI55" s="7">
        <f t="shared" si="18"/>
        <v>5</v>
      </c>
      <c r="BJ55" s="7">
        <f t="shared" si="19"/>
        <v>-13</v>
      </c>
      <c r="BK55" s="7">
        <f t="shared" si="20"/>
        <v>14</v>
      </c>
      <c r="BL55" s="280">
        <f>IF(BF55="","",IF(AND(BI54=BI55,BJ54=BJ55,BK54=BK55),BL54,$BL$9+46))</f>
        <v>47</v>
      </c>
      <c r="BM55" s="29"/>
      <c r="BN55" s="3"/>
    </row>
    <row r="56" spans="1:66" ht="16.5" thickBot="1">
      <c r="A56" s="128"/>
      <c r="B56" s="23"/>
      <c r="C56" s="23"/>
      <c r="D56" s="23"/>
      <c r="E56" s="23"/>
      <c r="F56" s="23"/>
      <c r="G56" s="23"/>
      <c r="H56" s="23"/>
      <c r="I56" s="25"/>
      <c r="J56" s="128"/>
      <c r="K56" s="128"/>
      <c r="L56" s="128"/>
      <c r="P56" s="23"/>
      <c r="Q56" s="128"/>
      <c r="R56" s="29"/>
      <c r="S56" s="23"/>
      <c r="T56" s="23"/>
      <c r="U56" s="23"/>
      <c r="V56" s="23"/>
      <c r="W56" s="23"/>
      <c r="X56" s="23"/>
      <c r="Y56" s="447"/>
      <c r="Z56" s="14" t="str">
        <f>+P21</f>
        <v>B12</v>
      </c>
      <c r="AA56" s="17">
        <f>IF(ISTEXT(Z56),AA55,0)</f>
        <v>13</v>
      </c>
      <c r="AB56" s="18">
        <f>IF(ISTEXT(Z56),AB55,0)</f>
        <v>3</v>
      </c>
      <c r="AC56" s="19">
        <f>IF(ISTEXT(Z56),AC55,0)</f>
        <v>1</v>
      </c>
      <c r="AD56" s="9"/>
      <c r="AE56" s="14" t="str">
        <f>+S21</f>
        <v>B14</v>
      </c>
      <c r="AF56" s="17">
        <f>IF(ISTEXT(AE56),AF55,0)</f>
        <v>5</v>
      </c>
      <c r="AG56" s="18">
        <f>IF(ISTEXT(AE56),AG55,0)</f>
        <v>1</v>
      </c>
      <c r="AH56" s="19">
        <f>IF(ISTEXT(AE56),AH55,0)</f>
        <v>-5</v>
      </c>
      <c r="AI56" s="9"/>
      <c r="AJ56" s="14" t="str">
        <f>+V21</f>
        <v>B16</v>
      </c>
      <c r="AK56" s="17">
        <f>IF(ISTEXT(AJ56),AK55,0)</f>
        <v>11</v>
      </c>
      <c r="AL56" s="18">
        <f>IF(ISTEXT(AJ56),AL55,0)</f>
        <v>3</v>
      </c>
      <c r="AM56" s="19">
        <f>IF(ISTEXT(AJ56),AM55,0)</f>
        <v>3</v>
      </c>
      <c r="AN56" s="23"/>
      <c r="AO56" s="54">
        <v>48</v>
      </c>
      <c r="AP56" s="323" t="str">
        <f>+Inscrits!F14</f>
        <v>C12</v>
      </c>
      <c r="AQ56" s="286">
        <f t="shared" si="3"/>
        <v>3</v>
      </c>
      <c r="AR56" s="99">
        <f t="shared" si="4"/>
        <v>1</v>
      </c>
      <c r="AS56" s="219">
        <f t="shared" si="5"/>
        <v>13</v>
      </c>
      <c r="AT56" s="289">
        <f t="shared" si="6"/>
        <v>1</v>
      </c>
      <c r="AU56" s="99">
        <f t="shared" si="7"/>
        <v>-3</v>
      </c>
      <c r="AV56" s="291">
        <f t="shared" si="8"/>
        <v>5</v>
      </c>
      <c r="AW56" s="286">
        <f t="shared" si="9"/>
        <v>1</v>
      </c>
      <c r="AX56" s="99">
        <f t="shared" si="10"/>
        <v>-5</v>
      </c>
      <c r="AY56" s="291">
        <f t="shared" si="11"/>
        <v>6</v>
      </c>
      <c r="AZ56" s="286">
        <f t="shared" si="17"/>
        <v>5</v>
      </c>
      <c r="BA56" s="99">
        <f t="shared" si="12"/>
        <v>-7</v>
      </c>
      <c r="BB56" s="291">
        <f t="shared" si="13"/>
        <v>24</v>
      </c>
      <c r="BC56" s="294">
        <f t="shared" si="14"/>
        <v>-7</v>
      </c>
      <c r="BD56" s="7">
        <f t="shared" si="15"/>
        <v>0</v>
      </c>
      <c r="BE56" s="218">
        <f t="shared" si="16"/>
        <v>30.067600559999999</v>
      </c>
      <c r="BF56" s="99">
        <f>IF(AP56="","",SMALL(BE$9:BE$62,ROWS(AZ$9:AZ56)))</f>
        <v>48.047700370000001</v>
      </c>
      <c r="BG56" s="88"/>
      <c r="BH56" s="99" t="str">
        <f>IF(OR(AP56="",AZ56=""),"",INDEX($AP$9:$AP$63,MATCH(BF56,$BE$9:BE$62,0)))</f>
        <v>B11</v>
      </c>
      <c r="BI56" s="7">
        <f t="shared" si="18"/>
        <v>3</v>
      </c>
      <c r="BJ56" s="7">
        <f t="shared" si="19"/>
        <v>-5</v>
      </c>
      <c r="BK56" s="7">
        <f t="shared" si="20"/>
        <v>23</v>
      </c>
      <c r="BL56" s="280">
        <f>IF(BF56="","",IF(AND(BI55=BI56,BJ55=BJ56,BK55=BK56),BL55,$BL$9+47))</f>
        <v>48</v>
      </c>
      <c r="BM56" s="29"/>
      <c r="BN56" s="3"/>
    </row>
    <row r="57" spans="1:66" ht="16.5" thickBot="1">
      <c r="A57" s="128"/>
      <c r="B57" s="23"/>
      <c r="C57" s="23"/>
      <c r="D57" s="23"/>
      <c r="E57" s="23"/>
      <c r="F57" s="23"/>
      <c r="G57" s="23"/>
      <c r="H57" s="23"/>
      <c r="I57" s="25"/>
      <c r="J57" s="128"/>
      <c r="K57" s="128"/>
      <c r="L57" s="128"/>
      <c r="P57" s="23"/>
      <c r="Q57" s="128"/>
      <c r="R57" s="29"/>
      <c r="S57" s="23"/>
      <c r="T57" s="23"/>
      <c r="U57" s="23"/>
      <c r="V57" s="23"/>
      <c r="W57" s="23"/>
      <c r="X57" s="23"/>
      <c r="Y57" s="448"/>
      <c r="Z57" s="16" t="str">
        <f>+Q21</f>
        <v>C12</v>
      </c>
      <c r="AA57" s="17">
        <f>IF(ISTEXT(Z57),AA55,0)</f>
        <v>13</v>
      </c>
      <c r="AB57" s="18">
        <f>IF(ISTEXT(Z57),AB55,0)</f>
        <v>3</v>
      </c>
      <c r="AC57" s="19">
        <f>IF(ISTEXT(Z57),AC55,0)</f>
        <v>1</v>
      </c>
      <c r="AD57" s="9"/>
      <c r="AE57" s="16" t="str">
        <f>+T21</f>
        <v>C15</v>
      </c>
      <c r="AF57" s="17">
        <f>IF(ISTEXT(AE57),AF55,0)</f>
        <v>5</v>
      </c>
      <c r="AG57" s="18">
        <f>IF(ISTEXT(AE57),AG55,0)</f>
        <v>1</v>
      </c>
      <c r="AH57" s="19">
        <f>IF(ISTEXT(AE57),AH55,0)</f>
        <v>-5</v>
      </c>
      <c r="AI57" s="9"/>
      <c r="AJ57" s="16" t="str">
        <f>+W21</f>
        <v>C18</v>
      </c>
      <c r="AK57" s="17">
        <f>IF(ISTEXT(AJ57),AK55,0)</f>
        <v>11</v>
      </c>
      <c r="AL57" s="18">
        <f>IF(ISTEXT(AJ57),AL55,0)</f>
        <v>3</v>
      </c>
      <c r="AM57" s="19">
        <f>IF(ISTEXT(AJ57),AM55,0)</f>
        <v>3</v>
      </c>
      <c r="AN57" s="23"/>
      <c r="AO57" s="54">
        <v>49</v>
      </c>
      <c r="AP57" s="323" t="str">
        <f>+Inscrits!F15</f>
        <v>C13</v>
      </c>
      <c r="AQ57" s="286">
        <f t="shared" si="3"/>
        <v>1</v>
      </c>
      <c r="AR57" s="99">
        <f t="shared" si="4"/>
        <v>-11</v>
      </c>
      <c r="AS57" s="219">
        <f t="shared" si="5"/>
        <v>2</v>
      </c>
      <c r="AT57" s="289">
        <f t="shared" si="6"/>
        <v>3</v>
      </c>
      <c r="AU57" s="99">
        <f t="shared" si="7"/>
        <v>3</v>
      </c>
      <c r="AV57" s="291">
        <f t="shared" si="8"/>
        <v>8</v>
      </c>
      <c r="AW57" s="286">
        <f t="shared" si="9"/>
        <v>1</v>
      </c>
      <c r="AX57" s="99">
        <f t="shared" si="10"/>
        <v>-1</v>
      </c>
      <c r="AY57" s="291">
        <f t="shared" si="11"/>
        <v>6</v>
      </c>
      <c r="AZ57" s="286">
        <f t="shared" si="17"/>
        <v>5</v>
      </c>
      <c r="BA57" s="99">
        <f t="shared" si="12"/>
        <v>-9</v>
      </c>
      <c r="BB57" s="291">
        <f t="shared" si="13"/>
        <v>16</v>
      </c>
      <c r="BC57" s="294">
        <f t="shared" si="14"/>
        <v>-9</v>
      </c>
      <c r="BD57" s="7">
        <f t="shared" si="15"/>
        <v>0</v>
      </c>
      <c r="BE57" s="218">
        <f t="shared" si="16"/>
        <v>30.088400570000001</v>
      </c>
      <c r="BF57" s="99">
        <f>IF(AP57="","",SMALL(BE$9:BE$62,ROWS(AZ$9:AZ57)))</f>
        <v>48.077300409999999</v>
      </c>
      <c r="BG57" s="88"/>
      <c r="BH57" s="99" t="str">
        <f>IF(OR(AP57="",AZ57=""),"",INDEX($AP$9:$AP$63,MATCH(BF57,$BE$9:BE$62,0)))</f>
        <v>B15</v>
      </c>
      <c r="BI57" s="7">
        <f t="shared" si="18"/>
        <v>3</v>
      </c>
      <c r="BJ57" s="7">
        <f t="shared" si="19"/>
        <v>-8</v>
      </c>
      <c r="BK57" s="7">
        <f t="shared" si="20"/>
        <v>27</v>
      </c>
      <c r="BL57" s="280">
        <f>IF(BF57="","",IF(AND(BI56=BI57,BJ56=BJ57,BK56=BK57),BL56,$BL$9+48))</f>
        <v>49</v>
      </c>
      <c r="BM57" s="29"/>
      <c r="BN57" s="3"/>
    </row>
    <row r="58" spans="1:66" ht="16.5" thickBot="1">
      <c r="A58" s="128"/>
      <c r="B58" s="23"/>
      <c r="C58" s="23"/>
      <c r="D58" s="23"/>
      <c r="E58" s="23"/>
      <c r="F58" s="128"/>
      <c r="G58" s="128"/>
      <c r="H58" s="23"/>
      <c r="I58" s="25"/>
      <c r="J58" s="128"/>
      <c r="K58" s="128"/>
      <c r="L58" s="128"/>
      <c r="P58" s="23"/>
      <c r="Q58" s="128"/>
      <c r="R58" s="29"/>
      <c r="S58" s="23"/>
      <c r="T58" s="23"/>
      <c r="U58" s="23"/>
      <c r="V58" s="23"/>
      <c r="W58" s="23"/>
      <c r="X58" s="23"/>
      <c r="Y58" s="128"/>
      <c r="Z58" s="70"/>
      <c r="AA58" s="70"/>
      <c r="AB58" s="70"/>
      <c r="AC58" s="70"/>
      <c r="AD58" s="73"/>
      <c r="AE58" s="73"/>
      <c r="AF58" s="73"/>
      <c r="AG58" s="70"/>
      <c r="AH58" s="70"/>
      <c r="AI58" s="73"/>
      <c r="AJ58" s="73"/>
      <c r="AK58" s="70"/>
      <c r="AL58" s="70"/>
      <c r="AM58" s="70"/>
      <c r="AN58" s="23"/>
      <c r="AO58" s="54">
        <v>50</v>
      </c>
      <c r="AP58" s="323" t="str">
        <f>+Inscrits!F16</f>
        <v>C14</v>
      </c>
      <c r="AQ58" s="286">
        <f t="shared" si="3"/>
        <v>3</v>
      </c>
      <c r="AR58" s="99">
        <f t="shared" si="4"/>
        <v>11</v>
      </c>
      <c r="AS58" s="219">
        <f t="shared" si="5"/>
        <v>13</v>
      </c>
      <c r="AT58" s="289">
        <f t="shared" si="6"/>
        <v>3</v>
      </c>
      <c r="AU58" s="99">
        <f t="shared" si="7"/>
        <v>5</v>
      </c>
      <c r="AV58" s="291">
        <f t="shared" si="8"/>
        <v>10</v>
      </c>
      <c r="AW58" s="286">
        <f t="shared" si="9"/>
        <v>3</v>
      </c>
      <c r="AX58" s="99">
        <f t="shared" si="10"/>
        <v>1</v>
      </c>
      <c r="AY58" s="291">
        <f t="shared" si="11"/>
        <v>7</v>
      </c>
      <c r="AZ58" s="286">
        <f t="shared" si="17"/>
        <v>9</v>
      </c>
      <c r="BA58" s="99">
        <f t="shared" si="12"/>
        <v>17</v>
      </c>
      <c r="BB58" s="291">
        <f t="shared" si="13"/>
        <v>30</v>
      </c>
      <c r="BC58" s="294">
        <f t="shared" si="14"/>
        <v>0</v>
      </c>
      <c r="BD58" s="7">
        <f t="shared" si="15"/>
        <v>17</v>
      </c>
      <c r="BE58" s="218">
        <f t="shared" si="16"/>
        <v>0.82700057999999999</v>
      </c>
      <c r="BF58" s="99">
        <f>IF(AP58="","",SMALL(BE$9:BE$62,ROWS(AZ$9:AZ58)))</f>
        <v>48.097900440000004</v>
      </c>
      <c r="BG58" s="88"/>
      <c r="BH58" s="99" t="str">
        <f>IF(OR(AP58="",AZ58=""),"",INDEX($AP$9:$AP$63,MATCH(BF58,$BE$9:BE$62,0)))</f>
        <v>B18</v>
      </c>
      <c r="BI58" s="7">
        <f t="shared" si="18"/>
        <v>3</v>
      </c>
      <c r="BJ58" s="7">
        <f t="shared" si="19"/>
        <v>-10</v>
      </c>
      <c r="BK58" s="7">
        <f t="shared" si="20"/>
        <v>21</v>
      </c>
      <c r="BL58" s="280">
        <f>IF(BF58="","",IF(AND(BI57=BI58,BJ57=BJ58,BK57=BK58),BL57,$BL$9+49))</f>
        <v>50</v>
      </c>
      <c r="BM58" s="29"/>
      <c r="BN58" s="265"/>
    </row>
    <row r="59" spans="1:66" ht="15.75">
      <c r="A59" s="128"/>
      <c r="B59" s="23"/>
      <c r="C59" s="23"/>
      <c r="D59" s="23"/>
      <c r="E59" s="23"/>
      <c r="F59" s="128"/>
      <c r="G59" s="128"/>
      <c r="H59" s="23"/>
      <c r="I59" s="25"/>
      <c r="J59" s="128"/>
      <c r="K59" s="128"/>
      <c r="L59" s="128"/>
      <c r="P59" s="23"/>
      <c r="Q59" s="128"/>
      <c r="R59" s="29"/>
      <c r="S59" s="23"/>
      <c r="T59" s="23"/>
      <c r="U59" s="23"/>
      <c r="V59" s="23"/>
      <c r="W59" s="23"/>
      <c r="X59" s="23"/>
      <c r="Y59" s="446">
        <v>7</v>
      </c>
      <c r="Z59" s="12" t="str">
        <f>+O22</f>
        <v>A13</v>
      </c>
      <c r="AA59" s="33">
        <v>2</v>
      </c>
      <c r="AB59" s="48">
        <f>IF(AA59+AA63=0,0,IF(AA59=AA63,2,IF(AA59&gt;AA63,3,1)))</f>
        <v>1</v>
      </c>
      <c r="AC59" s="13">
        <f>AA59-AA63</f>
        <v>-11</v>
      </c>
      <c r="AD59" s="9"/>
      <c r="AE59" s="12" t="str">
        <f>+R22</f>
        <v>A14</v>
      </c>
      <c r="AF59" s="126">
        <v>11</v>
      </c>
      <c r="AG59" s="48">
        <f>IF(AF59+AF63=0,0,IF(AF59=AF63,2,IF(AF59&gt;AF63,3,1)))</f>
        <v>1</v>
      </c>
      <c r="AH59" s="13">
        <f>AF59-AF63</f>
        <v>-1</v>
      </c>
      <c r="AI59" s="9"/>
      <c r="AJ59" s="12" t="str">
        <f>+U22</f>
        <v>A15</v>
      </c>
      <c r="AK59" s="36">
        <v>10</v>
      </c>
      <c r="AL59" s="48">
        <f>IF(AK59+AK63=0,0,IF(AK59=AK63,2,IF(AK59&gt;AK63,3,1)))</f>
        <v>3</v>
      </c>
      <c r="AM59" s="13">
        <f>AK59-AK63</f>
        <v>3</v>
      </c>
      <c r="AN59" s="23"/>
      <c r="AO59" s="54">
        <v>51</v>
      </c>
      <c r="AP59" s="323" t="str">
        <f>+Inscrits!F17</f>
        <v>C15</v>
      </c>
      <c r="AQ59" s="286">
        <f t="shared" si="3"/>
        <v>1</v>
      </c>
      <c r="AR59" s="99">
        <f t="shared" si="4"/>
        <v>-4</v>
      </c>
      <c r="AS59" s="219">
        <f t="shared" si="5"/>
        <v>8</v>
      </c>
      <c r="AT59" s="289">
        <f t="shared" si="6"/>
        <v>1</v>
      </c>
      <c r="AU59" s="99">
        <f t="shared" si="7"/>
        <v>-5</v>
      </c>
      <c r="AV59" s="291">
        <f t="shared" si="8"/>
        <v>5</v>
      </c>
      <c r="AW59" s="286">
        <f t="shared" si="9"/>
        <v>3</v>
      </c>
      <c r="AX59" s="99">
        <f t="shared" si="10"/>
        <v>3</v>
      </c>
      <c r="AY59" s="291">
        <f t="shared" si="11"/>
        <v>7</v>
      </c>
      <c r="AZ59" s="286">
        <f t="shared" si="17"/>
        <v>5</v>
      </c>
      <c r="BA59" s="99">
        <f t="shared" si="12"/>
        <v>-6</v>
      </c>
      <c r="BB59" s="291">
        <f t="shared" si="13"/>
        <v>20</v>
      </c>
      <c r="BC59" s="294">
        <f t="shared" si="14"/>
        <v>-6</v>
      </c>
      <c r="BD59" s="7">
        <f t="shared" si="15"/>
        <v>0</v>
      </c>
      <c r="BE59" s="218">
        <f t="shared" si="16"/>
        <v>30.058000589999999</v>
      </c>
      <c r="BF59" s="99">
        <f>IF(AP59="","",SMALL(BE$9:BE$62,ROWS(AZ$9:AZ59)))</f>
        <v>48.137900500000001</v>
      </c>
      <c r="BG59" s="88"/>
      <c r="BH59" s="99" t="str">
        <f>IF(OR(AP59="",AZ59=""),"",INDEX($AP$9:$AP$63,MATCH(BF59,$BE$9:BE$62,0)))</f>
        <v>C6</v>
      </c>
      <c r="BI59" s="7">
        <f t="shared" si="18"/>
        <v>3</v>
      </c>
      <c r="BJ59" s="7">
        <f t="shared" si="19"/>
        <v>-14</v>
      </c>
      <c r="BK59" s="7">
        <f t="shared" si="20"/>
        <v>21</v>
      </c>
      <c r="BL59" s="280">
        <f>IF(BF59="","",IF(AND(BI58=BI59,BJ58=BJ59,BK58=BK59),BL58,$BL$9+50))</f>
        <v>51</v>
      </c>
      <c r="BM59" s="29"/>
      <c r="BN59" s="265"/>
    </row>
    <row r="60" spans="1:66" ht="16.5" thickBot="1">
      <c r="A60" s="128"/>
      <c r="B60" s="29"/>
      <c r="C60" s="29"/>
      <c r="D60" s="128"/>
      <c r="E60" s="128"/>
      <c r="F60" s="128"/>
      <c r="G60" s="128"/>
      <c r="H60" s="23"/>
      <c r="I60" s="25"/>
      <c r="J60" s="128"/>
      <c r="K60" s="128"/>
      <c r="L60" s="128"/>
      <c r="P60" s="23"/>
      <c r="Q60" s="128"/>
      <c r="R60" s="29"/>
      <c r="S60" s="29"/>
      <c r="T60" s="29"/>
      <c r="U60" s="23"/>
      <c r="V60" s="23"/>
      <c r="W60" s="23"/>
      <c r="X60" s="23"/>
      <c r="Y60" s="447"/>
      <c r="Z60" s="14" t="str">
        <f>+P22</f>
        <v>B13</v>
      </c>
      <c r="AA60" s="17">
        <f>IF(ISTEXT(Z60),AA59,0)</f>
        <v>2</v>
      </c>
      <c r="AB60" s="18">
        <f>IF(ISTEXT(Z60),AB59,0)</f>
        <v>1</v>
      </c>
      <c r="AC60" s="19">
        <f>IF(ISTEXT(Z60),AC59,0)</f>
        <v>-11</v>
      </c>
      <c r="AD60" s="9"/>
      <c r="AE60" s="14" t="str">
        <f>+S22</f>
        <v>B15</v>
      </c>
      <c r="AF60" s="17">
        <f>IF(ISTEXT(AE60),AF59,0)</f>
        <v>11</v>
      </c>
      <c r="AG60" s="59">
        <f>IF(ISTEXT(AE60),AG59,0)</f>
        <v>1</v>
      </c>
      <c r="AH60" s="19">
        <f>IF(ISTEXT(AE60),AH59,0)</f>
        <v>-1</v>
      </c>
      <c r="AI60" s="9"/>
      <c r="AJ60" s="14" t="str">
        <f>+V22</f>
        <v>B17</v>
      </c>
      <c r="AK60" s="17">
        <f>IF(ISTEXT(AJ60),AK59,0)</f>
        <v>10</v>
      </c>
      <c r="AL60" s="59">
        <f>IF(ISTEXT(AJ60),AL59,0)</f>
        <v>3</v>
      </c>
      <c r="AM60" s="19">
        <f>IF(ISTEXT(AJ60),AM59,0)</f>
        <v>3</v>
      </c>
      <c r="AN60" s="23"/>
      <c r="AO60" s="54">
        <v>52</v>
      </c>
      <c r="AP60" s="323" t="str">
        <f>+Inscrits!F18</f>
        <v>C16</v>
      </c>
      <c r="AQ60" s="286">
        <f t="shared" si="3"/>
        <v>3</v>
      </c>
      <c r="AR60" s="99">
        <f t="shared" si="4"/>
        <v>4</v>
      </c>
      <c r="AS60" s="219">
        <f t="shared" si="5"/>
        <v>12</v>
      </c>
      <c r="AT60" s="289">
        <f t="shared" si="6"/>
        <v>1</v>
      </c>
      <c r="AU60" s="99">
        <f t="shared" si="7"/>
        <v>-1</v>
      </c>
      <c r="AV60" s="291">
        <f t="shared" si="8"/>
        <v>11</v>
      </c>
      <c r="AW60" s="286">
        <f t="shared" si="9"/>
        <v>1</v>
      </c>
      <c r="AX60" s="99">
        <f t="shared" si="10"/>
        <v>-3</v>
      </c>
      <c r="AY60" s="291">
        <f t="shared" si="11"/>
        <v>4</v>
      </c>
      <c r="AZ60" s="286">
        <f t="shared" si="17"/>
        <v>5</v>
      </c>
      <c r="BA60" s="99">
        <f t="shared" si="12"/>
        <v>0</v>
      </c>
      <c r="BB60" s="291">
        <f t="shared" si="13"/>
        <v>27</v>
      </c>
      <c r="BC60" s="294">
        <f t="shared" si="14"/>
        <v>0</v>
      </c>
      <c r="BD60" s="7">
        <f t="shared" si="15"/>
        <v>0</v>
      </c>
      <c r="BE60" s="218">
        <f t="shared" si="16"/>
        <v>29.997300599999999</v>
      </c>
      <c r="BF60" s="99">
        <f>IF(AP60="","",SMALL(BE$9:BE$62,ROWS(AZ$9:AZ60)))</f>
        <v>48.178500159999999</v>
      </c>
      <c r="BG60" s="88"/>
      <c r="BH60" s="99" t="str">
        <f>IF(OR(AP60="",AZ60=""),"",INDEX($AP$9:$AP$63,MATCH(BF60,$BE$9:BE$62,0)))</f>
        <v>A8</v>
      </c>
      <c r="BI60" s="7">
        <f t="shared" si="18"/>
        <v>3</v>
      </c>
      <c r="BJ60" s="7">
        <f t="shared" si="19"/>
        <v>-18</v>
      </c>
      <c r="BK60" s="7">
        <f t="shared" si="20"/>
        <v>15</v>
      </c>
      <c r="BL60" s="280">
        <f>IF(BF60="","",IF(AND(BI59=BI60,BJ59=BJ60,BK59=BK60),BL59,$BL$9+51))</f>
        <v>52</v>
      </c>
      <c r="BM60" s="29"/>
      <c r="BN60" s="262"/>
    </row>
    <row r="61" spans="1:66" ht="15.75">
      <c r="A61" s="128"/>
      <c r="B61" s="29"/>
      <c r="C61" s="29"/>
      <c r="D61" s="128"/>
      <c r="E61" s="128"/>
      <c r="F61" s="128"/>
      <c r="G61" s="128"/>
      <c r="H61" s="23"/>
      <c r="I61" s="25"/>
      <c r="J61" s="128"/>
      <c r="K61" s="128"/>
      <c r="L61" s="128"/>
      <c r="P61" s="23"/>
      <c r="Q61" s="128"/>
      <c r="R61" s="29"/>
      <c r="S61" s="29"/>
      <c r="T61" s="29"/>
      <c r="U61" s="29"/>
      <c r="V61" s="23"/>
      <c r="W61" s="23"/>
      <c r="X61" s="23"/>
      <c r="Y61" s="447"/>
      <c r="Z61" s="14" t="str">
        <f>+Q22</f>
        <v>C13</v>
      </c>
      <c r="AA61" s="71">
        <f>IF(ISTEXT(Z61),AA59,0)</f>
        <v>2</v>
      </c>
      <c r="AB61" s="67">
        <f>IF(ISTEXT(Z61),AB59,0)</f>
        <v>1</v>
      </c>
      <c r="AC61" s="72">
        <f>IF(ISTEXT(Z61),AC59,0)</f>
        <v>-11</v>
      </c>
      <c r="AD61" s="9"/>
      <c r="AE61" s="14" t="str">
        <f>+T22</f>
        <v>C16</v>
      </c>
      <c r="AF61" s="71">
        <f>IF(ISTEXT(AE61),AF59,0)</f>
        <v>11</v>
      </c>
      <c r="AG61" s="64">
        <f>IF(ISTEXT(AE61),AG59,0)</f>
        <v>1</v>
      </c>
      <c r="AH61" s="72">
        <f>IF(ISTEXT(AE61),AH59,0)</f>
        <v>-1</v>
      </c>
      <c r="AI61" s="9"/>
      <c r="AJ61" s="14" t="str">
        <f>+W22</f>
        <v>C1</v>
      </c>
      <c r="AK61" s="71">
        <f>IF(ISTEXT(AJ61),AK59,0)</f>
        <v>10</v>
      </c>
      <c r="AL61" s="64">
        <f>IF(ISTEXT(AJ61),AL59,0)</f>
        <v>3</v>
      </c>
      <c r="AM61" s="72">
        <f>IF(ISTEXT(AJ61),AM59,0)</f>
        <v>3</v>
      </c>
      <c r="AN61" s="23"/>
      <c r="AO61" s="54">
        <v>53</v>
      </c>
      <c r="AP61" s="323" t="str">
        <f>+Inscrits!F19</f>
        <v>C17</v>
      </c>
      <c r="AQ61" s="286">
        <f t="shared" si="3"/>
        <v>3</v>
      </c>
      <c r="AR61" s="99">
        <f t="shared" si="4"/>
        <v>6</v>
      </c>
      <c r="AS61" s="219">
        <f t="shared" si="5"/>
        <v>11</v>
      </c>
      <c r="AT61" s="289">
        <f t="shared" si="6"/>
        <v>3</v>
      </c>
      <c r="AU61" s="99">
        <f t="shared" si="7"/>
        <v>1</v>
      </c>
      <c r="AV61" s="291">
        <f t="shared" si="8"/>
        <v>12</v>
      </c>
      <c r="AW61" s="286">
        <f t="shared" si="9"/>
        <v>1</v>
      </c>
      <c r="AX61" s="99">
        <f t="shared" si="10"/>
        <v>-3</v>
      </c>
      <c r="AY61" s="291">
        <f t="shared" si="11"/>
        <v>8</v>
      </c>
      <c r="AZ61" s="286">
        <f t="shared" si="17"/>
        <v>7</v>
      </c>
      <c r="BA61" s="99">
        <f t="shared" si="12"/>
        <v>4</v>
      </c>
      <c r="BB61" s="291">
        <f t="shared" si="13"/>
        <v>31</v>
      </c>
      <c r="BC61" s="294">
        <f t="shared" si="14"/>
        <v>0</v>
      </c>
      <c r="BD61" s="7">
        <f t="shared" si="15"/>
        <v>4</v>
      </c>
      <c r="BE61" s="218">
        <f t="shared" si="16"/>
        <v>5.9569006099999999</v>
      </c>
      <c r="BF61" s="99">
        <f>IF(AP61="","",SMALL(BE$9:BE$62,ROWS(AZ$9:AZ61)))</f>
        <v>48.188500210000001</v>
      </c>
      <c r="BG61" s="88"/>
      <c r="BH61" s="99" t="str">
        <f>IF(OR(AP61="",AZ61=""),"",INDEX($AP$9:$AP$63,MATCH(BF61,$BE$9:BE$62,0)))</f>
        <v>A13</v>
      </c>
      <c r="BI61" s="7">
        <f t="shared" si="18"/>
        <v>3</v>
      </c>
      <c r="BJ61" s="7">
        <f t="shared" si="19"/>
        <v>-19</v>
      </c>
      <c r="BK61" s="7">
        <f t="shared" si="20"/>
        <v>15</v>
      </c>
      <c r="BL61" s="280">
        <f>IF(BF61="","",IF(AND(BI60=BI61,BJ60=BJ61,BK60=BK61),BL60,$BL$9+52))</f>
        <v>53</v>
      </c>
      <c r="BM61" s="29"/>
      <c r="BN61" s="262"/>
    </row>
    <row r="62" spans="1:66" ht="16.5" thickBot="1">
      <c r="A62" s="128"/>
      <c r="B62" s="29"/>
      <c r="C62" s="29"/>
      <c r="D62" s="128"/>
      <c r="E62" s="128"/>
      <c r="F62" s="128"/>
      <c r="G62" s="128"/>
      <c r="H62" s="23"/>
      <c r="I62" s="25"/>
      <c r="J62" s="128"/>
      <c r="K62" s="128"/>
      <c r="L62" s="128"/>
      <c r="P62" s="23"/>
      <c r="Q62" s="128"/>
      <c r="R62" s="29"/>
      <c r="S62" s="29"/>
      <c r="T62" s="29"/>
      <c r="U62" s="29"/>
      <c r="V62" s="23"/>
      <c r="W62" s="23"/>
      <c r="X62" s="23"/>
      <c r="Y62" s="447"/>
      <c r="Z62" s="32"/>
      <c r="AA62" s="21" t="s">
        <v>5</v>
      </c>
      <c r="AB62" s="21"/>
      <c r="AC62" s="22"/>
      <c r="AD62" s="1"/>
      <c r="AE62" s="32"/>
      <c r="AF62" s="21" t="s">
        <v>5</v>
      </c>
      <c r="AG62" s="21"/>
      <c r="AH62" s="22"/>
      <c r="AI62" s="1"/>
      <c r="AJ62" s="32"/>
      <c r="AK62" s="21" t="s">
        <v>5</v>
      </c>
      <c r="AL62" s="21"/>
      <c r="AM62" s="22"/>
      <c r="AN62" s="23"/>
      <c r="AO62" s="338">
        <v>54</v>
      </c>
      <c r="AP62" s="324" t="str">
        <f>+Inscrits!F20</f>
        <v>C18</v>
      </c>
      <c r="AQ62" s="287">
        <f t="shared" si="3"/>
        <v>1</v>
      </c>
      <c r="AR62" s="224">
        <f t="shared" si="4"/>
        <v>-6</v>
      </c>
      <c r="AS62" s="225">
        <f t="shared" si="5"/>
        <v>5</v>
      </c>
      <c r="AT62" s="290">
        <f t="shared" si="6"/>
        <v>3</v>
      </c>
      <c r="AU62" s="224">
        <f t="shared" si="7"/>
        <v>1</v>
      </c>
      <c r="AV62" s="292">
        <f t="shared" si="8"/>
        <v>10</v>
      </c>
      <c r="AW62" s="287">
        <f t="shared" si="9"/>
        <v>3</v>
      </c>
      <c r="AX62" s="224">
        <f t="shared" si="10"/>
        <v>3</v>
      </c>
      <c r="AY62" s="292">
        <f t="shared" si="11"/>
        <v>11</v>
      </c>
      <c r="AZ62" s="287">
        <f t="shared" si="17"/>
        <v>7</v>
      </c>
      <c r="BA62" s="224">
        <f t="shared" si="12"/>
        <v>-2</v>
      </c>
      <c r="BB62" s="292">
        <f t="shared" si="13"/>
        <v>26</v>
      </c>
      <c r="BC62" s="295">
        <f t="shared" si="14"/>
        <v>-2</v>
      </c>
      <c r="BD62" s="282">
        <f t="shared" si="15"/>
        <v>0</v>
      </c>
      <c r="BE62" s="218">
        <f t="shared" si="16"/>
        <v>6.0174006199999992</v>
      </c>
      <c r="BF62" s="224">
        <f>IF(AP62="","",SMALL(BE$9:BE$62,ROWS(AZ$9:AZ62)))</f>
        <v>48.258900259999997</v>
      </c>
      <c r="BG62" s="88"/>
      <c r="BH62" s="224" t="str">
        <f>IF(OR(AP62="",AZ62=""),"",INDEX($AP$9:$AP$63,MATCH(BF62,$BE$9:BE$62,0)))</f>
        <v>A18</v>
      </c>
      <c r="BI62" s="282">
        <f t="shared" si="18"/>
        <v>3</v>
      </c>
      <c r="BJ62" s="282">
        <f t="shared" si="19"/>
        <v>-26</v>
      </c>
      <c r="BK62" s="282">
        <f t="shared" si="20"/>
        <v>11</v>
      </c>
      <c r="BL62" s="280">
        <f>IF(BF62="","",IF(AND(BI61=BI62,BJ61=BJ62,BK61=BK62),BL61,$BL$9+53))</f>
        <v>54</v>
      </c>
      <c r="BM62" s="29"/>
      <c r="BN62" s="262"/>
    </row>
    <row r="63" spans="1:66" ht="15.75">
      <c r="A63" s="128"/>
      <c r="B63" s="29"/>
      <c r="C63" s="29"/>
      <c r="D63" s="128"/>
      <c r="E63" s="128"/>
      <c r="F63" s="128"/>
      <c r="G63" s="128"/>
      <c r="H63" s="23"/>
      <c r="I63" s="25"/>
      <c r="J63" s="128"/>
      <c r="K63" s="128"/>
      <c r="L63" s="128"/>
      <c r="P63" s="23"/>
      <c r="Q63" s="128"/>
      <c r="R63" s="29"/>
      <c r="S63" s="29"/>
      <c r="T63" s="29"/>
      <c r="U63" s="29"/>
      <c r="V63" s="23"/>
      <c r="W63" s="23"/>
      <c r="X63" s="23"/>
      <c r="Y63" s="447"/>
      <c r="Z63" s="14" t="str">
        <f>+O23</f>
        <v>A14</v>
      </c>
      <c r="AA63" s="35">
        <v>13</v>
      </c>
      <c r="AB63" s="30">
        <f>IF(AA59+AA63=0,0,IF(AA59=AA63,2,IF(AA59&lt;AA63,3,1)))</f>
        <v>3</v>
      </c>
      <c r="AC63" s="15">
        <f>AA63-AA59</f>
        <v>11</v>
      </c>
      <c r="AD63" s="9"/>
      <c r="AE63" s="14" t="str">
        <f>+R23</f>
        <v>A15</v>
      </c>
      <c r="AF63" s="127">
        <v>12</v>
      </c>
      <c r="AG63" s="30">
        <f>IF(AF59+AF63=0,0,IF(AF59=AF63,2,IF(AF59&lt;AF63,3,1)))</f>
        <v>3</v>
      </c>
      <c r="AH63" s="15">
        <f>AF63-AF59</f>
        <v>1</v>
      </c>
      <c r="AI63" s="9"/>
      <c r="AJ63" s="14" t="str">
        <f>+U23</f>
        <v>A16</v>
      </c>
      <c r="AK63" s="37">
        <v>7</v>
      </c>
      <c r="AL63" s="30">
        <f>IF(AK59+AK63=0,0,IF(AK59=AK63,2,IF(AK59&lt;AK63,3,1)))</f>
        <v>1</v>
      </c>
      <c r="AM63" s="15">
        <f>AK63-AK59</f>
        <v>-3</v>
      </c>
      <c r="AN63" s="23"/>
      <c r="AP63" s="8"/>
      <c r="AQ63" s="89">
        <f>SUM(IF(ISNA(AQ9:AQ62),0,AQ9:AQ62))</f>
        <v>108</v>
      </c>
      <c r="AR63" s="89">
        <f t="array" ref="AR63">SUM(IF(ISNA(AR9:AR62),0,AR9:AR62))</f>
        <v>0</v>
      </c>
      <c r="AS63" s="89"/>
      <c r="AT63" s="89">
        <f>SUM(IF(ISNA(AT9:AT62),0,AT9:AT62))</f>
        <v>108</v>
      </c>
      <c r="AU63" s="89">
        <f t="array" ref="AU63">SUM(IF(ISNA(AU9:AU62),0,AU9:AU62))</f>
        <v>0</v>
      </c>
      <c r="AV63" s="89"/>
      <c r="AW63" s="89">
        <f t="array" ref="AW63">SUM(IF(ISNA(AW9:AW62),0,AW9:AW62))</f>
        <v>108</v>
      </c>
      <c r="AX63" s="89">
        <f t="array" ref="AX63">SUM(IF(ISNA(AX9:AX62),0,AX9:AX62))</f>
        <v>0</v>
      </c>
      <c r="AY63" s="89"/>
      <c r="AZ63" s="39">
        <f t="array" ref="AZ63">SUM(AZ9:AZ62)</f>
        <v>324</v>
      </c>
      <c r="BA63" s="39">
        <f t="array" ref="BA63">SUM(BA9:BA62)</f>
        <v>0</v>
      </c>
      <c r="BB63" s="39"/>
      <c r="BC63" s="39"/>
      <c r="BD63" s="39"/>
      <c r="BE63" s="39"/>
      <c r="BF63" s="39"/>
      <c r="BG63" s="84"/>
      <c r="BH63" s="39"/>
      <c r="BI63" s="79"/>
      <c r="BJ63" s="39">
        <f t="array" ref="BJ63">SUM(BJ9:BJ62)</f>
        <v>0</v>
      </c>
      <c r="BK63" s="39"/>
      <c r="BL63" s="8"/>
      <c r="BM63" s="29"/>
      <c r="BN63" s="84"/>
    </row>
    <row r="64" spans="1:66" ht="16.5" thickBot="1">
      <c r="A64" s="128"/>
      <c r="B64" s="29"/>
      <c r="C64" s="29"/>
      <c r="D64" s="128"/>
      <c r="E64" s="128"/>
      <c r="F64" s="128"/>
      <c r="G64" s="128"/>
      <c r="H64" s="23"/>
      <c r="I64" s="25"/>
      <c r="J64" s="128"/>
      <c r="K64" s="128"/>
      <c r="L64" s="128"/>
      <c r="P64" s="23"/>
      <c r="Q64" s="128"/>
      <c r="R64" s="29"/>
      <c r="S64" s="29"/>
      <c r="T64" s="29"/>
      <c r="U64" s="29"/>
      <c r="V64" s="23"/>
      <c r="W64" s="23"/>
      <c r="X64" s="23"/>
      <c r="Y64" s="447"/>
      <c r="Z64" s="14" t="str">
        <f>+P23</f>
        <v>B14</v>
      </c>
      <c r="AA64" s="17">
        <f>IF(ISTEXT(Z64),AA63,0)</f>
        <v>13</v>
      </c>
      <c r="AB64" s="18">
        <f>IF(ISTEXT(Z64),AB63,0)</f>
        <v>3</v>
      </c>
      <c r="AC64" s="19">
        <f>IF(ISTEXT(Z64),AC63,0)</f>
        <v>11</v>
      </c>
      <c r="AD64" s="9"/>
      <c r="AE64" s="14" t="str">
        <f>+S23</f>
        <v>B16</v>
      </c>
      <c r="AF64" s="17">
        <f>IF(ISTEXT(AE64),AF63,0)</f>
        <v>12</v>
      </c>
      <c r="AG64" s="18">
        <f>IF(ISTEXT(AE64),AG63,0)</f>
        <v>3</v>
      </c>
      <c r="AH64" s="19">
        <f>IF(ISTEXT(AE64),AH63,0)</f>
        <v>1</v>
      </c>
      <c r="AI64" s="9"/>
      <c r="AJ64" s="14" t="str">
        <f>+V23</f>
        <v>B18</v>
      </c>
      <c r="AK64" s="17">
        <f>IF(ISTEXT(AJ64),AK63,0)</f>
        <v>7</v>
      </c>
      <c r="AL64" s="18">
        <f>IF(ISTEXT(AJ64),AL63,0)</f>
        <v>1</v>
      </c>
      <c r="AM64" s="19">
        <f>IF(ISTEXT(AJ64),AM63,0)</f>
        <v>-3</v>
      </c>
      <c r="AN64" s="23"/>
      <c r="AP64" s="8"/>
      <c r="AQ64" s="39"/>
      <c r="AR64" s="79" t="str">
        <f>IF(AR63=0,"OK","ERREUR")</f>
        <v>OK</v>
      </c>
      <c r="AS64" s="75"/>
      <c r="AT64" s="39"/>
      <c r="AU64" s="79" t="str">
        <f>IF(AU63=0,"OK","ERREUR")</f>
        <v>OK</v>
      </c>
      <c r="AV64" s="75"/>
      <c r="AW64" s="39"/>
      <c r="AX64" s="79" t="str">
        <f>IF(AX63=0,"OK","ERREUR")</f>
        <v>OK</v>
      </c>
      <c r="AY64" s="75"/>
      <c r="AZ64" s="8"/>
      <c r="BA64" s="79" t="str">
        <f>IF(BA63=0,"OK","ERREUR")</f>
        <v>OK</v>
      </c>
      <c r="BB64" s="75"/>
      <c r="BC64" s="9"/>
      <c r="BD64" s="9"/>
      <c r="BE64" s="9"/>
      <c r="BF64" s="39"/>
      <c r="BG64" s="84"/>
      <c r="BH64" s="39"/>
      <c r="BI64" s="79"/>
      <c r="BJ64" s="79" t="str">
        <f>IF(BJ63=0,"OK","ERREUR")</f>
        <v>OK</v>
      </c>
      <c r="BK64" s="75"/>
      <c r="BL64" s="8"/>
      <c r="BM64" s="29"/>
    </row>
    <row r="65" spans="1:65" ht="16.5" thickBot="1">
      <c r="A65" s="128"/>
      <c r="B65" s="29"/>
      <c r="C65" s="29"/>
      <c r="D65" s="128"/>
      <c r="E65" s="128"/>
      <c r="F65" s="128"/>
      <c r="G65" s="128"/>
      <c r="H65" s="23"/>
      <c r="I65" s="25"/>
      <c r="J65" s="128"/>
      <c r="K65" s="128"/>
      <c r="L65" s="128"/>
      <c r="P65" s="23"/>
      <c r="Q65" s="128"/>
      <c r="R65" s="29"/>
      <c r="S65" s="29"/>
      <c r="T65" s="29"/>
      <c r="U65" s="29"/>
      <c r="V65" s="23"/>
      <c r="W65" s="23"/>
      <c r="X65" s="23"/>
      <c r="Y65" s="448"/>
      <c r="Z65" s="16" t="str">
        <f>+Q23</f>
        <v>C14</v>
      </c>
      <c r="AA65" s="17">
        <f>IF(ISTEXT(Z65),AA63,0)</f>
        <v>13</v>
      </c>
      <c r="AB65" s="18">
        <f>IF(ISTEXT(Z65),AB63,0)</f>
        <v>3</v>
      </c>
      <c r="AC65" s="19">
        <f>IF(ISTEXT(Z65),AC63,0)</f>
        <v>11</v>
      </c>
      <c r="AD65" s="9"/>
      <c r="AE65" s="16" t="str">
        <f>+T23</f>
        <v>C17</v>
      </c>
      <c r="AF65" s="17">
        <f>IF(ISTEXT(AE65),AF63,0)</f>
        <v>12</v>
      </c>
      <c r="AG65" s="18">
        <f>IF(ISTEXT(AE65),AG63,0)</f>
        <v>3</v>
      </c>
      <c r="AH65" s="19">
        <f>IF(ISTEXT(AE65),AH63,0)</f>
        <v>1</v>
      </c>
      <c r="AI65" s="9"/>
      <c r="AJ65" s="16" t="str">
        <f>+W23</f>
        <v>C2</v>
      </c>
      <c r="AK65" s="17">
        <f>IF(ISTEXT(AJ65),AK63,0)</f>
        <v>7</v>
      </c>
      <c r="AL65" s="18">
        <f>IF(ISTEXT(AJ65),AL63,0)</f>
        <v>1</v>
      </c>
      <c r="AM65" s="19">
        <f>IF(ISTEXT(AJ65),AM63,0)</f>
        <v>-3</v>
      </c>
      <c r="AN65" s="23"/>
      <c r="AO65" s="128"/>
      <c r="AP65" s="8"/>
      <c r="AQ65" s="39"/>
      <c r="AR65" s="75"/>
      <c r="AS65" s="75"/>
      <c r="AT65" s="39"/>
      <c r="AU65" s="75"/>
      <c r="AV65" s="75"/>
      <c r="AW65" s="39"/>
      <c r="AX65" s="75"/>
      <c r="AY65" s="75"/>
      <c r="AZ65" s="8"/>
      <c r="BA65" s="75"/>
      <c r="BB65" s="75"/>
      <c r="BC65" s="9"/>
      <c r="BD65" s="9"/>
      <c r="BE65" s="9"/>
      <c r="BF65" s="39"/>
      <c r="BG65" s="84"/>
      <c r="BH65" s="39"/>
      <c r="BI65" s="79"/>
      <c r="BJ65" s="75"/>
      <c r="BK65" s="75"/>
      <c r="BL65" s="8"/>
      <c r="BM65" s="29"/>
    </row>
    <row r="66" spans="1:65" ht="16.5" thickBot="1">
      <c r="A66" s="128"/>
      <c r="B66" s="29"/>
      <c r="C66" s="29"/>
      <c r="D66" s="128"/>
      <c r="E66" s="128"/>
      <c r="F66" s="128"/>
      <c r="G66" s="128"/>
      <c r="H66" s="23"/>
      <c r="I66" s="25"/>
      <c r="J66" s="128"/>
      <c r="K66" s="128"/>
      <c r="L66" s="128"/>
      <c r="P66" s="23"/>
      <c r="Q66" s="128"/>
      <c r="R66" s="29"/>
      <c r="S66" s="29"/>
      <c r="T66" s="29"/>
      <c r="U66" s="29"/>
      <c r="V66" s="23"/>
      <c r="W66" s="23"/>
      <c r="X66" s="23"/>
      <c r="Y66" s="128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23"/>
      <c r="AO66" s="128"/>
      <c r="AP66" s="23"/>
      <c r="AQ66" s="84"/>
      <c r="AR66" s="119"/>
      <c r="AS66" s="119"/>
      <c r="AT66" s="84"/>
      <c r="AU66" s="84"/>
      <c r="AV66" s="84"/>
      <c r="AW66" s="84"/>
      <c r="AX66" s="119"/>
      <c r="AY66" s="119"/>
      <c r="AZ66" s="119"/>
      <c r="BA66" s="119"/>
      <c r="BB66" s="119"/>
      <c r="BC66" s="119"/>
      <c r="BD66" s="119"/>
      <c r="BE66" s="119"/>
      <c r="BF66" s="119"/>
      <c r="BG66" s="84"/>
      <c r="BH66" s="119"/>
      <c r="BI66" s="128"/>
      <c r="BJ66" s="128"/>
      <c r="BK66" s="128"/>
      <c r="BL66" s="23"/>
      <c r="BM66" s="29"/>
    </row>
    <row r="67" spans="1:65" ht="15.75">
      <c r="A67" s="128"/>
      <c r="B67" s="29"/>
      <c r="C67" s="29"/>
      <c r="D67" s="128"/>
      <c r="E67" s="128"/>
      <c r="F67" s="128"/>
      <c r="G67" s="128"/>
      <c r="H67" s="23"/>
      <c r="I67" s="25"/>
      <c r="J67" s="128"/>
      <c r="K67" s="128"/>
      <c r="L67" s="128"/>
      <c r="P67" s="23"/>
      <c r="Q67" s="128"/>
      <c r="R67" s="29"/>
      <c r="S67" s="29"/>
      <c r="T67" s="29"/>
      <c r="U67" s="29"/>
      <c r="V67" s="23"/>
      <c r="W67" s="23"/>
      <c r="X67" s="23"/>
      <c r="Y67" s="446">
        <v>8</v>
      </c>
      <c r="Z67" s="12" t="str">
        <f>+O24</f>
        <v>A15</v>
      </c>
      <c r="AA67" s="33">
        <v>8</v>
      </c>
      <c r="AB67" s="48">
        <f>IF(AA67+AA71=0,0,IF(AA67=AA71,2,IF(AA67&gt;AA71,3,1)))</f>
        <v>1</v>
      </c>
      <c r="AC67" s="13">
        <f>AA67-AA71</f>
        <v>-4</v>
      </c>
      <c r="AD67" s="9"/>
      <c r="AE67" s="12" t="str">
        <f>+R24</f>
        <v>A16</v>
      </c>
      <c r="AF67" s="126">
        <v>10</v>
      </c>
      <c r="AG67" s="48">
        <f>IF(AF67+AF71=0,0,IF(AF67=AF71,2,IF(AF67&gt;AF71,3,1)))</f>
        <v>3</v>
      </c>
      <c r="AH67" s="13">
        <f>AF67-AF71</f>
        <v>1</v>
      </c>
      <c r="AI67" s="9"/>
      <c r="AJ67" s="12" t="str">
        <f>+U24</f>
        <v>A17</v>
      </c>
      <c r="AK67" s="36">
        <v>13</v>
      </c>
      <c r="AL67" s="48">
        <f>IF(AK67+AK71=0,0,IF(AK67=AK71,2,IF(AK67&gt;AK71,3,1)))</f>
        <v>3</v>
      </c>
      <c r="AM67" s="13">
        <f>AK67-AK71</f>
        <v>12</v>
      </c>
      <c r="AN67" s="23"/>
      <c r="AO67" s="128"/>
      <c r="AP67" s="386" t="s">
        <v>28</v>
      </c>
      <c r="AQ67" s="383">
        <f>COUNTIF(AQ9:AQ56,1)</f>
        <v>24</v>
      </c>
      <c r="AR67" s="384"/>
      <c r="AS67" s="384"/>
      <c r="AT67" s="383">
        <f>COUNTIF(AT9:AT56,1)</f>
        <v>25</v>
      </c>
      <c r="AU67" s="383"/>
      <c r="AV67" s="383"/>
      <c r="AW67" s="383">
        <f>COUNTIF(AW9:AW56,1)</f>
        <v>24</v>
      </c>
      <c r="AX67" s="384"/>
      <c r="AY67" s="384"/>
      <c r="AZ67" s="383">
        <f>COUNTIF(AZ9:AZ62,3)</f>
        <v>7</v>
      </c>
      <c r="BA67" s="385"/>
      <c r="BB67" s="385"/>
      <c r="BC67" s="383">
        <f>COUNTIF(BC9:BC56,1)</f>
        <v>0</v>
      </c>
      <c r="BD67" s="383"/>
      <c r="BE67" s="383"/>
      <c r="BF67" s="383">
        <f>COUNTIF(BF9:BF56,1)</f>
        <v>0</v>
      </c>
      <c r="BG67" s="84"/>
      <c r="BH67" s="23"/>
      <c r="BI67" s="23"/>
      <c r="BJ67" s="23"/>
      <c r="BK67" s="23"/>
      <c r="BL67" s="23"/>
      <c r="BM67" s="29"/>
    </row>
    <row r="68" spans="1:65" ht="16.5" thickBot="1">
      <c r="A68" s="128"/>
      <c r="B68" s="29"/>
      <c r="C68" s="29"/>
      <c r="D68" s="128"/>
      <c r="E68" s="128"/>
      <c r="F68" s="128"/>
      <c r="G68" s="128"/>
      <c r="H68" s="23"/>
      <c r="I68" s="25"/>
      <c r="J68" s="128"/>
      <c r="K68" s="128"/>
      <c r="L68" s="128"/>
      <c r="P68" s="23"/>
      <c r="Q68" s="128"/>
      <c r="R68" s="29"/>
      <c r="S68" s="29"/>
      <c r="T68" s="29"/>
      <c r="U68" s="29"/>
      <c r="V68" s="23"/>
      <c r="W68" s="23"/>
      <c r="X68" s="23"/>
      <c r="Y68" s="447"/>
      <c r="Z68" s="14" t="str">
        <f>+P24</f>
        <v>B15</v>
      </c>
      <c r="AA68" s="17">
        <f>IF(ISTEXT(Z68),AA67,0)</f>
        <v>8</v>
      </c>
      <c r="AB68" s="18">
        <f>IF(ISTEXT(Z68),AB67,0)</f>
        <v>1</v>
      </c>
      <c r="AC68" s="19">
        <f>IF(ISTEXT(Z68),AC67,0)</f>
        <v>-4</v>
      </c>
      <c r="AD68" s="9"/>
      <c r="AE68" s="14" t="str">
        <f>+S24</f>
        <v>B17</v>
      </c>
      <c r="AF68" s="17">
        <f>IF(ISTEXT(AE68),AF67,0)</f>
        <v>10</v>
      </c>
      <c r="AG68" s="59">
        <f>IF(ISTEXT(AE68),AG67,0)</f>
        <v>3</v>
      </c>
      <c r="AH68" s="19">
        <f>IF(ISTEXT(AE68),AH67,0)</f>
        <v>1</v>
      </c>
      <c r="AI68" s="9"/>
      <c r="AJ68" s="14" t="str">
        <f>+V24</f>
        <v>B1</v>
      </c>
      <c r="AK68" s="17">
        <f>IF(ISTEXT(AJ68),AK67,0)</f>
        <v>13</v>
      </c>
      <c r="AL68" s="59">
        <f>IF(ISTEXT(AJ68),AL67,0)</f>
        <v>3</v>
      </c>
      <c r="AM68" s="19">
        <f>IF(ISTEXT(AJ68),AM67,0)</f>
        <v>12</v>
      </c>
      <c r="AN68" s="23"/>
      <c r="AO68" s="128"/>
      <c r="AP68" s="386" t="s">
        <v>44</v>
      </c>
      <c r="AQ68" s="383">
        <f>COUNTIF(AQ9:AQ56,2)</f>
        <v>0</v>
      </c>
      <c r="AR68" s="384"/>
      <c r="AS68" s="384"/>
      <c r="AT68" s="383">
        <f>COUNTIF(AT9:AT56,2)</f>
        <v>0</v>
      </c>
      <c r="AU68" s="384"/>
      <c r="AV68" s="384"/>
      <c r="AW68" s="383">
        <f>COUNTIF(AW9:AW56,2)</f>
        <v>0</v>
      </c>
      <c r="AX68" s="384"/>
      <c r="AY68" s="384"/>
      <c r="AZ68" s="383">
        <f>COUNTIF(AZ9:AZ62,5)</f>
        <v>18</v>
      </c>
      <c r="BA68" s="385"/>
      <c r="BB68" s="385"/>
      <c r="BC68" s="383">
        <f>COUNTIF(BC9:BC56,2)</f>
        <v>0</v>
      </c>
      <c r="BD68" s="384"/>
      <c r="BE68" s="384"/>
      <c r="BF68" s="383">
        <f>COUNTIF(BF9:BF56,2)</f>
        <v>0</v>
      </c>
      <c r="BG68" s="84"/>
      <c r="BH68" s="23"/>
      <c r="BI68" s="23"/>
      <c r="BJ68" s="23"/>
      <c r="BK68" s="23"/>
      <c r="BL68" s="23"/>
      <c r="BM68" s="29"/>
    </row>
    <row r="69" spans="1:65" ht="15.75">
      <c r="A69" s="128"/>
      <c r="B69" s="29"/>
      <c r="C69" s="29"/>
      <c r="D69" s="128"/>
      <c r="E69" s="128"/>
      <c r="F69" s="128"/>
      <c r="G69" s="128"/>
      <c r="H69" s="23"/>
      <c r="I69" s="25"/>
      <c r="J69" s="128"/>
      <c r="K69" s="128"/>
      <c r="L69" s="128"/>
      <c r="P69" s="23"/>
      <c r="Q69" s="128"/>
      <c r="R69" s="29"/>
      <c r="S69" s="29"/>
      <c r="T69" s="29"/>
      <c r="U69" s="29"/>
      <c r="V69" s="23"/>
      <c r="W69" s="23"/>
      <c r="X69" s="23"/>
      <c r="Y69" s="447"/>
      <c r="Z69" s="14" t="str">
        <f>+Q24</f>
        <v>C15</v>
      </c>
      <c r="AA69" s="71">
        <f>IF(ISTEXT(Z69),AA67,0)</f>
        <v>8</v>
      </c>
      <c r="AB69" s="67">
        <f>IF(ISTEXT(Z69),AB67,0)</f>
        <v>1</v>
      </c>
      <c r="AC69" s="72">
        <f>IF(ISTEXT(Z69),AC67,0)</f>
        <v>-4</v>
      </c>
      <c r="AD69" s="9"/>
      <c r="AE69" s="14" t="str">
        <f>+T24</f>
        <v>C18</v>
      </c>
      <c r="AF69" s="71">
        <f>IF(ISTEXT(AE69),AF67,0)</f>
        <v>10</v>
      </c>
      <c r="AG69" s="64">
        <f>IF(ISTEXT(AE69),AG67,0)</f>
        <v>3</v>
      </c>
      <c r="AH69" s="72">
        <f>IF(ISTEXT(AE69),AH67,0)</f>
        <v>1</v>
      </c>
      <c r="AI69" s="9"/>
      <c r="AJ69" s="14" t="str">
        <f>+W24</f>
        <v>C3</v>
      </c>
      <c r="AK69" s="71">
        <f>IF(ISTEXT(AJ69),AK67,0)</f>
        <v>13</v>
      </c>
      <c r="AL69" s="64">
        <f>IF(ISTEXT(AJ69),AL67,0)</f>
        <v>3</v>
      </c>
      <c r="AM69" s="72">
        <f>IF(ISTEXT(AJ69),AM67,0)</f>
        <v>12</v>
      </c>
      <c r="AN69" s="23"/>
      <c r="AO69" s="23"/>
      <c r="AP69" s="386" t="s">
        <v>47</v>
      </c>
      <c r="AQ69" s="383"/>
      <c r="AR69" s="384"/>
      <c r="AS69" s="384"/>
      <c r="AT69" s="383"/>
      <c r="AU69" s="384"/>
      <c r="AV69" s="384"/>
      <c r="AW69" s="383"/>
      <c r="AX69" s="384"/>
      <c r="AY69" s="384"/>
      <c r="AZ69" s="383">
        <f>COUNTIF(AZ10:AZ63,6)</f>
        <v>0</v>
      </c>
      <c r="BA69" s="385"/>
      <c r="BB69" s="385"/>
      <c r="BC69" s="383">
        <f>COUNTIF(BC9:BC56,3)</f>
        <v>0</v>
      </c>
      <c r="BD69" s="384"/>
      <c r="BE69" s="384"/>
      <c r="BF69" s="383">
        <f>COUNTIF(BF9:BF56,3)</f>
        <v>0</v>
      </c>
      <c r="BG69" s="84"/>
      <c r="BH69" s="23"/>
      <c r="BI69" s="23"/>
      <c r="BJ69" s="23"/>
      <c r="BK69" s="23"/>
      <c r="BL69" s="23"/>
      <c r="BM69" s="29"/>
    </row>
    <row r="70" spans="1:65" ht="15.75">
      <c r="A70" s="128"/>
      <c r="B70" s="29"/>
      <c r="C70" s="29"/>
      <c r="D70" s="128"/>
      <c r="E70" s="128"/>
      <c r="F70" s="128"/>
      <c r="G70" s="128"/>
      <c r="H70" s="23"/>
      <c r="I70" s="25"/>
      <c r="J70" s="128"/>
      <c r="K70" s="128"/>
      <c r="L70" s="128"/>
      <c r="P70" s="23"/>
      <c r="Q70" s="128"/>
      <c r="R70" s="29"/>
      <c r="S70" s="29"/>
      <c r="T70" s="29"/>
      <c r="U70" s="29"/>
      <c r="V70" s="23"/>
      <c r="W70" s="23"/>
      <c r="X70" s="23"/>
      <c r="Y70" s="447"/>
      <c r="Z70" s="32"/>
      <c r="AA70" s="21" t="s">
        <v>5</v>
      </c>
      <c r="AB70" s="21"/>
      <c r="AC70" s="22"/>
      <c r="AD70" s="1"/>
      <c r="AE70" s="32"/>
      <c r="AF70" s="21" t="s">
        <v>5</v>
      </c>
      <c r="AG70" s="21"/>
      <c r="AH70" s="22"/>
      <c r="AI70" s="1"/>
      <c r="AJ70" s="32"/>
      <c r="AK70" s="21" t="s">
        <v>5</v>
      </c>
      <c r="AL70" s="21"/>
      <c r="AM70" s="22"/>
      <c r="AN70" s="23"/>
      <c r="AO70" s="23"/>
      <c r="AP70" s="386" t="s">
        <v>45</v>
      </c>
      <c r="AQ70" s="383">
        <f>COUNTIF(AQ9:AQ56,3)</f>
        <v>24</v>
      </c>
      <c r="AR70" s="384"/>
      <c r="AS70" s="384"/>
      <c r="AT70" s="383">
        <f>COUNTIF(AT9:AT56,3)</f>
        <v>23</v>
      </c>
      <c r="AU70" s="384"/>
      <c r="AV70" s="384"/>
      <c r="AW70" s="383">
        <f>COUNTIF(AW9:AW56,3)</f>
        <v>24</v>
      </c>
      <c r="AX70" s="384"/>
      <c r="AY70" s="384"/>
      <c r="AZ70" s="383">
        <f>COUNTIF(AZ9:AZ62,7)</f>
        <v>24</v>
      </c>
      <c r="BA70" s="385"/>
      <c r="BB70" s="385"/>
      <c r="BC70" s="383">
        <f>COUNTIF(BC9:BC56,0)</f>
        <v>27</v>
      </c>
      <c r="BD70" s="384"/>
      <c r="BE70" s="384"/>
      <c r="BF70" s="383">
        <f>COUNTIF(BF9:BF56,0)</f>
        <v>0</v>
      </c>
      <c r="BG70" s="23"/>
      <c r="BH70" s="23"/>
      <c r="BI70" s="23"/>
      <c r="BJ70" s="23"/>
      <c r="BK70" s="23"/>
      <c r="BL70" s="23"/>
      <c r="BM70" s="29"/>
    </row>
    <row r="71" spans="1:65" ht="15.75">
      <c r="A71" s="128"/>
      <c r="B71" s="29"/>
      <c r="C71" s="29"/>
      <c r="D71" s="128"/>
      <c r="E71" s="128"/>
      <c r="F71" s="128"/>
      <c r="G71" s="128"/>
      <c r="H71" s="23"/>
      <c r="I71" s="25"/>
      <c r="J71" s="128"/>
      <c r="K71" s="128"/>
      <c r="L71" s="128"/>
      <c r="P71" s="23"/>
      <c r="Q71" s="128"/>
      <c r="R71" s="29"/>
      <c r="S71" s="29"/>
      <c r="T71" s="29"/>
      <c r="U71" s="29"/>
      <c r="V71" s="23"/>
      <c r="W71" s="23"/>
      <c r="X71" s="23"/>
      <c r="Y71" s="447"/>
      <c r="Z71" s="14" t="str">
        <f>+O25</f>
        <v>A16</v>
      </c>
      <c r="AA71" s="35">
        <v>12</v>
      </c>
      <c r="AB71" s="30">
        <f>IF(AA67+AA71=0,0,IF(AA67=AA71,2,IF(AA67&lt;AA71,3,1)))</f>
        <v>3</v>
      </c>
      <c r="AC71" s="15">
        <f>AA71-AA67</f>
        <v>4</v>
      </c>
      <c r="AD71" s="9"/>
      <c r="AE71" s="14" t="str">
        <f>+R25</f>
        <v>A17</v>
      </c>
      <c r="AF71" s="127">
        <v>9</v>
      </c>
      <c r="AG71" s="30">
        <f>IF(AF67+AF71=0,0,IF(AF67=AF71,2,IF(AF67&lt;AF71,3,1)))</f>
        <v>1</v>
      </c>
      <c r="AH71" s="15">
        <f>AF71-AF67</f>
        <v>-1</v>
      </c>
      <c r="AI71" s="9"/>
      <c r="AJ71" s="14" t="str">
        <f>+U25</f>
        <v>A18</v>
      </c>
      <c r="AK71" s="37">
        <v>1</v>
      </c>
      <c r="AL71" s="30">
        <f>IF(AK67+AK71=0,0,IF(AK67=AK71,2,IF(AK67&lt;AK71,3,1)))</f>
        <v>1</v>
      </c>
      <c r="AM71" s="15">
        <f>AK71-AK67</f>
        <v>-12</v>
      </c>
      <c r="AN71" s="23"/>
      <c r="AO71" s="23"/>
      <c r="AP71" s="386" t="s">
        <v>46</v>
      </c>
      <c r="AQ71" s="383">
        <f>COUNTIF(AQ9:AQ56,0)</f>
        <v>0</v>
      </c>
      <c r="AR71" s="384"/>
      <c r="AS71" s="384"/>
      <c r="AT71" s="383">
        <f>COUNTIF(AT9:AT56,0)</f>
        <v>0</v>
      </c>
      <c r="AU71" s="384"/>
      <c r="AV71" s="384"/>
      <c r="AW71" s="383">
        <f>COUNTIF(AW9:AW56,0)</f>
        <v>0</v>
      </c>
      <c r="AX71" s="384"/>
      <c r="AY71" s="384"/>
      <c r="AZ71" s="383">
        <f>COUNTIF(AZ10:AZ63,9)</f>
        <v>5</v>
      </c>
      <c r="BA71" s="385"/>
      <c r="BB71" s="385"/>
      <c r="BC71" s="383">
        <f>COUNTIF(BC9:BC63,#N/A)</f>
        <v>0</v>
      </c>
      <c r="BD71" s="384"/>
      <c r="BE71" s="384"/>
      <c r="BF71" s="383">
        <f>COUNTIF(BF9:BF63,#N/A)</f>
        <v>0</v>
      </c>
      <c r="BG71" s="23"/>
      <c r="BH71" s="23"/>
      <c r="BI71" s="23"/>
      <c r="BJ71" s="23"/>
      <c r="BK71" s="23"/>
      <c r="BL71" s="23"/>
      <c r="BM71" s="29"/>
    </row>
    <row r="72" spans="1:65" ht="16.5" thickBot="1">
      <c r="A72" s="128"/>
      <c r="B72" s="29"/>
      <c r="C72" s="29"/>
      <c r="D72" s="128"/>
      <c r="E72" s="128"/>
      <c r="F72" s="128"/>
      <c r="G72" s="128"/>
      <c r="H72" s="23"/>
      <c r="I72" s="25"/>
      <c r="J72" s="128"/>
      <c r="K72" s="128"/>
      <c r="L72" s="128"/>
      <c r="P72" s="23"/>
      <c r="Q72" s="128"/>
      <c r="R72" s="29"/>
      <c r="S72" s="29"/>
      <c r="T72" s="29"/>
      <c r="U72" s="29"/>
      <c r="V72" s="23"/>
      <c r="W72" s="23"/>
      <c r="X72" s="23"/>
      <c r="Y72" s="447"/>
      <c r="Z72" s="14" t="str">
        <f>+P25</f>
        <v>B16</v>
      </c>
      <c r="AA72" s="17">
        <f>IF(ISTEXT(Z72),AA71,0)</f>
        <v>12</v>
      </c>
      <c r="AB72" s="18">
        <f>IF(ISTEXT(Z72),AB71,0)</f>
        <v>3</v>
      </c>
      <c r="AC72" s="19">
        <f>IF(ISTEXT(Z72),AC71,0)</f>
        <v>4</v>
      </c>
      <c r="AD72" s="9"/>
      <c r="AE72" s="14" t="str">
        <f>+S25</f>
        <v>B18</v>
      </c>
      <c r="AF72" s="17">
        <f>IF(ISTEXT(AE72),AF71,0)</f>
        <v>9</v>
      </c>
      <c r="AG72" s="18">
        <f>IF(ISTEXT(AE72),AG71,0)</f>
        <v>1</v>
      </c>
      <c r="AH72" s="19">
        <f>IF(ISTEXT(AE72),AH71,0)</f>
        <v>-1</v>
      </c>
      <c r="AI72" s="9"/>
      <c r="AJ72" s="14" t="str">
        <f>+V25</f>
        <v>B2</v>
      </c>
      <c r="AK72" s="17">
        <f>IF(ISTEXT(AJ72),AK71,0)</f>
        <v>1</v>
      </c>
      <c r="AL72" s="18">
        <f>IF(ISTEXT(AJ72),AL71,0)</f>
        <v>1</v>
      </c>
      <c r="AM72" s="19">
        <f>IF(ISTEXT(AJ72),AM71,0)</f>
        <v>-12</v>
      </c>
      <c r="AN72" s="23"/>
      <c r="AO72" s="23"/>
      <c r="AP72" s="386" t="e">
        <v>#N/A</v>
      </c>
      <c r="AQ72" s="383">
        <f>COUNTIF(AQ9:AQ63,#N/A)</f>
        <v>0</v>
      </c>
      <c r="AR72" s="384"/>
      <c r="AS72" s="384"/>
      <c r="AT72" s="383">
        <f>COUNTIF(AT9:AT63,#N/A)</f>
        <v>0</v>
      </c>
      <c r="AU72" s="384"/>
      <c r="AV72" s="384"/>
      <c r="AW72" s="383">
        <f>COUNTIF(AW9:AW63,#N/A)</f>
        <v>0</v>
      </c>
      <c r="AX72" s="384"/>
      <c r="AY72" s="384"/>
      <c r="AZ72" s="383">
        <f>COUNTIF(AZ9:AZ62,#N/A)</f>
        <v>0</v>
      </c>
      <c r="BA72" s="385"/>
      <c r="BB72" s="385"/>
      <c r="BC72" s="383">
        <f>SUM(BC67:BC71)</f>
        <v>27</v>
      </c>
      <c r="BD72" s="383"/>
      <c r="BE72" s="383"/>
      <c r="BF72" s="383">
        <f>SUM(BF67:BF71)</f>
        <v>0</v>
      </c>
      <c r="BG72" s="23"/>
      <c r="BH72" s="23"/>
      <c r="BI72" s="23"/>
      <c r="BJ72" s="23"/>
      <c r="BK72" s="23"/>
      <c r="BL72" s="23"/>
      <c r="BM72" s="29"/>
    </row>
    <row r="73" spans="1:65" ht="16.5" thickBot="1">
      <c r="A73" s="128"/>
      <c r="B73" s="29"/>
      <c r="C73" s="29"/>
      <c r="D73" s="128"/>
      <c r="E73" s="128"/>
      <c r="F73" s="128"/>
      <c r="G73" s="128"/>
      <c r="H73" s="23"/>
      <c r="I73" s="25"/>
      <c r="J73" s="128"/>
      <c r="K73" s="128"/>
      <c r="L73" s="128"/>
      <c r="P73" s="23"/>
      <c r="Q73" s="128"/>
      <c r="R73" s="29"/>
      <c r="S73" s="29"/>
      <c r="T73" s="29"/>
      <c r="U73" s="29"/>
      <c r="V73" s="23"/>
      <c r="W73" s="23"/>
      <c r="X73" s="23"/>
      <c r="Y73" s="448"/>
      <c r="Z73" s="16" t="str">
        <f>+Q25</f>
        <v>C16</v>
      </c>
      <c r="AA73" s="17">
        <f>IF(ISTEXT(Z73),AA71,0)</f>
        <v>12</v>
      </c>
      <c r="AB73" s="18">
        <f>IF(ISTEXT(Z73),AB71,0)</f>
        <v>3</v>
      </c>
      <c r="AC73" s="19">
        <f>IF(ISTEXT(Z73),AC71,0)</f>
        <v>4</v>
      </c>
      <c r="AD73" s="9"/>
      <c r="AE73" s="16" t="str">
        <f>+T25</f>
        <v>C1</v>
      </c>
      <c r="AF73" s="17">
        <f>IF(ISTEXT(AE73),AF71,0)</f>
        <v>9</v>
      </c>
      <c r="AG73" s="18">
        <f>IF(ISTEXT(AE73),AG71,0)</f>
        <v>1</v>
      </c>
      <c r="AH73" s="19">
        <f>IF(ISTEXT(AE73),AH71,0)</f>
        <v>-1</v>
      </c>
      <c r="AI73" s="9"/>
      <c r="AJ73" s="16" t="str">
        <f>+W25</f>
        <v>C4</v>
      </c>
      <c r="AK73" s="17">
        <f>IF(ISTEXT(AJ73),AK71,0)</f>
        <v>1</v>
      </c>
      <c r="AL73" s="18">
        <f>IF(ISTEXT(AJ73),AL71,0)</f>
        <v>1</v>
      </c>
      <c r="AM73" s="19">
        <f>IF(ISTEXT(AJ73),AM71,0)</f>
        <v>-12</v>
      </c>
      <c r="AN73" s="23"/>
      <c r="AO73" s="23"/>
      <c r="AP73" s="386"/>
      <c r="AQ73" s="383">
        <f>SUM(AQ67:AQ72)</f>
        <v>48</v>
      </c>
      <c r="AR73" s="383"/>
      <c r="AS73" s="383"/>
      <c r="AT73" s="383">
        <f>SUM(AT67:AT72)</f>
        <v>48</v>
      </c>
      <c r="AU73" s="383"/>
      <c r="AV73" s="383"/>
      <c r="AW73" s="383">
        <f>SUM(AW67:AW72)</f>
        <v>48</v>
      </c>
      <c r="AX73" s="384"/>
      <c r="AY73" s="384"/>
      <c r="AZ73" s="383">
        <f>SUM(AZ67:AZ72)</f>
        <v>54</v>
      </c>
      <c r="BA73" s="384"/>
      <c r="BB73" s="384"/>
      <c r="BC73" s="384"/>
      <c r="BD73" s="384"/>
      <c r="BE73" s="384"/>
      <c r="BF73" s="384"/>
      <c r="BG73" s="23"/>
      <c r="BH73" s="23"/>
      <c r="BI73" s="23"/>
      <c r="BJ73" s="29"/>
      <c r="BK73" s="29"/>
      <c r="BL73" s="29"/>
      <c r="BM73" s="29"/>
    </row>
    <row r="74" spans="1:65" ht="16.5" thickBot="1">
      <c r="A74" s="128"/>
      <c r="B74" s="29"/>
      <c r="C74" s="29"/>
      <c r="D74" s="128"/>
      <c r="E74" s="128"/>
      <c r="F74" s="128"/>
      <c r="G74" s="128"/>
      <c r="H74" s="23"/>
      <c r="I74" s="25"/>
      <c r="J74" s="128"/>
      <c r="K74" s="128"/>
      <c r="L74" s="128"/>
      <c r="P74" s="23"/>
      <c r="Q74" s="128"/>
      <c r="R74" s="29"/>
      <c r="S74" s="29"/>
      <c r="T74" s="29"/>
      <c r="U74" s="29"/>
      <c r="V74" s="23"/>
      <c r="W74" s="23"/>
      <c r="X74" s="23"/>
      <c r="Y74" s="128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23"/>
      <c r="AO74" s="23"/>
      <c r="AP74" s="384"/>
      <c r="AQ74" s="384"/>
      <c r="AR74" s="384"/>
      <c r="AS74" s="384"/>
      <c r="AT74" s="384"/>
      <c r="AU74" s="384"/>
      <c r="AV74" s="384"/>
      <c r="AW74" s="384"/>
      <c r="AX74" s="384"/>
      <c r="AY74" s="384"/>
      <c r="AZ74" s="384"/>
      <c r="BA74" s="384"/>
      <c r="BB74" s="384"/>
      <c r="BC74" s="384"/>
      <c r="BD74" s="384"/>
      <c r="BE74" s="384"/>
      <c r="BF74" s="384"/>
      <c r="BG74" s="23"/>
      <c r="BH74" s="23"/>
      <c r="BI74" s="23"/>
      <c r="BJ74" s="29"/>
      <c r="BK74" s="29"/>
      <c r="BL74" s="29"/>
      <c r="BM74" s="29"/>
    </row>
    <row r="75" spans="1:65" ht="15.75">
      <c r="A75" s="128"/>
      <c r="B75" s="29"/>
      <c r="C75" s="29"/>
      <c r="D75" s="128"/>
      <c r="E75" s="128"/>
      <c r="F75" s="128"/>
      <c r="G75" s="128"/>
      <c r="H75" s="23"/>
      <c r="I75" s="25"/>
      <c r="J75" s="128"/>
      <c r="K75" s="128"/>
      <c r="L75" s="128"/>
      <c r="P75" s="23"/>
      <c r="Q75" s="128"/>
      <c r="R75" s="29"/>
      <c r="S75" s="29"/>
      <c r="T75" s="29"/>
      <c r="U75" s="29"/>
      <c r="V75" s="23"/>
      <c r="W75" s="23"/>
      <c r="X75" s="23"/>
      <c r="Y75" s="446">
        <v>9</v>
      </c>
      <c r="Z75" s="12" t="str">
        <f>+O26</f>
        <v>A17</v>
      </c>
      <c r="AA75" s="33">
        <v>11</v>
      </c>
      <c r="AB75" s="48">
        <f>IF(AA75+AA79=0,0,IF(AA75=AA79,2,IF(AA75&gt;AA79,3,1)))</f>
        <v>3</v>
      </c>
      <c r="AC75" s="13">
        <f>AA75-AA79</f>
        <v>6</v>
      </c>
      <c r="AD75" s="9"/>
      <c r="AE75" s="12" t="str">
        <f>+R26</f>
        <v>A18</v>
      </c>
      <c r="AF75" s="126">
        <v>5</v>
      </c>
      <c r="AG75" s="48">
        <f>IF(AF75+AF79=0,0,IF(AF75=AF79,2,IF(AF75&gt;AF79,3,1)))</f>
        <v>1</v>
      </c>
      <c r="AH75" s="13">
        <f>AF75-AF79</f>
        <v>-8</v>
      </c>
      <c r="AI75" s="9"/>
      <c r="AJ75" s="12" t="str">
        <f>+U26</f>
        <v>A1</v>
      </c>
      <c r="AK75" s="36">
        <v>13</v>
      </c>
      <c r="AL75" s="48">
        <f>IF(AK75+AK79=0,0,IF(AK75=AK79,2,IF(AK75&gt;AK79,3,1)))</f>
        <v>3</v>
      </c>
      <c r="AM75" s="13">
        <f>AK75-AK79</f>
        <v>5</v>
      </c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9"/>
      <c r="BK75" s="29"/>
      <c r="BL75" s="29"/>
      <c r="BM75" s="29"/>
    </row>
    <row r="76" spans="1:65" ht="16.5" thickBot="1">
      <c r="A76" s="128"/>
      <c r="B76" s="29"/>
      <c r="C76" s="29"/>
      <c r="D76" s="128"/>
      <c r="E76" s="128"/>
      <c r="F76" s="128"/>
      <c r="G76" s="128"/>
      <c r="H76" s="23"/>
      <c r="I76" s="25"/>
      <c r="J76" s="128"/>
      <c r="K76" s="128"/>
      <c r="L76" s="128"/>
      <c r="P76" s="23"/>
      <c r="Q76" s="128"/>
      <c r="R76" s="29"/>
      <c r="S76" s="29"/>
      <c r="T76" s="29"/>
      <c r="U76" s="29"/>
      <c r="V76" s="23"/>
      <c r="W76" s="23"/>
      <c r="X76" s="23"/>
      <c r="Y76" s="447"/>
      <c r="Z76" s="14" t="str">
        <f>+P26</f>
        <v>B17</v>
      </c>
      <c r="AA76" s="17">
        <f>IF(ISTEXT(Z76),AA75,0)</f>
        <v>11</v>
      </c>
      <c r="AB76" s="18">
        <f>IF(ISTEXT(Z76),AB75,0)</f>
        <v>3</v>
      </c>
      <c r="AC76" s="19">
        <f>IF(ISTEXT(Z76),AC75,0)</f>
        <v>6</v>
      </c>
      <c r="AD76" s="9"/>
      <c r="AE76" s="14" t="str">
        <f>+S26</f>
        <v>B1</v>
      </c>
      <c r="AF76" s="17">
        <f>IF(ISTEXT(AE76),AF75,0)</f>
        <v>5</v>
      </c>
      <c r="AG76" s="59">
        <f>IF(ISTEXT(AE76),AG75,0)</f>
        <v>1</v>
      </c>
      <c r="AH76" s="19">
        <f>IF(ISTEXT(AE76),AH75,0)</f>
        <v>-8</v>
      </c>
      <c r="AI76" s="9"/>
      <c r="AJ76" s="14" t="str">
        <f>+V26</f>
        <v>B3</v>
      </c>
      <c r="AK76" s="17">
        <f>IF(ISTEXT(AJ76),AK75,0)</f>
        <v>13</v>
      </c>
      <c r="AL76" s="59">
        <f>IF(ISTEXT(AJ76),AL75,0)</f>
        <v>3</v>
      </c>
      <c r="AM76" s="19">
        <f>IF(ISTEXT(AJ76),AM75,0)</f>
        <v>5</v>
      </c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9"/>
      <c r="BK76" s="29"/>
      <c r="BL76" s="29"/>
      <c r="BM76" s="29"/>
    </row>
    <row r="77" spans="1:65" ht="15.75">
      <c r="A77" s="128"/>
      <c r="B77" s="29"/>
      <c r="C77" s="29"/>
      <c r="D77" s="128"/>
      <c r="E77" s="128"/>
      <c r="F77" s="128"/>
      <c r="G77" s="128"/>
      <c r="H77" s="23"/>
      <c r="I77" s="25"/>
      <c r="J77" s="128"/>
      <c r="K77" s="128"/>
      <c r="L77" s="128"/>
      <c r="P77" s="23"/>
      <c r="Q77" s="128"/>
      <c r="R77" s="29"/>
      <c r="S77" s="29"/>
      <c r="T77" s="29"/>
      <c r="U77" s="29"/>
      <c r="V77" s="23"/>
      <c r="W77" s="23"/>
      <c r="X77" s="23"/>
      <c r="Y77" s="447"/>
      <c r="Z77" s="14" t="str">
        <f>+Q26</f>
        <v>C17</v>
      </c>
      <c r="AA77" s="71">
        <f>IF(ISTEXT(Z77),AA75,0)</f>
        <v>11</v>
      </c>
      <c r="AB77" s="67">
        <f>IF(ISTEXT(Z77),AB75,0)</f>
        <v>3</v>
      </c>
      <c r="AC77" s="72">
        <f>IF(ISTEXT(Z77),AC75,0)</f>
        <v>6</v>
      </c>
      <c r="AD77" s="9"/>
      <c r="AE77" s="14" t="str">
        <f>+T26</f>
        <v>C2</v>
      </c>
      <c r="AF77" s="71">
        <f>IF(ISTEXT(AE77),AF75,0)</f>
        <v>5</v>
      </c>
      <c r="AG77" s="64">
        <f>IF(ISTEXT(AE77),AG75,0)</f>
        <v>1</v>
      </c>
      <c r="AH77" s="72">
        <f>IF(ISTEXT(AE77),AH75,0)</f>
        <v>-8</v>
      </c>
      <c r="AI77" s="9"/>
      <c r="AJ77" s="14" t="str">
        <f>+W26</f>
        <v>C5</v>
      </c>
      <c r="AK77" s="71">
        <f>IF(ISTEXT(AJ77),AK75,0)</f>
        <v>13</v>
      </c>
      <c r="AL77" s="64">
        <f>IF(ISTEXT(AJ77),AL75,0)</f>
        <v>3</v>
      </c>
      <c r="AM77" s="72">
        <f>IF(ISTEXT(AJ77),AM75,0)</f>
        <v>5</v>
      </c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9"/>
      <c r="BK77" s="29"/>
      <c r="BL77" s="29"/>
      <c r="BM77" s="29"/>
    </row>
    <row r="78" spans="1:65" ht="15.75">
      <c r="A78" s="128"/>
      <c r="B78" s="29"/>
      <c r="C78" s="29"/>
      <c r="D78" s="128"/>
      <c r="E78" s="128"/>
      <c r="F78" s="128"/>
      <c r="G78" s="128"/>
      <c r="H78" s="23"/>
      <c r="I78" s="25"/>
      <c r="J78" s="128"/>
      <c r="K78" s="128"/>
      <c r="L78" s="128"/>
      <c r="P78" s="23"/>
      <c r="Q78" s="128"/>
      <c r="R78" s="29"/>
      <c r="S78" s="29"/>
      <c r="T78" s="29"/>
      <c r="U78" s="29"/>
      <c r="V78" s="23"/>
      <c r="W78" s="23"/>
      <c r="X78" s="23"/>
      <c r="Y78" s="447"/>
      <c r="Z78" s="32"/>
      <c r="AA78" s="21" t="s">
        <v>5</v>
      </c>
      <c r="AB78" s="21"/>
      <c r="AC78" s="22"/>
      <c r="AD78" s="1"/>
      <c r="AE78" s="32"/>
      <c r="AF78" s="21" t="s">
        <v>5</v>
      </c>
      <c r="AG78" s="21"/>
      <c r="AH78" s="22"/>
      <c r="AI78" s="1"/>
      <c r="AJ78" s="32"/>
      <c r="AK78" s="21" t="s">
        <v>5</v>
      </c>
      <c r="AL78" s="21"/>
      <c r="AM78" s="22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9"/>
      <c r="BK78" s="29"/>
      <c r="BL78" s="29"/>
      <c r="BM78" s="29"/>
    </row>
    <row r="79" spans="1:65" ht="15.75">
      <c r="A79" s="128"/>
      <c r="B79" s="29"/>
      <c r="C79" s="29"/>
      <c r="D79" s="128"/>
      <c r="E79" s="128"/>
      <c r="F79" s="128"/>
      <c r="G79" s="128"/>
      <c r="H79" s="23"/>
      <c r="I79" s="25"/>
      <c r="J79" s="128"/>
      <c r="K79" s="128"/>
      <c r="L79" s="128"/>
      <c r="P79" s="23"/>
      <c r="Q79" s="128"/>
      <c r="R79" s="29"/>
      <c r="S79" s="29"/>
      <c r="T79" s="29"/>
      <c r="U79" s="29"/>
      <c r="V79" s="23"/>
      <c r="W79" s="23"/>
      <c r="X79" s="23"/>
      <c r="Y79" s="447"/>
      <c r="Z79" s="14" t="str">
        <f>+O27</f>
        <v>A18</v>
      </c>
      <c r="AA79" s="35">
        <v>5</v>
      </c>
      <c r="AB79" s="30">
        <f>IF(AA75+AA79=0,0,IF(AA75=AA79,2,IF(AA75&lt;AA79,3,1)))</f>
        <v>1</v>
      </c>
      <c r="AC79" s="15">
        <f>AA79-AA75</f>
        <v>-6</v>
      </c>
      <c r="AD79" s="9"/>
      <c r="AE79" s="14" t="str">
        <f>+R27</f>
        <v>A1</v>
      </c>
      <c r="AF79" s="127">
        <v>13</v>
      </c>
      <c r="AG79" s="30">
        <f>IF(AF75+AF79=0,0,IF(AF75=AF79,2,IF(AF75&lt;AF79,3,1)))</f>
        <v>3</v>
      </c>
      <c r="AH79" s="15">
        <f>AF79-AF75</f>
        <v>8</v>
      </c>
      <c r="AI79" s="9"/>
      <c r="AJ79" s="14" t="str">
        <f>+U27</f>
        <v>A2</v>
      </c>
      <c r="AK79" s="37">
        <v>8</v>
      </c>
      <c r="AL79" s="30">
        <f>IF(AK75+AK79=0,0,IF(AK75=AK79,2,IF(AK75&lt;AK79,3,1)))</f>
        <v>1</v>
      </c>
      <c r="AM79" s="15">
        <f>AK79-AK75</f>
        <v>-5</v>
      </c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9"/>
      <c r="BK79" s="29"/>
      <c r="BL79" s="29"/>
      <c r="BM79" s="29"/>
    </row>
    <row r="80" spans="1:65" ht="16.5" thickBot="1">
      <c r="A80" s="128"/>
      <c r="B80" s="29"/>
      <c r="C80" s="29"/>
      <c r="D80" s="128"/>
      <c r="E80" s="128"/>
      <c r="F80" s="128"/>
      <c r="G80" s="128"/>
      <c r="H80" s="23"/>
      <c r="I80" s="25"/>
      <c r="J80" s="128"/>
      <c r="K80" s="128"/>
      <c r="L80" s="128"/>
      <c r="P80" s="23"/>
      <c r="Q80" s="128"/>
      <c r="R80" s="29"/>
      <c r="S80" s="29"/>
      <c r="T80" s="29"/>
      <c r="U80" s="29"/>
      <c r="V80" s="23"/>
      <c r="W80" s="23"/>
      <c r="X80" s="23"/>
      <c r="Y80" s="447"/>
      <c r="Z80" s="14" t="str">
        <f>+P27</f>
        <v>B18</v>
      </c>
      <c r="AA80" s="17">
        <f>IF(ISTEXT(Z80),AA79,0)</f>
        <v>5</v>
      </c>
      <c r="AB80" s="18">
        <f>IF(ISTEXT(Z80),AB79,0)</f>
        <v>1</v>
      </c>
      <c r="AC80" s="19">
        <f>IF(ISTEXT(Z80),AC79,0)</f>
        <v>-6</v>
      </c>
      <c r="AD80" s="9"/>
      <c r="AE80" s="14" t="str">
        <f>+S27</f>
        <v>B2</v>
      </c>
      <c r="AF80" s="17">
        <f>IF(ISTEXT(AE80),AF79,0)</f>
        <v>13</v>
      </c>
      <c r="AG80" s="18">
        <f>IF(ISTEXT(AE80),AG79,0)</f>
        <v>3</v>
      </c>
      <c r="AH80" s="19">
        <f>IF(ISTEXT(AE80),AH79,0)</f>
        <v>8</v>
      </c>
      <c r="AI80" s="9"/>
      <c r="AJ80" s="14" t="str">
        <f>+V27</f>
        <v>B4</v>
      </c>
      <c r="AK80" s="17">
        <f>IF(ISTEXT(AJ80),AK79,0)</f>
        <v>8</v>
      </c>
      <c r="AL80" s="18">
        <f>IF(ISTEXT(AJ80),AL79,0)</f>
        <v>1</v>
      </c>
      <c r="AM80" s="19">
        <f>IF(ISTEXT(AJ80),AM79,0)</f>
        <v>-5</v>
      </c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9"/>
      <c r="BK80" s="29"/>
      <c r="BL80" s="29"/>
      <c r="BM80" s="29"/>
    </row>
    <row r="81" spans="1:65" ht="16.5" thickBot="1">
      <c r="A81" s="128"/>
      <c r="B81" s="29"/>
      <c r="C81" s="29"/>
      <c r="D81" s="128"/>
      <c r="E81" s="128"/>
      <c r="F81" s="128"/>
      <c r="G81" s="128"/>
      <c r="H81" s="23"/>
      <c r="I81" s="25"/>
      <c r="J81" s="128"/>
      <c r="K81" s="128"/>
      <c r="L81" s="128"/>
      <c r="P81" s="23"/>
      <c r="Q81" s="128"/>
      <c r="R81" s="29"/>
      <c r="S81" s="29"/>
      <c r="T81" s="29"/>
      <c r="U81" s="29"/>
      <c r="V81" s="23"/>
      <c r="W81" s="23"/>
      <c r="X81" s="23"/>
      <c r="Y81" s="448"/>
      <c r="Z81" s="16" t="str">
        <f>+Q27</f>
        <v>C18</v>
      </c>
      <c r="AA81" s="17">
        <f>IF(ISTEXT(Z81),AA79,0)</f>
        <v>5</v>
      </c>
      <c r="AB81" s="18">
        <f>IF(ISTEXT(Z81),AB79,0)</f>
        <v>1</v>
      </c>
      <c r="AC81" s="19">
        <f>IF(ISTEXT(Z81),AC79,0)</f>
        <v>-6</v>
      </c>
      <c r="AD81" s="9"/>
      <c r="AE81" s="16" t="str">
        <f>+T27</f>
        <v>C3</v>
      </c>
      <c r="AF81" s="17">
        <f>IF(ISTEXT(AE81),AF79,0)</f>
        <v>13</v>
      </c>
      <c r="AG81" s="18">
        <f>IF(ISTEXT(AE81),AG79,0)</f>
        <v>3</v>
      </c>
      <c r="AH81" s="19">
        <f>IF(ISTEXT(AE81),AH79,0)</f>
        <v>8</v>
      </c>
      <c r="AI81" s="9"/>
      <c r="AJ81" s="16" t="str">
        <f>+W27</f>
        <v>C6</v>
      </c>
      <c r="AK81" s="17">
        <f>IF(ISTEXT(AJ81),AK79,0)</f>
        <v>8</v>
      </c>
      <c r="AL81" s="18">
        <f>IF(ISTEXT(AJ81),AL79,0)</f>
        <v>1</v>
      </c>
      <c r="AM81" s="19">
        <f>IF(ISTEXT(AJ81),AM79,0)</f>
        <v>-5</v>
      </c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9"/>
      <c r="BK81" s="29"/>
      <c r="BL81" s="29"/>
      <c r="BM81" s="29"/>
    </row>
    <row r="82" spans="1:65" ht="15.75">
      <c r="A82" s="128"/>
      <c r="B82" s="29"/>
      <c r="C82" s="29"/>
      <c r="D82" s="128"/>
      <c r="E82" s="128"/>
      <c r="F82" s="128"/>
      <c r="G82" s="128"/>
      <c r="H82" s="23"/>
      <c r="I82" s="25"/>
      <c r="J82" s="128"/>
      <c r="K82" s="128"/>
      <c r="L82" s="128"/>
      <c r="P82" s="23"/>
      <c r="Q82" s="128"/>
      <c r="R82" s="29"/>
      <c r="S82" s="29"/>
      <c r="T82" s="29"/>
      <c r="U82" s="29"/>
      <c r="V82" s="23"/>
      <c r="W82" s="23"/>
      <c r="X82" s="23"/>
      <c r="Y82" s="128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</row>
    <row r="83" spans="1:65" ht="15.75">
      <c r="A83" s="128"/>
      <c r="B83" s="29"/>
      <c r="C83" s="29"/>
      <c r="D83" s="128"/>
      <c r="E83" s="128"/>
      <c r="F83" s="128"/>
      <c r="G83" s="128"/>
      <c r="H83" s="23"/>
      <c r="I83" s="25"/>
      <c r="J83" s="128"/>
      <c r="K83" s="128"/>
      <c r="L83" s="128"/>
      <c r="P83" s="23"/>
      <c r="Q83" s="128"/>
      <c r="R83" s="29"/>
      <c r="S83" s="29"/>
      <c r="T83" s="29"/>
      <c r="U83" s="29"/>
      <c r="V83" s="23"/>
      <c r="W83" s="23"/>
      <c r="X83" s="23"/>
      <c r="Y83" s="128"/>
      <c r="Z83" s="8"/>
      <c r="AA83" s="8"/>
      <c r="AB83" s="79">
        <f t="array" ref="AB83">SUM(AB11:AB81)</f>
        <v>108</v>
      </c>
      <c r="AC83" s="79">
        <f t="array" ref="AC83">SUM(AC11:AC81)</f>
        <v>0</v>
      </c>
      <c r="AD83" s="23"/>
      <c r="AE83" s="23"/>
      <c r="AF83" s="23"/>
      <c r="AG83" s="79">
        <f t="array" ref="AG83">SUM(AG11:AG81)</f>
        <v>108</v>
      </c>
      <c r="AH83" s="79">
        <f t="array" ref="AH83">SUM(AH11:AH81)</f>
        <v>0</v>
      </c>
      <c r="AI83" s="23"/>
      <c r="AJ83" s="23"/>
      <c r="AK83" s="23"/>
      <c r="AL83" s="79">
        <f t="array" ref="AL83">SUM(AL11:AL81)</f>
        <v>108</v>
      </c>
      <c r="AM83" s="79">
        <f t="array" ref="AM83">SUM(AM11:AM81)</f>
        <v>0</v>
      </c>
      <c r="AN83" s="23"/>
      <c r="AO83" s="23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</row>
    <row r="84" spans="1:65" ht="15.75">
      <c r="A84" s="128"/>
      <c r="B84" s="29"/>
      <c r="C84" s="29"/>
      <c r="D84" s="128"/>
      <c r="E84" s="128"/>
      <c r="F84" s="128"/>
      <c r="G84" s="128"/>
      <c r="H84" s="23"/>
      <c r="I84" s="25"/>
      <c r="J84" s="128"/>
      <c r="K84" s="128"/>
      <c r="L84" s="128"/>
      <c r="P84" s="23"/>
      <c r="Q84" s="128"/>
      <c r="R84" s="29"/>
      <c r="S84" s="29"/>
      <c r="T84" s="29"/>
      <c r="U84" s="29"/>
      <c r="V84" s="23"/>
      <c r="W84" s="23"/>
      <c r="X84" s="23"/>
      <c r="Y84" s="128"/>
      <c r="Z84" s="8"/>
      <c r="AA84" s="8"/>
      <c r="AB84" s="8"/>
      <c r="AC84" s="79" t="str">
        <f>IF(AC83=0,"OK","ERREUR")</f>
        <v>OK</v>
      </c>
      <c r="AD84" s="23"/>
      <c r="AE84" s="23"/>
      <c r="AF84" s="23"/>
      <c r="AG84" s="8"/>
      <c r="AH84" s="79" t="str">
        <f>IF(AH83=0,"OK","ERREUR")</f>
        <v>OK</v>
      </c>
      <c r="AI84" s="23"/>
      <c r="AJ84" s="23"/>
      <c r="AK84" s="23"/>
      <c r="AL84" s="8"/>
      <c r="AM84" s="79" t="str">
        <f>IF(AM83=0,"OK","ERREUR")</f>
        <v>OK</v>
      </c>
      <c r="AN84" s="23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</row>
    <row r="85" spans="1:65" ht="15.75">
      <c r="A85" s="128"/>
      <c r="B85" s="29"/>
      <c r="C85" s="29"/>
      <c r="D85" s="128"/>
      <c r="E85" s="128"/>
      <c r="F85" s="128"/>
      <c r="G85" s="128"/>
      <c r="H85" s="23"/>
      <c r="I85" s="25"/>
      <c r="J85" s="128"/>
      <c r="K85" s="128"/>
      <c r="L85" s="128"/>
      <c r="P85" s="23"/>
      <c r="Q85" s="128"/>
      <c r="R85" s="29"/>
      <c r="S85" s="29"/>
      <c r="T85" s="29"/>
      <c r="U85" s="29"/>
      <c r="V85" s="23"/>
      <c r="W85" s="23"/>
      <c r="X85" s="23"/>
      <c r="Y85" s="12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</row>
    <row r="86" spans="1:65" ht="15.75">
      <c r="A86" s="128"/>
      <c r="B86" s="29"/>
      <c r="C86" s="29"/>
      <c r="D86" s="128"/>
      <c r="E86" s="128"/>
      <c r="F86" s="128"/>
      <c r="G86" s="128"/>
      <c r="H86" s="23"/>
      <c r="I86" s="25"/>
      <c r="J86" s="128"/>
      <c r="K86" s="128"/>
      <c r="L86" s="128"/>
      <c r="P86" s="23"/>
      <c r="Q86" s="128"/>
      <c r="R86" s="29"/>
      <c r="S86" s="29"/>
      <c r="T86" s="29"/>
      <c r="U86" s="29"/>
      <c r="V86" s="23"/>
      <c r="W86" s="23"/>
      <c r="X86" s="23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</row>
    <row r="87" spans="1:65" ht="15.75">
      <c r="A87" s="128"/>
      <c r="B87" s="29"/>
      <c r="C87" s="29"/>
      <c r="D87" s="128"/>
      <c r="E87" s="128"/>
      <c r="F87" s="128"/>
      <c r="G87" s="128"/>
      <c r="H87" s="23"/>
      <c r="I87" s="25"/>
      <c r="J87" s="128"/>
      <c r="K87" s="128"/>
      <c r="L87" s="128"/>
      <c r="P87" s="23"/>
      <c r="Q87" s="128"/>
      <c r="R87" s="29"/>
      <c r="S87" s="29"/>
      <c r="T87" s="29"/>
      <c r="U87" s="29"/>
      <c r="V87" s="23"/>
      <c r="W87" s="23"/>
      <c r="X87" s="23"/>
      <c r="AN87" s="29"/>
      <c r="AO87" s="29"/>
      <c r="BM87" s="29"/>
    </row>
    <row r="88" spans="1:65" ht="15.75">
      <c r="A88" s="128"/>
      <c r="B88" s="29"/>
      <c r="C88" s="29"/>
      <c r="D88" s="128"/>
      <c r="E88" s="128"/>
      <c r="F88" s="128"/>
      <c r="G88" s="128"/>
      <c r="H88" s="23"/>
      <c r="I88" s="25"/>
      <c r="J88" s="128"/>
      <c r="K88" s="128"/>
      <c r="L88" s="128"/>
      <c r="P88" s="23"/>
      <c r="Q88" s="128"/>
      <c r="R88" s="29"/>
      <c r="S88" s="29"/>
      <c r="T88" s="29"/>
      <c r="U88" s="29"/>
      <c r="V88" s="23"/>
      <c r="W88" s="23"/>
      <c r="X88" s="23"/>
      <c r="AN88" s="29"/>
      <c r="AO88" s="29"/>
      <c r="BM88" s="29"/>
    </row>
    <row r="89" spans="1:65" ht="15.75">
      <c r="A89" s="128"/>
      <c r="B89" s="29"/>
      <c r="C89" s="29"/>
      <c r="D89" s="128"/>
      <c r="E89" s="128"/>
      <c r="F89" s="128"/>
      <c r="G89" s="128"/>
      <c r="H89" s="23"/>
      <c r="I89" s="25"/>
      <c r="J89" s="128"/>
      <c r="K89" s="128"/>
      <c r="L89" s="128"/>
      <c r="P89" s="23"/>
      <c r="Q89" s="128"/>
      <c r="R89" s="29"/>
      <c r="S89" s="29"/>
      <c r="T89" s="29"/>
      <c r="U89" s="29"/>
      <c r="V89" s="23"/>
      <c r="W89" s="23"/>
      <c r="X89" s="23"/>
      <c r="AN89" s="29"/>
      <c r="BM89" s="29"/>
    </row>
  </sheetData>
  <sheetProtection sheet="1" objects="1" scenarios="1" formatCells="0" formatColumns="0" formatRows="0" insertColumns="0" insertRows="0" insertHyperlinks="0" deleteColumns="0" deleteRows="0" sort="0"/>
  <sortState ref="BD9:BD59">
    <sortCondition descending="1" ref="BD8"/>
  </sortState>
  <mergeCells count="34">
    <mergeCell ref="N1:P1"/>
    <mergeCell ref="B5:D5"/>
    <mergeCell ref="Y59:Y65"/>
    <mergeCell ref="Y67:Y73"/>
    <mergeCell ref="Y75:Y81"/>
    <mergeCell ref="O8:W8"/>
    <mergeCell ref="Y11:Y17"/>
    <mergeCell ref="Y19:Y25"/>
    <mergeCell ref="Y27:Y33"/>
    <mergeCell ref="Y35:Y41"/>
    <mergeCell ref="Y43:Y49"/>
    <mergeCell ref="R9:T9"/>
    <mergeCell ref="U9:W9"/>
    <mergeCell ref="Y51:Y57"/>
    <mergeCell ref="O9:Q9"/>
    <mergeCell ref="Q3:S3"/>
    <mergeCell ref="Q5:Q6"/>
    <mergeCell ref="S5:S6"/>
    <mergeCell ref="T5:T6"/>
    <mergeCell ref="B1:D1"/>
    <mergeCell ref="B9:C9"/>
    <mergeCell ref="D9:E9"/>
    <mergeCell ref="F9:G9"/>
    <mergeCell ref="J9:L9"/>
    <mergeCell ref="D7:E7"/>
    <mergeCell ref="D8:E8"/>
    <mergeCell ref="AZ7:BB7"/>
    <mergeCell ref="BH7:BL7"/>
    <mergeCell ref="Z7:AC7"/>
    <mergeCell ref="AE7:AH7"/>
    <mergeCell ref="AJ7:AM7"/>
    <mergeCell ref="AQ7:AS7"/>
    <mergeCell ref="AT7:AV7"/>
    <mergeCell ref="AW7:AY7"/>
  </mergeCells>
  <conditionalFormatting sqref="BA63:BB63 BJ63">
    <cfRule type="colorScale" priority="55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BA64:BB64 AX64:AY64 AU64:AV64 AR64:AS64 BJ64">
    <cfRule type="containsText" dxfId="25" priority="53" stopIfTrue="1" operator="containsText" text="ERREUR">
      <formula>NOT(ISERROR(SEARCH("ERREUR",AR64)))</formula>
    </cfRule>
    <cfRule type="containsText" dxfId="24" priority="54" operator="containsText" text="OK">
      <formula>NOT(ISERROR(SEARCH("OK",AR64)))</formula>
    </cfRule>
  </conditionalFormatting>
  <conditionalFormatting sqref="AH84 AM84 AC84">
    <cfRule type="colorScale" priority="48">
      <colorScale>
        <cfvo type="num" val="-1"/>
        <cfvo type="percentile" val="0"/>
        <cfvo type="num" val="1"/>
        <color rgb="FFE20000"/>
        <color rgb="FF00FF00"/>
        <color rgb="FFFF0000"/>
      </colorScale>
    </cfRule>
  </conditionalFormatting>
  <conditionalFormatting sqref="AH83 AM83 AC83">
    <cfRule type="colorScale" priority="47">
      <colorScale>
        <cfvo type="num" val="-10"/>
        <cfvo type="percentile" val="0"/>
        <cfvo type="num" val="10"/>
        <color rgb="FFFF66FF"/>
        <color rgb="FF00FF00"/>
        <color rgb="FFFF00FF"/>
      </colorScale>
    </cfRule>
  </conditionalFormatting>
  <conditionalFormatting sqref="AM84">
    <cfRule type="containsText" dxfId="23" priority="45" operator="containsText" text="ERREUR">
      <formula>NOT(ISERROR(SEARCH("ERREUR",AM84)))</formula>
    </cfRule>
    <cfRule type="containsText" dxfId="22" priority="46" operator="containsText" text="OK">
      <formula>NOT(ISERROR(SEARCH("OK",AM84)))</formula>
    </cfRule>
  </conditionalFormatting>
  <conditionalFormatting sqref="AH84 AC84">
    <cfRule type="containsText" dxfId="21" priority="44" operator="containsText" text="OK">
      <formula>NOT(ISERROR(SEARCH("OK",AC84)))</formula>
    </cfRule>
  </conditionalFormatting>
  <conditionalFormatting sqref="C10:C27 G10:G27 E10:E27">
    <cfRule type="cellIs" dxfId="20" priority="43" operator="equal">
      <formula>0</formula>
    </cfRule>
  </conditionalFormatting>
  <conditionalFormatting sqref="O10:W27">
    <cfRule type="cellIs" dxfId="19" priority="40" operator="equal">
      <formula>0</formula>
    </cfRule>
  </conditionalFormatting>
  <conditionalFormatting sqref="AH83">
    <cfRule type="colorScale" priority="39">
      <colorScale>
        <cfvo type="num" val="-1"/>
        <cfvo type="percentile" val="0"/>
        <cfvo type="num" val="1"/>
        <color rgb="FFFFC000"/>
        <color rgb="FF66FF33"/>
        <color rgb="FFFFC000"/>
      </colorScale>
    </cfRule>
  </conditionalFormatting>
  <conditionalFormatting sqref="AM84 AH84 AC84 BA64 AX64 AU64 AR64 BJ64">
    <cfRule type="containsText" dxfId="18" priority="37" operator="containsText" text="ERREUR">
      <formula>NOT(ISERROR(SEARCH("ERREUR",AC64)))</formula>
    </cfRule>
    <cfRule type="containsText" dxfId="17" priority="38" operator="containsText" text="OK">
      <formula>NOT(ISERROR(SEARCH("OK",AC64)))</formula>
    </cfRule>
  </conditionalFormatting>
  <conditionalFormatting sqref="AM83 BA63 AR63 AU63 AX63 BJ63">
    <cfRule type="colorScale" priority="31">
      <colorScale>
        <cfvo type="num" val="-1"/>
        <cfvo type="num" val="0"/>
        <cfvo type="num" val="1"/>
        <color rgb="FFFFC000"/>
        <color rgb="FF66FF33"/>
        <color rgb="FFFFC000"/>
      </colorScale>
    </cfRule>
  </conditionalFormatting>
  <conditionalFormatting sqref="AC83">
    <cfRule type="colorScale" priority="29">
      <colorScale>
        <cfvo type="num" val="-1"/>
        <cfvo type="num" val="0"/>
        <cfvo type="num" val="1"/>
        <color rgb="FFFFC000"/>
        <color rgb="FF66FF33"/>
        <color rgb="FFFFC000"/>
      </colorScale>
    </cfRule>
    <cfRule type="colorScale" priority="30">
      <colorScale>
        <cfvo type="num" val="-1"/>
        <cfvo type="num" val="0"/>
        <cfvo type="num" val="1"/>
        <color rgb="FFFFC000"/>
        <color rgb="FFFFC000"/>
        <color rgb="FFFFC000"/>
      </colorScale>
    </cfRule>
  </conditionalFormatting>
  <conditionalFormatting sqref="BL9:BL62">
    <cfRule type="duplicateValues" dxfId="16" priority="106"/>
  </conditionalFormatting>
  <conditionalFormatting sqref="BL55:BL62">
    <cfRule type="duplicateValues" dxfId="15" priority="8"/>
  </conditionalFormatting>
  <conditionalFormatting sqref="BL62">
    <cfRule type="duplicateValues" dxfId="14" priority="4"/>
  </conditionalFormatting>
  <conditionalFormatting sqref="J10:L27">
    <cfRule type="containsBlanks" dxfId="13" priority="1">
      <formula>LEN(TRIM(J10))=0</formula>
    </cfRule>
    <cfRule type="duplicateValues" dxfId="12" priority="2"/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FFFF"/>
  </sheetPr>
  <dimension ref="A1:AF69"/>
  <sheetViews>
    <sheetView workbookViewId="0"/>
  </sheetViews>
  <sheetFormatPr baseColWidth="10" defaultRowHeight="15.75"/>
  <cols>
    <col min="1" max="1" width="6.140625" style="23" customWidth="1"/>
    <col min="2" max="2" width="25.5703125" style="23" customWidth="1"/>
    <col min="3" max="3" width="8.42578125" style="23" customWidth="1"/>
    <col min="4" max="5" width="7.28515625" style="23" customWidth="1"/>
    <col min="6" max="6" width="6.85546875" style="23" customWidth="1"/>
    <col min="7" max="8" width="7.140625" style="23" customWidth="1"/>
    <col min="9" max="9" width="7.28515625" style="23" customWidth="1"/>
    <col min="10" max="11" width="6.5703125" style="23" customWidth="1"/>
    <col min="12" max="12" width="11" style="23" customWidth="1"/>
    <col min="13" max="13" width="11.28515625" style="23" customWidth="1"/>
    <col min="14" max="14" width="9.5703125" style="23" customWidth="1"/>
    <col min="15" max="15" width="11" style="23" hidden="1" customWidth="1"/>
    <col min="16" max="16" width="11.42578125" style="23" hidden="1" customWidth="1"/>
    <col min="17" max="17" width="30.7109375" style="23" customWidth="1"/>
    <col min="18" max="18" width="22.140625" style="23" customWidth="1"/>
    <col min="19" max="19" width="4.140625" style="84" customWidth="1"/>
    <col min="20" max="20" width="22.85546875" style="23" customWidth="1"/>
    <col min="21" max="21" width="8.28515625" style="23" customWidth="1"/>
    <col min="22" max="23" width="7.7109375" style="23" customWidth="1"/>
    <col min="24" max="24" width="9.5703125" style="23" customWidth="1"/>
    <col min="25" max="25" width="4.42578125" style="84" customWidth="1"/>
    <col min="26" max="26" width="11.42578125" style="23"/>
    <col min="27" max="27" width="42.7109375" style="84" customWidth="1"/>
    <col min="28" max="32" width="11.42578125" style="84"/>
    <col min="33" max="16384" width="11.42578125" style="23"/>
  </cols>
  <sheetData>
    <row r="1" spans="1:24" ht="18.75">
      <c r="B1" s="45"/>
    </row>
    <row r="2" spans="1:24">
      <c r="T2" s="87"/>
    </row>
    <row r="3" spans="1:24" ht="16.5" thickBot="1"/>
    <row r="4" spans="1:24" ht="17.25" customHeight="1" thickTop="1" thickBot="1">
      <c r="A4" s="102"/>
      <c r="B4" s="104" t="s">
        <v>0</v>
      </c>
      <c r="C4" s="490" t="s">
        <v>1</v>
      </c>
      <c r="D4" s="491"/>
      <c r="E4" s="97"/>
      <c r="F4" s="492" t="s">
        <v>2</v>
      </c>
      <c r="G4" s="493"/>
      <c r="H4" s="101"/>
      <c r="I4" s="494" t="s">
        <v>3</v>
      </c>
      <c r="J4" s="495"/>
      <c r="K4" s="103"/>
      <c r="L4" s="496" t="s">
        <v>7</v>
      </c>
      <c r="M4" s="498"/>
      <c r="N4" s="96"/>
      <c r="O4" s="51"/>
      <c r="P4" s="42"/>
      <c r="Q4" s="25"/>
      <c r="R4" s="25"/>
      <c r="T4" s="496" t="s">
        <v>21</v>
      </c>
      <c r="U4" s="497"/>
      <c r="V4" s="497"/>
      <c r="W4" s="497"/>
      <c r="X4" s="498"/>
    </row>
    <row r="5" spans="1:24" ht="36.75" customHeight="1" thickBot="1">
      <c r="A5" s="102"/>
      <c r="B5" s="105" t="s">
        <v>6</v>
      </c>
      <c r="C5" s="106" t="s">
        <v>10</v>
      </c>
      <c r="D5" s="107" t="s">
        <v>11</v>
      </c>
      <c r="E5" s="108" t="s">
        <v>12</v>
      </c>
      <c r="F5" s="109" t="s">
        <v>10</v>
      </c>
      <c r="G5" s="110" t="s">
        <v>11</v>
      </c>
      <c r="H5" s="111" t="s">
        <v>12</v>
      </c>
      <c r="I5" s="112" t="s">
        <v>10</v>
      </c>
      <c r="J5" s="110" t="s">
        <v>11</v>
      </c>
      <c r="K5" s="111" t="s">
        <v>12</v>
      </c>
      <c r="L5" s="124" t="s">
        <v>16</v>
      </c>
      <c r="M5" s="113" t="s">
        <v>11</v>
      </c>
      <c r="N5" s="125" t="s">
        <v>12</v>
      </c>
      <c r="O5" s="114" t="s">
        <v>19</v>
      </c>
      <c r="P5" s="115" t="s">
        <v>20</v>
      </c>
      <c r="Q5" s="116" t="s">
        <v>14</v>
      </c>
      <c r="R5" s="117" t="s">
        <v>15</v>
      </c>
      <c r="T5" s="118" t="s">
        <v>6</v>
      </c>
      <c r="U5" s="123" t="s">
        <v>16</v>
      </c>
      <c r="V5" s="49" t="s">
        <v>17</v>
      </c>
      <c r="W5" s="122" t="s">
        <v>12</v>
      </c>
      <c r="X5" s="121" t="s">
        <v>18</v>
      </c>
    </row>
    <row r="6" spans="1:24">
      <c r="A6" s="53">
        <v>1</v>
      </c>
      <c r="B6" s="55" t="str">
        <f>+Inscrits!F11</f>
        <v>C9</v>
      </c>
      <c r="C6" s="38">
        <f>VLOOKUP(B6,Résultats!$B$10:$E$76,3,0)</f>
        <v>0</v>
      </c>
      <c r="D6" s="38">
        <f>VLOOKUP(B6,Résultats!$B$10:$E$76,4,0)</f>
        <v>0</v>
      </c>
      <c r="E6" s="98">
        <f>VLOOKUP(B6,Résultats!$B$10:$E$76,2,0)</f>
        <v>0</v>
      </c>
      <c r="F6" s="2">
        <f>VLOOKUP(B6,Résultats!$G$10:$J$76,3,0)</f>
        <v>0</v>
      </c>
      <c r="G6" s="2">
        <f>VLOOKUP(B6,Résultats!$G$10:$J$76,4,0)</f>
        <v>0</v>
      </c>
      <c r="H6" s="7">
        <f>VLOOKUP(B6,Résultats!$G$10:$J$76,2,0)</f>
        <v>0</v>
      </c>
      <c r="I6" s="2">
        <f>VLOOKUP(B6,Résultats!$L$10:$O$76,3,0)</f>
        <v>3</v>
      </c>
      <c r="J6" s="77">
        <f>VLOOKUP(B6,Résultats!$L$10:$O$76,4,0)</f>
        <v>5</v>
      </c>
      <c r="K6" s="78">
        <f>VLOOKUP(B6,Résultats!$L$10:$O$76,2,0)</f>
        <v>14</v>
      </c>
      <c r="L6" s="91" t="s">
        <v>42</v>
      </c>
      <c r="M6" s="92">
        <f>SUMIFS(D6:J6,$D$5:$J$5,"GA",D6:J6,"&lt;&gt;#N/A")</f>
        <v>5</v>
      </c>
      <c r="N6" s="86">
        <f>SUMIFS(E6:K6,$E$5:$K$5,"Score",E6:K6,"&lt;&gt;#N/A")</f>
        <v>14</v>
      </c>
      <c r="O6" s="91">
        <f>IF(M6="","",IF(M6&lt;0,M6,0))</f>
        <v>0</v>
      </c>
      <c r="P6" s="38">
        <f>IF(M6="","",IF(M6&gt;0,M6,0))</f>
        <v>5</v>
      </c>
      <c r="Q6" s="93" t="e">
        <f t="shared" ref="Q6:Q53" si="0">IF(OR(B6="",L6="",M6="",N6=""),"",RANK(L6,$L$6:$L$53)+SUM(-M6/1000)-(+N6/1000)+COUNTIF(B$6:B$53,"&lt;="&amp;B6+1)/10000+ROW()/100000)</f>
        <v>#VALUE!</v>
      </c>
      <c r="R6" s="99" t="e">
        <f>IF(B6="","",SMALL(Q$6:Q$53,ROWS(L$6:L6)))</f>
        <v>#VALUE!</v>
      </c>
      <c r="S6" s="88"/>
      <c r="T6" s="91" t="e">
        <f>IF(OR(B6="",L6=""),"",INDEX($B$6:$B$53,MATCH(R6,$Q$6:Q$53,0)))</f>
        <v>#VALUE!</v>
      </c>
      <c r="U6" s="2" t="e">
        <f t="shared" ref="U6:U53" si="1">IF(B6="","",INDEX($L$6:$L$53,MATCH(R6,$Q$6:$Q$53,0)))</f>
        <v>#VALUE!</v>
      </c>
      <c r="V6" s="94" t="e">
        <f t="shared" ref="V6:V53" si="2">IF(B6="","",INDEX($M$6:$M$53,MATCH(R6,$Q$6:$Q$53,0)))</f>
        <v>#VALUE!</v>
      </c>
      <c r="W6" s="100" t="e">
        <f t="shared" ref="W6:W53" si="3">IF(B6="","",INDEX($N$6:$N$53,MATCH(R6,$Q$6:$Q$53,0)))</f>
        <v>#VALUE!</v>
      </c>
      <c r="X6" s="92" t="e">
        <f>IF(R6="","",1)</f>
        <v>#VALUE!</v>
      </c>
    </row>
    <row r="7" spans="1:24">
      <c r="A7" s="54">
        <v>2</v>
      </c>
      <c r="B7" s="56" t="e">
        <f>+Inscrits!#REF!</f>
        <v>#REF!</v>
      </c>
      <c r="C7" s="7" t="e">
        <f>VLOOKUP(B7,Résultats!$B$10:$E$76,3,0)</f>
        <v>#REF!</v>
      </c>
      <c r="D7" s="7" t="e">
        <f>VLOOKUP(B7,Résultats!$B$10:$E$76,4,0)</f>
        <v>#REF!</v>
      </c>
      <c r="E7" s="7" t="e">
        <f>VLOOKUP(B7,Résultats!$B$10:$E$76,2,0)</f>
        <v>#REF!</v>
      </c>
      <c r="F7" s="7" t="e">
        <f>VLOOKUP(B7,Résultats!$G$10:$J$76,3,0)</f>
        <v>#REF!</v>
      </c>
      <c r="G7" s="7" t="e">
        <f>VLOOKUP(B7,Résultats!$G$10:$J$76,4,0)</f>
        <v>#REF!</v>
      </c>
      <c r="H7" s="7" t="e">
        <f>VLOOKUP(B7,Résultats!$G$10:$J$76,2,0)</f>
        <v>#REF!</v>
      </c>
      <c r="I7" s="7" t="e">
        <f>VLOOKUP(B7,Résultats!$L$10:$O$76,3,0)</f>
        <v>#REF!</v>
      </c>
      <c r="J7" s="78" t="e">
        <f>VLOOKUP(B7,Résultats!$L$10:$O$76,4,0)</f>
        <v>#REF!</v>
      </c>
      <c r="K7" s="78" t="e">
        <f>VLOOKUP(B7,Résultats!$L$10:$O$76,2,0)</f>
        <v>#REF!</v>
      </c>
      <c r="L7" s="85" t="e">
        <f>SUMIFS(C7:I7,$C$5:$I$5,"Pts",C7:I7,"&lt;&gt;#N/A")</f>
        <v>#REF!</v>
      </c>
      <c r="M7" s="86" t="e">
        <f>SUMIFS(D7:J7,$D$5:$J$5,"GA",D7:J7,"&lt;&gt;#N/A")</f>
        <v>#REF!</v>
      </c>
      <c r="N7" s="86" t="e">
        <f>SUMIFS(E7:K7,$E$5:$K$5,"Score",E7:K7,"&lt;&gt;#N/A")</f>
        <v>#REF!</v>
      </c>
      <c r="O7" s="41" t="e">
        <f t="shared" ref="O7" si="4">IF(M7="","",IF(M7&lt;0,M7,0))</f>
        <v>#REF!</v>
      </c>
      <c r="P7" s="7" t="e">
        <f t="shared" ref="P7" si="5">IF(M7="","",IF(M7&gt;0,M7,0))</f>
        <v>#REF!</v>
      </c>
      <c r="Q7" s="93" t="e">
        <f t="shared" si="0"/>
        <v>#REF!</v>
      </c>
      <c r="R7" s="99" t="e">
        <f>IF(B7="","",SMALL(Q$6:Q$53,ROWS(L$6:L7)))</f>
        <v>#REF!</v>
      </c>
      <c r="S7" s="88"/>
      <c r="T7" s="41" t="e">
        <f>IF(OR(B7="",L7=""),"",INDEX($B$6:$B$53,MATCH(R7,$Q$6:Q$53,0)))</f>
        <v>#REF!</v>
      </c>
      <c r="U7" s="7" t="e">
        <f t="shared" si="1"/>
        <v>#REF!</v>
      </c>
      <c r="V7" s="78" t="e">
        <f t="shared" si="2"/>
        <v>#REF!</v>
      </c>
      <c r="W7" s="78" t="e">
        <f t="shared" si="3"/>
        <v>#REF!</v>
      </c>
      <c r="X7" s="95" t="e">
        <f>IF(R7="","",IF(AND(U6=U7,V6=V7,W6=W7),X6,$X$6+1))</f>
        <v>#REF!</v>
      </c>
    </row>
    <row r="8" spans="1:24">
      <c r="A8" s="54">
        <v>3</v>
      </c>
      <c r="B8" s="56" t="e">
        <f>+Inscrits!#REF!</f>
        <v>#REF!</v>
      </c>
      <c r="C8" s="7" t="e">
        <f>VLOOKUP(B8,Résultats!$B$10:$E$76,3,0)</f>
        <v>#REF!</v>
      </c>
      <c r="D8" s="7" t="e">
        <f>VLOOKUP(B8,Résultats!$B$10:$E$76,4,0)</f>
        <v>#REF!</v>
      </c>
      <c r="E8" s="7" t="e">
        <f>VLOOKUP(B8,Résultats!$B$10:$E$76,2,0)</f>
        <v>#REF!</v>
      </c>
      <c r="F8" s="7" t="e">
        <f>VLOOKUP(B8,Résultats!$G$10:$J$76,3,0)</f>
        <v>#REF!</v>
      </c>
      <c r="G8" s="7" t="e">
        <f>VLOOKUP(B8,Résultats!$G$10:$J$76,4,0)</f>
        <v>#REF!</v>
      </c>
      <c r="H8" s="7" t="e">
        <f>VLOOKUP(B8,Résultats!$G$10:$J$76,2,0)</f>
        <v>#REF!</v>
      </c>
      <c r="I8" s="7" t="e">
        <f>VLOOKUP(B8,Résultats!$L$10:$O$76,3,0)</f>
        <v>#REF!</v>
      </c>
      <c r="J8" s="78" t="e">
        <f>VLOOKUP(B8,Résultats!$L$10:$O$76,4,0)</f>
        <v>#REF!</v>
      </c>
      <c r="K8" s="78" t="e">
        <f>VLOOKUP(B8,Résultats!$L$10:$O$76,2,0)</f>
        <v>#REF!</v>
      </c>
      <c r="L8" s="85" t="e">
        <f t="shared" ref="L8:L43" si="6">SUMIFS(C8:I8,$C$5:$I$5,"Pts",C8:I8,"&lt;&gt;#N/A")</f>
        <v>#REF!</v>
      </c>
      <c r="M8" s="86" t="e">
        <f t="shared" ref="M8:M43" si="7">SUMIFS(D8:J8,$D$5:$J$5,"GA",D8:J8,"&lt;&gt;#N/A")</f>
        <v>#REF!</v>
      </c>
      <c r="N8" s="86" t="e">
        <f t="shared" ref="N8:N43" si="8">SUMIFS(E8:K8,$E$5:$K$5,"Score",E8:K8,"&lt;&gt;#N/A")</f>
        <v>#REF!</v>
      </c>
      <c r="O8" s="41" t="e">
        <f t="shared" ref="O8:O43" si="9">IF(M8="","",IF(M8&lt;0,M8,0))</f>
        <v>#REF!</v>
      </c>
      <c r="P8" s="7" t="e">
        <f t="shared" ref="P8:P43" si="10">IF(M8="","",IF(M8&gt;0,M8,0))</f>
        <v>#REF!</v>
      </c>
      <c r="Q8" s="93" t="e">
        <f t="shared" si="0"/>
        <v>#REF!</v>
      </c>
      <c r="R8" s="99" t="e">
        <f>IF(B8="","",SMALL(Q$6:Q$53,ROWS(L$6:L8)))</f>
        <v>#REF!</v>
      </c>
      <c r="S8" s="88"/>
      <c r="T8" s="41" t="e">
        <f>IF(OR(B8="",L8=""),"",INDEX($B$6:$B$53,MATCH(R8,$Q$6:Q$53,0)))</f>
        <v>#REF!</v>
      </c>
      <c r="U8" s="7" t="e">
        <f t="shared" si="1"/>
        <v>#REF!</v>
      </c>
      <c r="V8" s="78" t="e">
        <f t="shared" si="2"/>
        <v>#REF!</v>
      </c>
      <c r="W8" s="78" t="e">
        <f t="shared" si="3"/>
        <v>#REF!</v>
      </c>
      <c r="X8" s="5" t="e">
        <f>IF(R8="","",IF(AND(U7=U8,V7=V8,W7=W8),X7,$X$6+2))</f>
        <v>#REF!</v>
      </c>
    </row>
    <row r="9" spans="1:24">
      <c r="A9" s="54">
        <v>4</v>
      </c>
      <c r="B9" s="56" t="e">
        <f>+Inscrits!#REF!</f>
        <v>#REF!</v>
      </c>
      <c r="C9" s="7" t="e">
        <f>VLOOKUP(B9,Résultats!$B$10:$E$76,3,0)</f>
        <v>#REF!</v>
      </c>
      <c r="D9" s="7" t="e">
        <f>VLOOKUP(B9,Résultats!$B$10:$E$76,4,0)</f>
        <v>#REF!</v>
      </c>
      <c r="E9" s="7" t="e">
        <f>VLOOKUP(B9,Résultats!$B$10:$E$76,2,0)</f>
        <v>#REF!</v>
      </c>
      <c r="F9" s="7" t="e">
        <f>VLOOKUP(B9,Résultats!$G$10:$J$76,3,0)</f>
        <v>#REF!</v>
      </c>
      <c r="G9" s="7" t="e">
        <f>VLOOKUP(B9,Résultats!$G$10:$J$76,4,0)</f>
        <v>#REF!</v>
      </c>
      <c r="H9" s="7" t="e">
        <f>VLOOKUP(B9,Résultats!$G$10:$J$76,2,0)</f>
        <v>#REF!</v>
      </c>
      <c r="I9" s="7" t="e">
        <f>VLOOKUP(B9,Résultats!$L$10:$O$76,3,0)</f>
        <v>#REF!</v>
      </c>
      <c r="J9" s="78" t="e">
        <f>VLOOKUP(B9,Résultats!$L$10:$O$76,4,0)</f>
        <v>#REF!</v>
      </c>
      <c r="K9" s="78" t="e">
        <f>VLOOKUP(B9,Résultats!$L$10:$O$76,2,0)</f>
        <v>#REF!</v>
      </c>
      <c r="L9" s="85" t="e">
        <f t="shared" si="6"/>
        <v>#REF!</v>
      </c>
      <c r="M9" s="86" t="e">
        <f t="shared" si="7"/>
        <v>#REF!</v>
      </c>
      <c r="N9" s="86" t="e">
        <f t="shared" si="8"/>
        <v>#REF!</v>
      </c>
      <c r="O9" s="41" t="e">
        <f t="shared" si="9"/>
        <v>#REF!</v>
      </c>
      <c r="P9" s="7" t="e">
        <f t="shared" si="10"/>
        <v>#REF!</v>
      </c>
      <c r="Q9" s="93" t="e">
        <f t="shared" si="0"/>
        <v>#REF!</v>
      </c>
      <c r="R9" s="99" t="e">
        <f>IF(B9="","",SMALL(Q$6:Q$53,ROWS(L$6:L9)))</f>
        <v>#REF!</v>
      </c>
      <c r="S9" s="88"/>
      <c r="T9" s="41" t="e">
        <f>IF(OR(B9="",L9=""),"",INDEX($B$6:$B$53,MATCH(R9,$Q$6:Q$53,0)))</f>
        <v>#REF!</v>
      </c>
      <c r="U9" s="7" t="e">
        <f t="shared" si="1"/>
        <v>#REF!</v>
      </c>
      <c r="V9" s="78" t="e">
        <f t="shared" si="2"/>
        <v>#REF!</v>
      </c>
      <c r="W9" s="78" t="e">
        <f t="shared" si="3"/>
        <v>#REF!</v>
      </c>
      <c r="X9" s="5" t="e">
        <f>IF(R9="","",IF(AND(U8=U9,V8=V9,W8=W9),X8,$X$6+3))</f>
        <v>#REF!</v>
      </c>
    </row>
    <row r="10" spans="1:24">
      <c r="A10" s="54">
        <v>5</v>
      </c>
      <c r="B10" s="56" t="e">
        <f>+Inscrits!#REF!</f>
        <v>#REF!</v>
      </c>
      <c r="C10" s="7" t="e">
        <f>VLOOKUP(B10,Résultats!$B$10:$E$76,3,0)</f>
        <v>#REF!</v>
      </c>
      <c r="D10" s="7" t="e">
        <f>VLOOKUP(B10,Résultats!$B$10:$E$76,4,0)</f>
        <v>#REF!</v>
      </c>
      <c r="E10" s="7" t="e">
        <f>VLOOKUP(B10,Résultats!$B$10:$E$76,2,0)</f>
        <v>#REF!</v>
      </c>
      <c r="F10" s="7" t="e">
        <f>VLOOKUP(B10,Résultats!$G$10:$J$76,3,0)</f>
        <v>#REF!</v>
      </c>
      <c r="G10" s="7" t="e">
        <f>VLOOKUP(B10,Résultats!$G$10:$J$76,4,0)</f>
        <v>#REF!</v>
      </c>
      <c r="H10" s="7" t="e">
        <f>VLOOKUP(B10,Résultats!$G$10:$J$76,2,0)</f>
        <v>#REF!</v>
      </c>
      <c r="I10" s="7" t="e">
        <f>VLOOKUP(B10,Résultats!$L$10:$O$76,3,0)</f>
        <v>#REF!</v>
      </c>
      <c r="J10" s="78" t="e">
        <f>VLOOKUP(B10,Résultats!$L$10:$O$76,4,0)</f>
        <v>#REF!</v>
      </c>
      <c r="K10" s="78" t="e">
        <f>VLOOKUP(B10,Résultats!$L$10:$O$76,2,0)</f>
        <v>#REF!</v>
      </c>
      <c r="L10" s="85" t="e">
        <f t="shared" si="6"/>
        <v>#REF!</v>
      </c>
      <c r="M10" s="86" t="e">
        <f t="shared" si="7"/>
        <v>#REF!</v>
      </c>
      <c r="N10" s="86" t="e">
        <f t="shared" si="8"/>
        <v>#REF!</v>
      </c>
      <c r="O10" s="41" t="e">
        <f t="shared" si="9"/>
        <v>#REF!</v>
      </c>
      <c r="P10" s="7" t="e">
        <f t="shared" si="10"/>
        <v>#REF!</v>
      </c>
      <c r="Q10" s="93" t="e">
        <f t="shared" si="0"/>
        <v>#REF!</v>
      </c>
      <c r="R10" s="99" t="e">
        <f>IF(B10="","",SMALL(Q$6:Q$53,ROWS(L$6:L10)))</f>
        <v>#REF!</v>
      </c>
      <c r="S10" s="88"/>
      <c r="T10" s="41" t="e">
        <f>IF(OR(B10="",L10=""),"",INDEX($B$6:$B$53,MATCH(R10,$Q$6:Q$53,0)))</f>
        <v>#REF!</v>
      </c>
      <c r="U10" s="7" t="e">
        <f t="shared" si="1"/>
        <v>#REF!</v>
      </c>
      <c r="V10" s="78" t="e">
        <f t="shared" si="2"/>
        <v>#REF!</v>
      </c>
      <c r="W10" s="78" t="e">
        <f t="shared" si="3"/>
        <v>#REF!</v>
      </c>
      <c r="X10" s="5" t="e">
        <f>IF(R10="","",IF(AND(U9=U10,V9=V10,W9=W10),X9,$X$6+4))</f>
        <v>#REF!</v>
      </c>
    </row>
    <row r="11" spans="1:24">
      <c r="A11" s="54">
        <v>6</v>
      </c>
      <c r="B11" s="56" t="e">
        <f>+Inscrits!#REF!</f>
        <v>#REF!</v>
      </c>
      <c r="C11" s="7" t="e">
        <f>VLOOKUP(B11,Résultats!$B$10:$E$76,3,0)</f>
        <v>#REF!</v>
      </c>
      <c r="D11" s="7" t="e">
        <f>VLOOKUP(B11,Résultats!$B$10:$E$76,4,0)</f>
        <v>#REF!</v>
      </c>
      <c r="E11" s="7" t="e">
        <f>VLOOKUP(B11,Résultats!$B$10:$E$76,2,0)</f>
        <v>#REF!</v>
      </c>
      <c r="F11" s="7" t="e">
        <f>VLOOKUP(B11,Résultats!$G$10:$J$76,3,0)</f>
        <v>#REF!</v>
      </c>
      <c r="G11" s="7" t="e">
        <f>VLOOKUP(B11,Résultats!$G$10:$J$76,4,0)</f>
        <v>#REF!</v>
      </c>
      <c r="H11" s="7" t="e">
        <f>VLOOKUP(B11,Résultats!$G$10:$J$76,2,0)</f>
        <v>#REF!</v>
      </c>
      <c r="I11" s="7" t="e">
        <f>VLOOKUP(B11,Résultats!$L$10:$O$76,3,0)</f>
        <v>#REF!</v>
      </c>
      <c r="J11" s="78" t="e">
        <f>VLOOKUP(B11,Résultats!$L$10:$O$76,4,0)</f>
        <v>#REF!</v>
      </c>
      <c r="K11" s="78" t="e">
        <f>VLOOKUP(B11,Résultats!$L$10:$O$76,2,0)</f>
        <v>#REF!</v>
      </c>
      <c r="L11" s="85" t="e">
        <f t="shared" si="6"/>
        <v>#REF!</v>
      </c>
      <c r="M11" s="86" t="e">
        <f t="shared" si="7"/>
        <v>#REF!</v>
      </c>
      <c r="N11" s="86" t="e">
        <f t="shared" si="8"/>
        <v>#REF!</v>
      </c>
      <c r="O11" s="41" t="e">
        <f t="shared" si="9"/>
        <v>#REF!</v>
      </c>
      <c r="P11" s="7" t="e">
        <f t="shared" si="10"/>
        <v>#REF!</v>
      </c>
      <c r="Q11" s="93" t="e">
        <f t="shared" si="0"/>
        <v>#REF!</v>
      </c>
      <c r="R11" s="99" t="e">
        <f>IF(B11="","",SMALL(Q$6:Q$53,ROWS(L$6:L11)))</f>
        <v>#REF!</v>
      </c>
      <c r="S11" s="88"/>
      <c r="T11" s="41" t="e">
        <f>IF(OR(B11="",L11=""),"",INDEX($B$6:$B$53,MATCH(R11,$Q$6:Q$53,0)))</f>
        <v>#REF!</v>
      </c>
      <c r="U11" s="7" t="e">
        <f t="shared" si="1"/>
        <v>#REF!</v>
      </c>
      <c r="V11" s="78" t="e">
        <f t="shared" si="2"/>
        <v>#REF!</v>
      </c>
      <c r="W11" s="78" t="e">
        <f t="shared" si="3"/>
        <v>#REF!</v>
      </c>
      <c r="X11" s="5" t="e">
        <f>IF(R11="","",IF(AND(U10=U11,V10=V11,W10=W11),X10,$X$6+5))</f>
        <v>#REF!</v>
      </c>
    </row>
    <row r="12" spans="1:24">
      <c r="A12" s="54">
        <v>7</v>
      </c>
      <c r="B12" s="56" t="e">
        <f>+Inscrits!#REF!</f>
        <v>#REF!</v>
      </c>
      <c r="C12" s="7" t="e">
        <f>VLOOKUP(B12,Résultats!$B$10:$E$76,3,0)</f>
        <v>#REF!</v>
      </c>
      <c r="D12" s="7" t="e">
        <f>VLOOKUP(B12,Résultats!$B$10:$E$76,4,0)</f>
        <v>#REF!</v>
      </c>
      <c r="E12" s="7" t="e">
        <f>VLOOKUP(B12,Résultats!$B$10:$E$76,2,0)</f>
        <v>#REF!</v>
      </c>
      <c r="F12" s="7" t="e">
        <f>VLOOKUP(B12,Résultats!$G$10:$J$76,3,0)</f>
        <v>#REF!</v>
      </c>
      <c r="G12" s="7" t="e">
        <f>VLOOKUP(B12,Résultats!$G$10:$J$76,4,0)</f>
        <v>#REF!</v>
      </c>
      <c r="H12" s="7" t="e">
        <f>VLOOKUP(B12,Résultats!$G$10:$J$76,2,0)</f>
        <v>#REF!</v>
      </c>
      <c r="I12" s="7" t="e">
        <f>VLOOKUP(B12,Résultats!$L$10:$O$76,3,0)</f>
        <v>#REF!</v>
      </c>
      <c r="J12" s="78" t="e">
        <f>VLOOKUP(B12,Résultats!$L$10:$O$76,4,0)</f>
        <v>#REF!</v>
      </c>
      <c r="K12" s="78" t="e">
        <f>VLOOKUP(B12,Résultats!$L$10:$O$76,2,0)</f>
        <v>#REF!</v>
      </c>
      <c r="L12" s="85" t="e">
        <f t="shared" si="6"/>
        <v>#REF!</v>
      </c>
      <c r="M12" s="86" t="e">
        <f t="shared" si="7"/>
        <v>#REF!</v>
      </c>
      <c r="N12" s="86" t="e">
        <f t="shared" si="8"/>
        <v>#REF!</v>
      </c>
      <c r="O12" s="41" t="e">
        <f t="shared" si="9"/>
        <v>#REF!</v>
      </c>
      <c r="P12" s="7" t="e">
        <f t="shared" si="10"/>
        <v>#REF!</v>
      </c>
      <c r="Q12" s="93" t="e">
        <f t="shared" si="0"/>
        <v>#REF!</v>
      </c>
      <c r="R12" s="99" t="e">
        <f>IF(B12="","",SMALL(Q$6:Q$53,ROWS(L$6:L12)))</f>
        <v>#REF!</v>
      </c>
      <c r="S12" s="88"/>
      <c r="T12" s="41" t="e">
        <f>IF(OR(B12="",L12=""),"",INDEX($B$6:$B$53,MATCH(R12,$Q$6:Q$53,0)))</f>
        <v>#REF!</v>
      </c>
      <c r="U12" s="7" t="e">
        <f t="shared" si="1"/>
        <v>#REF!</v>
      </c>
      <c r="V12" s="78" t="e">
        <f t="shared" si="2"/>
        <v>#REF!</v>
      </c>
      <c r="W12" s="78" t="e">
        <f t="shared" si="3"/>
        <v>#REF!</v>
      </c>
      <c r="X12" s="5" t="e">
        <f>IF(R12="","",IF(AND(U11=U12,V11=V12,W11=W12),X11,$X$6+6))</f>
        <v>#REF!</v>
      </c>
    </row>
    <row r="13" spans="1:24">
      <c r="A13" s="54">
        <v>8</v>
      </c>
      <c r="B13" s="56" t="e">
        <f>+Inscrits!#REF!</f>
        <v>#REF!</v>
      </c>
      <c r="C13" s="7" t="e">
        <f>VLOOKUP(B13,Résultats!$B$10:$E$76,3,0)</f>
        <v>#REF!</v>
      </c>
      <c r="D13" s="7" t="e">
        <f>VLOOKUP(B13,Résultats!$B$10:$E$76,4,0)</f>
        <v>#REF!</v>
      </c>
      <c r="E13" s="7" t="e">
        <f>VLOOKUP(B13,Résultats!$B$10:$E$76,2,0)</f>
        <v>#REF!</v>
      </c>
      <c r="F13" s="7" t="e">
        <f>VLOOKUP(B13,Résultats!$G$10:$J$76,3,0)</f>
        <v>#REF!</v>
      </c>
      <c r="G13" s="7" t="e">
        <f>VLOOKUP(B13,Résultats!$G$10:$J$76,4,0)</f>
        <v>#REF!</v>
      </c>
      <c r="H13" s="7" t="e">
        <f>VLOOKUP(B13,Résultats!$G$10:$J$76,2,0)</f>
        <v>#REF!</v>
      </c>
      <c r="I13" s="7" t="e">
        <f>VLOOKUP(B13,Résultats!$L$10:$O$76,3,0)</f>
        <v>#REF!</v>
      </c>
      <c r="J13" s="78" t="e">
        <f>VLOOKUP(B13,Résultats!$L$10:$O$76,4,0)</f>
        <v>#REF!</v>
      </c>
      <c r="K13" s="78" t="e">
        <f>VLOOKUP(B13,Résultats!$L$10:$O$76,2,0)</f>
        <v>#REF!</v>
      </c>
      <c r="L13" s="85" t="e">
        <f t="shared" si="6"/>
        <v>#REF!</v>
      </c>
      <c r="M13" s="86" t="e">
        <f t="shared" si="7"/>
        <v>#REF!</v>
      </c>
      <c r="N13" s="86" t="e">
        <f t="shared" si="8"/>
        <v>#REF!</v>
      </c>
      <c r="O13" s="41" t="e">
        <f t="shared" si="9"/>
        <v>#REF!</v>
      </c>
      <c r="P13" s="7" t="e">
        <f t="shared" si="10"/>
        <v>#REF!</v>
      </c>
      <c r="Q13" s="93" t="e">
        <f t="shared" si="0"/>
        <v>#REF!</v>
      </c>
      <c r="R13" s="99" t="e">
        <f>IF(B13="","",SMALL(Q$6:Q$53,ROWS(L$6:L13)))</f>
        <v>#REF!</v>
      </c>
      <c r="S13" s="88"/>
      <c r="T13" s="41" t="e">
        <f>IF(OR(B13="",L13=""),"",INDEX($B$6:$B$53,MATCH(R13,$Q$6:Q$53,0)))</f>
        <v>#REF!</v>
      </c>
      <c r="U13" s="7" t="e">
        <f t="shared" si="1"/>
        <v>#REF!</v>
      </c>
      <c r="V13" s="78" t="e">
        <f t="shared" si="2"/>
        <v>#REF!</v>
      </c>
      <c r="W13" s="78" t="e">
        <f t="shared" si="3"/>
        <v>#REF!</v>
      </c>
      <c r="X13" s="5" t="e">
        <f>IF(R13="","",IF(AND(U12=U13,V12=V13,W12=W13),X12,$X$6+7))</f>
        <v>#REF!</v>
      </c>
    </row>
    <row r="14" spans="1:24">
      <c r="A14" s="54">
        <v>9</v>
      </c>
      <c r="B14" s="56" t="e">
        <f>+Inscrits!#REF!</f>
        <v>#REF!</v>
      </c>
      <c r="C14" s="7" t="e">
        <f>VLOOKUP(B14,Résultats!$B$10:$E$76,3,0)</f>
        <v>#REF!</v>
      </c>
      <c r="D14" s="7" t="e">
        <f>VLOOKUP(B14,Résultats!$B$10:$E$76,4,0)</f>
        <v>#REF!</v>
      </c>
      <c r="E14" s="7" t="e">
        <f>VLOOKUP(B14,Résultats!$B$10:$E$76,2,0)</f>
        <v>#REF!</v>
      </c>
      <c r="F14" s="7" t="e">
        <f>VLOOKUP(B14,Résultats!$G$10:$J$76,3,0)</f>
        <v>#REF!</v>
      </c>
      <c r="G14" s="7" t="e">
        <f>VLOOKUP(B14,Résultats!$G$10:$J$76,4,0)</f>
        <v>#REF!</v>
      </c>
      <c r="H14" s="7" t="e">
        <f>VLOOKUP(B14,Résultats!$G$10:$J$76,2,0)</f>
        <v>#REF!</v>
      </c>
      <c r="I14" s="7" t="e">
        <f>VLOOKUP(B14,Résultats!$L$10:$O$76,3,0)</f>
        <v>#REF!</v>
      </c>
      <c r="J14" s="78" t="e">
        <f>VLOOKUP(B14,Résultats!$L$10:$O$76,4,0)</f>
        <v>#REF!</v>
      </c>
      <c r="K14" s="78" t="e">
        <f>VLOOKUP(B14,Résultats!$L$10:$O$76,2,0)</f>
        <v>#REF!</v>
      </c>
      <c r="L14" s="85" t="e">
        <f t="shared" si="6"/>
        <v>#REF!</v>
      </c>
      <c r="M14" s="86" t="e">
        <f t="shared" si="7"/>
        <v>#REF!</v>
      </c>
      <c r="N14" s="86" t="e">
        <f t="shared" si="8"/>
        <v>#REF!</v>
      </c>
      <c r="O14" s="41" t="e">
        <f t="shared" si="9"/>
        <v>#REF!</v>
      </c>
      <c r="P14" s="7" t="e">
        <f t="shared" si="10"/>
        <v>#REF!</v>
      </c>
      <c r="Q14" s="93" t="e">
        <f t="shared" si="0"/>
        <v>#REF!</v>
      </c>
      <c r="R14" s="99" t="e">
        <f>IF(B14="","",SMALL(Q$6:Q$53,ROWS(L$6:L14)))</f>
        <v>#REF!</v>
      </c>
      <c r="S14" s="88"/>
      <c r="T14" s="41" t="e">
        <f>IF(OR(B14="",L14=""),"",INDEX($B$6:$B$53,MATCH(R14,$Q$6:Q$53,0)))</f>
        <v>#REF!</v>
      </c>
      <c r="U14" s="7" t="e">
        <f t="shared" si="1"/>
        <v>#REF!</v>
      </c>
      <c r="V14" s="78" t="e">
        <f t="shared" si="2"/>
        <v>#REF!</v>
      </c>
      <c r="W14" s="78" t="e">
        <f t="shared" si="3"/>
        <v>#REF!</v>
      </c>
      <c r="X14" s="5" t="e">
        <f>IF(R14="","",IF(AND(U13=U14,V13=V14,W13=W14),X13,$X$6+8))</f>
        <v>#REF!</v>
      </c>
    </row>
    <row r="15" spans="1:24">
      <c r="A15" s="54">
        <v>10</v>
      </c>
      <c r="B15" s="56" t="e">
        <f>+Inscrits!#REF!</f>
        <v>#REF!</v>
      </c>
      <c r="C15" s="7" t="e">
        <f>VLOOKUP(B15,Résultats!$B$10:$E$76,3,0)</f>
        <v>#REF!</v>
      </c>
      <c r="D15" s="7" t="e">
        <f>VLOOKUP(B15,Résultats!$B$10:$E$76,4,0)</f>
        <v>#REF!</v>
      </c>
      <c r="E15" s="7" t="e">
        <f>VLOOKUP(B15,Résultats!$B$10:$E$76,2,0)</f>
        <v>#REF!</v>
      </c>
      <c r="F15" s="7" t="e">
        <f>VLOOKUP(B15,Résultats!$G$10:$J$76,3,0)</f>
        <v>#REF!</v>
      </c>
      <c r="G15" s="7" t="e">
        <f>VLOOKUP(B15,Résultats!$G$10:$J$76,4,0)</f>
        <v>#REF!</v>
      </c>
      <c r="H15" s="7" t="e">
        <f>VLOOKUP(B15,Résultats!$G$10:$J$76,2,0)</f>
        <v>#REF!</v>
      </c>
      <c r="I15" s="7" t="e">
        <f>VLOOKUP(B15,Résultats!$L$10:$O$76,3,0)</f>
        <v>#REF!</v>
      </c>
      <c r="J15" s="78" t="e">
        <f>VLOOKUP(B15,Résultats!$L$10:$O$76,4,0)</f>
        <v>#REF!</v>
      </c>
      <c r="K15" s="78" t="e">
        <f>VLOOKUP(B15,Résultats!$L$10:$O$76,2,0)</f>
        <v>#REF!</v>
      </c>
      <c r="L15" s="85" t="e">
        <f t="shared" si="6"/>
        <v>#REF!</v>
      </c>
      <c r="M15" s="86" t="e">
        <f t="shared" si="7"/>
        <v>#REF!</v>
      </c>
      <c r="N15" s="86" t="e">
        <f t="shared" si="8"/>
        <v>#REF!</v>
      </c>
      <c r="O15" s="41" t="e">
        <f t="shared" si="9"/>
        <v>#REF!</v>
      </c>
      <c r="P15" s="7" t="e">
        <f t="shared" si="10"/>
        <v>#REF!</v>
      </c>
      <c r="Q15" s="93" t="e">
        <f t="shared" si="0"/>
        <v>#REF!</v>
      </c>
      <c r="R15" s="99" t="e">
        <f>IF(B15="","",SMALL(Q$6:Q$53,ROWS(L$6:L15)))</f>
        <v>#REF!</v>
      </c>
      <c r="S15" s="88"/>
      <c r="T15" s="41" t="e">
        <f>IF(OR(B15="",L15=""),"",INDEX($B$6:$B$53,MATCH(R15,$Q$6:Q$53,0)))</f>
        <v>#REF!</v>
      </c>
      <c r="U15" s="7" t="e">
        <f t="shared" si="1"/>
        <v>#REF!</v>
      </c>
      <c r="V15" s="78" t="e">
        <f t="shared" si="2"/>
        <v>#REF!</v>
      </c>
      <c r="W15" s="78" t="e">
        <f t="shared" si="3"/>
        <v>#REF!</v>
      </c>
      <c r="X15" s="5" t="e">
        <f>IF(R15="","",IF(AND(U14=U15,V14=V15,W14=W15),X14,$X$6+9))</f>
        <v>#REF!</v>
      </c>
    </row>
    <row r="16" spans="1:24">
      <c r="A16" s="54">
        <v>11</v>
      </c>
      <c r="B16" s="56" t="e">
        <f>+Inscrits!#REF!</f>
        <v>#REF!</v>
      </c>
      <c r="C16" s="7" t="e">
        <f>VLOOKUP(B16,Résultats!$B$10:$E$76,3,0)</f>
        <v>#REF!</v>
      </c>
      <c r="D16" s="7" t="e">
        <f>VLOOKUP(B16,Résultats!$B$10:$E$76,4,0)</f>
        <v>#REF!</v>
      </c>
      <c r="E16" s="7" t="e">
        <f>VLOOKUP(B16,Résultats!$B$10:$E$76,2,0)</f>
        <v>#REF!</v>
      </c>
      <c r="F16" s="7" t="e">
        <f>VLOOKUP(B16,Résultats!$G$10:$J$76,3,0)</f>
        <v>#REF!</v>
      </c>
      <c r="G16" s="7" t="e">
        <f>VLOOKUP(B16,Résultats!$G$10:$J$76,4,0)</f>
        <v>#REF!</v>
      </c>
      <c r="H16" s="7" t="e">
        <f>VLOOKUP(B16,Résultats!$G$10:$J$76,2,0)</f>
        <v>#REF!</v>
      </c>
      <c r="I16" s="7" t="e">
        <f>VLOOKUP(B16,Résultats!$L$10:$O$76,3,0)</f>
        <v>#REF!</v>
      </c>
      <c r="J16" s="78" t="e">
        <f>VLOOKUP(B16,Résultats!$L$10:$O$76,4,0)</f>
        <v>#REF!</v>
      </c>
      <c r="K16" s="78" t="e">
        <f>VLOOKUP(B16,Résultats!$L$10:$O$76,2,0)</f>
        <v>#REF!</v>
      </c>
      <c r="L16" s="85" t="e">
        <f t="shared" si="6"/>
        <v>#REF!</v>
      </c>
      <c r="M16" s="86" t="e">
        <f t="shared" si="7"/>
        <v>#REF!</v>
      </c>
      <c r="N16" s="86" t="e">
        <f t="shared" si="8"/>
        <v>#REF!</v>
      </c>
      <c r="O16" s="41" t="e">
        <f t="shared" si="9"/>
        <v>#REF!</v>
      </c>
      <c r="P16" s="7" t="e">
        <f t="shared" si="10"/>
        <v>#REF!</v>
      </c>
      <c r="Q16" s="93" t="e">
        <f t="shared" si="0"/>
        <v>#REF!</v>
      </c>
      <c r="R16" s="99" t="e">
        <f>IF(B16="","",SMALL(Q$6:Q$53,ROWS(L$6:L16)))</f>
        <v>#REF!</v>
      </c>
      <c r="S16" s="88"/>
      <c r="T16" s="41" t="e">
        <f>IF(OR(B16="",L16=""),"",INDEX($B$6:$B$53,MATCH(R16,$Q$6:Q$53,0)))</f>
        <v>#REF!</v>
      </c>
      <c r="U16" s="7" t="e">
        <f t="shared" si="1"/>
        <v>#REF!</v>
      </c>
      <c r="V16" s="78" t="e">
        <f t="shared" si="2"/>
        <v>#REF!</v>
      </c>
      <c r="W16" s="78" t="e">
        <f t="shared" si="3"/>
        <v>#REF!</v>
      </c>
      <c r="X16" s="5" t="e">
        <f>IF(R16="","",IF(AND(U15=U16,V15=V16,W15=W16),X15,$X$6+10))</f>
        <v>#REF!</v>
      </c>
    </row>
    <row r="17" spans="1:24">
      <c r="A17" s="54">
        <v>12</v>
      </c>
      <c r="B17" s="56" t="e">
        <f>+Inscrits!#REF!</f>
        <v>#REF!</v>
      </c>
      <c r="C17" s="7" t="e">
        <f>VLOOKUP(B17,Résultats!$B$10:$E$76,3,0)</f>
        <v>#REF!</v>
      </c>
      <c r="D17" s="7" t="e">
        <f>VLOOKUP(B17,Résultats!$B$10:$E$76,4,0)</f>
        <v>#REF!</v>
      </c>
      <c r="E17" s="7" t="e">
        <f>VLOOKUP(B17,Résultats!$B$10:$E$76,2,0)</f>
        <v>#REF!</v>
      </c>
      <c r="F17" s="7" t="e">
        <f>VLOOKUP(B17,Résultats!$G$10:$J$76,3,0)</f>
        <v>#REF!</v>
      </c>
      <c r="G17" s="7" t="e">
        <f>VLOOKUP(B17,Résultats!$G$10:$J$76,4,0)</f>
        <v>#REF!</v>
      </c>
      <c r="H17" s="7" t="e">
        <f>VLOOKUP(B17,Résultats!$G$10:$J$76,2,0)</f>
        <v>#REF!</v>
      </c>
      <c r="I17" s="7" t="e">
        <f>VLOOKUP(B17,Résultats!$L$10:$O$76,3,0)</f>
        <v>#REF!</v>
      </c>
      <c r="J17" s="78" t="e">
        <f>VLOOKUP(B17,Résultats!$L$10:$O$76,4,0)</f>
        <v>#REF!</v>
      </c>
      <c r="K17" s="78" t="e">
        <f>VLOOKUP(B17,Résultats!$L$10:$O$76,2,0)</f>
        <v>#REF!</v>
      </c>
      <c r="L17" s="85" t="e">
        <f t="shared" si="6"/>
        <v>#REF!</v>
      </c>
      <c r="M17" s="86" t="e">
        <f t="shared" si="7"/>
        <v>#REF!</v>
      </c>
      <c r="N17" s="86" t="e">
        <f t="shared" si="8"/>
        <v>#REF!</v>
      </c>
      <c r="O17" s="41" t="e">
        <f t="shared" si="9"/>
        <v>#REF!</v>
      </c>
      <c r="P17" s="7" t="e">
        <f t="shared" si="10"/>
        <v>#REF!</v>
      </c>
      <c r="Q17" s="93" t="e">
        <f t="shared" si="0"/>
        <v>#REF!</v>
      </c>
      <c r="R17" s="99" t="e">
        <f>IF(B17="","",SMALL(Q$6:Q$53,ROWS(L$6:L17)))</f>
        <v>#REF!</v>
      </c>
      <c r="S17" s="88"/>
      <c r="T17" s="41" t="e">
        <f>IF(OR(B17="",L17=""),"",INDEX($B$6:$B$53,MATCH(R17,$Q$6:Q$53,0)))</f>
        <v>#REF!</v>
      </c>
      <c r="U17" s="7" t="e">
        <f t="shared" si="1"/>
        <v>#REF!</v>
      </c>
      <c r="V17" s="78" t="e">
        <f t="shared" si="2"/>
        <v>#REF!</v>
      </c>
      <c r="W17" s="57" t="e">
        <f t="shared" si="3"/>
        <v>#REF!</v>
      </c>
      <c r="X17" s="5" t="e">
        <f>IF(R17="","",IF(AND(U16=U17,V16=V17,16=W17),X16,$X$6+11))</f>
        <v>#REF!</v>
      </c>
    </row>
    <row r="18" spans="1:24">
      <c r="A18" s="54">
        <v>13</v>
      </c>
      <c r="B18" s="56" t="e">
        <f>+Inscrits!#REF!</f>
        <v>#REF!</v>
      </c>
      <c r="C18" s="7" t="e">
        <f>VLOOKUP(B18,Résultats!$B$10:$E$76,3,0)</f>
        <v>#REF!</v>
      </c>
      <c r="D18" s="7" t="e">
        <f>VLOOKUP(B18,Résultats!$B$10:$E$76,4,0)</f>
        <v>#REF!</v>
      </c>
      <c r="E18" s="7" t="e">
        <f>VLOOKUP(B18,Résultats!$B$10:$E$76,2,0)</f>
        <v>#REF!</v>
      </c>
      <c r="F18" s="7" t="e">
        <f>VLOOKUP(B18,Résultats!$G$10:$J$76,3,0)</f>
        <v>#REF!</v>
      </c>
      <c r="G18" s="7" t="e">
        <f>VLOOKUP(B18,Résultats!$G$10:$J$76,4,0)</f>
        <v>#REF!</v>
      </c>
      <c r="H18" s="7" t="e">
        <f>VLOOKUP(B18,Résultats!$G$10:$J$76,2,0)</f>
        <v>#REF!</v>
      </c>
      <c r="I18" s="7" t="e">
        <f>VLOOKUP(B18,Résultats!$L$10:$O$76,3,0)</f>
        <v>#REF!</v>
      </c>
      <c r="J18" s="78" t="e">
        <f>VLOOKUP(B18,Résultats!$L$10:$O$76,4,0)</f>
        <v>#REF!</v>
      </c>
      <c r="K18" s="78" t="e">
        <f>VLOOKUP(B18,Résultats!$L$10:$O$76,2,0)</f>
        <v>#REF!</v>
      </c>
      <c r="L18" s="85" t="e">
        <f t="shared" si="6"/>
        <v>#REF!</v>
      </c>
      <c r="M18" s="86" t="e">
        <f t="shared" si="7"/>
        <v>#REF!</v>
      </c>
      <c r="N18" s="86" t="e">
        <f t="shared" si="8"/>
        <v>#REF!</v>
      </c>
      <c r="O18" s="41" t="e">
        <f t="shared" si="9"/>
        <v>#REF!</v>
      </c>
      <c r="P18" s="7" t="e">
        <f t="shared" si="10"/>
        <v>#REF!</v>
      </c>
      <c r="Q18" s="93" t="e">
        <f t="shared" si="0"/>
        <v>#REF!</v>
      </c>
      <c r="R18" s="99" t="e">
        <f>IF(B18="","",SMALL(Q$6:Q$53,ROWS(L$6:L18)))</f>
        <v>#REF!</v>
      </c>
      <c r="S18" s="88"/>
      <c r="T18" s="41" t="e">
        <f>IF(OR(B18="",L18=""),"",INDEX($B$6:$B$53,MATCH(R18,$Q$6:Q$53,0)))</f>
        <v>#REF!</v>
      </c>
      <c r="U18" s="7" t="e">
        <f t="shared" si="1"/>
        <v>#REF!</v>
      </c>
      <c r="V18" s="78" t="e">
        <f t="shared" si="2"/>
        <v>#REF!</v>
      </c>
      <c r="W18" s="57" t="e">
        <f t="shared" si="3"/>
        <v>#REF!</v>
      </c>
      <c r="X18" s="5" t="e">
        <f>IF(R18="","",IF(AND(U17=U18,V17=V18,W17=W18),X17,$X$6+12))</f>
        <v>#REF!</v>
      </c>
    </row>
    <row r="19" spans="1:24">
      <c r="A19" s="54">
        <v>14</v>
      </c>
      <c r="B19" s="56" t="e">
        <f>+Inscrits!#REF!</f>
        <v>#REF!</v>
      </c>
      <c r="C19" s="7" t="e">
        <f>VLOOKUP(B19,Résultats!$B$10:$E$76,3,0)</f>
        <v>#REF!</v>
      </c>
      <c r="D19" s="7" t="e">
        <f>VLOOKUP(B19,Résultats!$B$10:$E$76,4,0)</f>
        <v>#REF!</v>
      </c>
      <c r="E19" s="7" t="e">
        <f>VLOOKUP(B19,Résultats!$B$10:$E$76,2,0)</f>
        <v>#REF!</v>
      </c>
      <c r="F19" s="7" t="e">
        <f>VLOOKUP(B19,Résultats!$G$10:$J$76,3,0)</f>
        <v>#REF!</v>
      </c>
      <c r="G19" s="7" t="e">
        <f>VLOOKUP(B19,Résultats!$G$10:$J$76,4,0)</f>
        <v>#REF!</v>
      </c>
      <c r="H19" s="7" t="e">
        <f>VLOOKUP(B19,Résultats!$G$10:$J$76,2,0)</f>
        <v>#REF!</v>
      </c>
      <c r="I19" s="7" t="e">
        <f>VLOOKUP(B19,Résultats!$L$10:$O$76,3,0)</f>
        <v>#REF!</v>
      </c>
      <c r="J19" s="78" t="e">
        <f>VLOOKUP(B19,Résultats!$L$10:$O$76,4,0)</f>
        <v>#REF!</v>
      </c>
      <c r="K19" s="78" t="e">
        <f>VLOOKUP(B19,Résultats!$L$10:$O$76,2,0)</f>
        <v>#REF!</v>
      </c>
      <c r="L19" s="85" t="e">
        <f t="shared" si="6"/>
        <v>#REF!</v>
      </c>
      <c r="M19" s="86" t="e">
        <f t="shared" si="7"/>
        <v>#REF!</v>
      </c>
      <c r="N19" s="86" t="e">
        <f t="shared" si="8"/>
        <v>#REF!</v>
      </c>
      <c r="O19" s="41" t="e">
        <f t="shared" si="9"/>
        <v>#REF!</v>
      </c>
      <c r="P19" s="7" t="e">
        <f t="shared" si="10"/>
        <v>#REF!</v>
      </c>
      <c r="Q19" s="93" t="e">
        <f t="shared" si="0"/>
        <v>#REF!</v>
      </c>
      <c r="R19" s="99" t="e">
        <f>IF(B19="","",SMALL(Q$6:Q$53,ROWS(L$6:L19)))</f>
        <v>#REF!</v>
      </c>
      <c r="S19" s="88"/>
      <c r="T19" s="41" t="e">
        <f>IF(OR(B19="",L19=""),"",INDEX($B$6:$B$53,MATCH(R19,$Q$6:Q$53,0)))</f>
        <v>#REF!</v>
      </c>
      <c r="U19" s="7" t="e">
        <f t="shared" si="1"/>
        <v>#REF!</v>
      </c>
      <c r="V19" s="78" t="e">
        <f t="shared" si="2"/>
        <v>#REF!</v>
      </c>
      <c r="W19" s="57" t="e">
        <f t="shared" si="3"/>
        <v>#REF!</v>
      </c>
      <c r="X19" s="5" t="e">
        <f>IF(R19="","",IF(AND(U18=U19,V18=V19,W18=W19),X18,$X$6+13))</f>
        <v>#REF!</v>
      </c>
    </row>
    <row r="20" spans="1:24">
      <c r="A20" s="54">
        <v>15</v>
      </c>
      <c r="B20" s="56" t="e">
        <f>+Inscrits!#REF!</f>
        <v>#REF!</v>
      </c>
      <c r="C20" s="7" t="e">
        <f>VLOOKUP(B20,Résultats!$B$10:$E$76,3,0)</f>
        <v>#REF!</v>
      </c>
      <c r="D20" s="7" t="e">
        <f>VLOOKUP(B20,Résultats!$B$10:$E$76,4,0)</f>
        <v>#REF!</v>
      </c>
      <c r="E20" s="7" t="e">
        <f>VLOOKUP(B20,Résultats!$B$10:$E$76,2,0)</f>
        <v>#REF!</v>
      </c>
      <c r="F20" s="7" t="e">
        <f>VLOOKUP(B20,Résultats!$G$10:$J$76,3,0)</f>
        <v>#REF!</v>
      </c>
      <c r="G20" s="7" t="e">
        <f>VLOOKUP(B20,Résultats!$G$10:$J$76,4,0)</f>
        <v>#REF!</v>
      </c>
      <c r="H20" s="7" t="e">
        <f>VLOOKUP(B20,Résultats!$G$10:$J$76,2,0)</f>
        <v>#REF!</v>
      </c>
      <c r="I20" s="7" t="e">
        <f>VLOOKUP(B20,Résultats!$L$10:$O$76,3,0)</f>
        <v>#REF!</v>
      </c>
      <c r="J20" s="78" t="e">
        <f>VLOOKUP(B20,Résultats!$L$10:$O$76,4,0)</f>
        <v>#REF!</v>
      </c>
      <c r="K20" s="78" t="e">
        <f>VLOOKUP(B20,Résultats!$L$10:$O$76,2,0)</f>
        <v>#REF!</v>
      </c>
      <c r="L20" s="85" t="e">
        <f t="shared" si="6"/>
        <v>#REF!</v>
      </c>
      <c r="M20" s="86" t="e">
        <f t="shared" si="7"/>
        <v>#REF!</v>
      </c>
      <c r="N20" s="86" t="e">
        <f t="shared" si="8"/>
        <v>#REF!</v>
      </c>
      <c r="O20" s="41" t="e">
        <f t="shared" si="9"/>
        <v>#REF!</v>
      </c>
      <c r="P20" s="7" t="e">
        <f t="shared" si="10"/>
        <v>#REF!</v>
      </c>
      <c r="Q20" s="93" t="e">
        <f t="shared" si="0"/>
        <v>#REF!</v>
      </c>
      <c r="R20" s="99" t="e">
        <f>IF(B20="","",SMALL(Q$6:Q$53,ROWS(L$6:L20)))</f>
        <v>#REF!</v>
      </c>
      <c r="S20" s="88"/>
      <c r="T20" s="41" t="e">
        <f>IF(OR(B20="",L20=""),"",INDEX($B$6:$B$53,MATCH(R20,$Q$6:Q$53,0)))</f>
        <v>#REF!</v>
      </c>
      <c r="U20" s="7" t="e">
        <f t="shared" si="1"/>
        <v>#REF!</v>
      </c>
      <c r="V20" s="78" t="e">
        <f t="shared" si="2"/>
        <v>#REF!</v>
      </c>
      <c r="W20" s="57" t="e">
        <f t="shared" si="3"/>
        <v>#REF!</v>
      </c>
      <c r="X20" s="5" t="e">
        <f>IF(R20="","",IF(AND(U19=U20,V19=V20,W19=W20),X19,$X$6+14))</f>
        <v>#REF!</v>
      </c>
    </row>
    <row r="21" spans="1:24">
      <c r="A21" s="54">
        <v>16</v>
      </c>
      <c r="B21" s="56" t="e">
        <f>+Inscrits!#REF!</f>
        <v>#REF!</v>
      </c>
      <c r="C21" s="7" t="e">
        <f>VLOOKUP(B21,Résultats!$B$10:$E$76,3,0)</f>
        <v>#REF!</v>
      </c>
      <c r="D21" s="7" t="e">
        <f>VLOOKUP(B21,Résultats!$B$10:$E$76,4,0)</f>
        <v>#REF!</v>
      </c>
      <c r="E21" s="7" t="e">
        <f>VLOOKUP(B21,Résultats!$B$10:$E$76,2,0)</f>
        <v>#REF!</v>
      </c>
      <c r="F21" s="7" t="e">
        <f>VLOOKUP(B21,Résultats!$G$10:$J$76,3,0)</f>
        <v>#REF!</v>
      </c>
      <c r="G21" s="7" t="e">
        <f>VLOOKUP(B21,Résultats!$G$10:$J$76,4,0)</f>
        <v>#REF!</v>
      </c>
      <c r="H21" s="7" t="e">
        <f>VLOOKUP(B21,Résultats!$G$10:$J$76,2,0)</f>
        <v>#REF!</v>
      </c>
      <c r="I21" s="7" t="e">
        <f>VLOOKUP(B21,Résultats!$L$10:$O$76,3,0)</f>
        <v>#REF!</v>
      </c>
      <c r="J21" s="78" t="e">
        <f>VLOOKUP(B21,Résultats!$L$10:$O$76,4,0)</f>
        <v>#REF!</v>
      </c>
      <c r="K21" s="78" t="e">
        <f>VLOOKUP(B21,Résultats!$L$10:$O$76,2,0)</f>
        <v>#REF!</v>
      </c>
      <c r="L21" s="85" t="e">
        <f t="shared" si="6"/>
        <v>#REF!</v>
      </c>
      <c r="M21" s="86" t="e">
        <f t="shared" si="7"/>
        <v>#REF!</v>
      </c>
      <c r="N21" s="86" t="e">
        <f t="shared" si="8"/>
        <v>#REF!</v>
      </c>
      <c r="O21" s="41" t="e">
        <f t="shared" si="9"/>
        <v>#REF!</v>
      </c>
      <c r="P21" s="7" t="e">
        <f t="shared" si="10"/>
        <v>#REF!</v>
      </c>
      <c r="Q21" s="93" t="e">
        <f t="shared" si="0"/>
        <v>#REF!</v>
      </c>
      <c r="R21" s="99" t="e">
        <f>IF(B21="","",SMALL(Q$6:Q$53,ROWS(L$6:L21)))</f>
        <v>#REF!</v>
      </c>
      <c r="S21" s="88"/>
      <c r="T21" s="41" t="e">
        <f>IF(OR(B21="",L21=""),"",INDEX($B$6:$B$53,MATCH(R21,$Q$6:Q$53,0)))</f>
        <v>#REF!</v>
      </c>
      <c r="U21" s="7" t="e">
        <f t="shared" si="1"/>
        <v>#REF!</v>
      </c>
      <c r="V21" s="78" t="e">
        <f t="shared" si="2"/>
        <v>#REF!</v>
      </c>
      <c r="W21" s="57" t="e">
        <f t="shared" si="3"/>
        <v>#REF!</v>
      </c>
      <c r="X21" s="5" t="e">
        <f>IF(R21="","",IF(AND(U20=U21,V20=V21,W20=W21),X20,$X$6+15))</f>
        <v>#REF!</v>
      </c>
    </row>
    <row r="22" spans="1:24">
      <c r="A22" s="54">
        <v>17</v>
      </c>
      <c r="B22" s="56" t="e">
        <f>+Inscrits!#REF!</f>
        <v>#REF!</v>
      </c>
      <c r="C22" s="7" t="e">
        <f>VLOOKUP(B22,Résultats!$B$10:$E$76,3,0)</f>
        <v>#REF!</v>
      </c>
      <c r="D22" s="7" t="e">
        <f>VLOOKUP(B22,Résultats!$B$10:$E$76,4,0)</f>
        <v>#REF!</v>
      </c>
      <c r="E22" s="7" t="e">
        <f>VLOOKUP(B22,Résultats!$B$10:$E$76,2,0)</f>
        <v>#REF!</v>
      </c>
      <c r="F22" s="7" t="e">
        <f>VLOOKUP(B22,Résultats!$G$10:$J$76,3,0)</f>
        <v>#REF!</v>
      </c>
      <c r="G22" s="7" t="e">
        <f>VLOOKUP(B22,Résultats!$G$10:$J$76,4,0)</f>
        <v>#REF!</v>
      </c>
      <c r="H22" s="7" t="e">
        <f>VLOOKUP(B22,Résultats!$G$10:$J$76,2,0)</f>
        <v>#REF!</v>
      </c>
      <c r="I22" s="7" t="e">
        <f>VLOOKUP(B22,Résultats!$L$10:$O$76,3,0)</f>
        <v>#REF!</v>
      </c>
      <c r="J22" s="78" t="e">
        <f>VLOOKUP(B22,Résultats!$L$10:$O$76,4,0)</f>
        <v>#REF!</v>
      </c>
      <c r="K22" s="78" t="e">
        <f>VLOOKUP(B22,Résultats!$L$10:$O$76,2,0)</f>
        <v>#REF!</v>
      </c>
      <c r="L22" s="85" t="e">
        <f t="shared" si="6"/>
        <v>#REF!</v>
      </c>
      <c r="M22" s="86" t="e">
        <f t="shared" si="7"/>
        <v>#REF!</v>
      </c>
      <c r="N22" s="86" t="e">
        <f t="shared" si="8"/>
        <v>#REF!</v>
      </c>
      <c r="O22" s="41" t="e">
        <f t="shared" si="9"/>
        <v>#REF!</v>
      </c>
      <c r="P22" s="7" t="e">
        <f t="shared" si="10"/>
        <v>#REF!</v>
      </c>
      <c r="Q22" s="93" t="e">
        <f t="shared" si="0"/>
        <v>#REF!</v>
      </c>
      <c r="R22" s="99" t="e">
        <f>IF(B22="","",SMALL(Q$6:Q$53,ROWS(L$6:L22)))</f>
        <v>#REF!</v>
      </c>
      <c r="S22" s="88"/>
      <c r="T22" s="41" t="e">
        <f>IF(OR(B22="",L22=""),"",INDEX($B$6:$B$53,MATCH(R22,$Q$6:Q$53,0)))</f>
        <v>#REF!</v>
      </c>
      <c r="U22" s="7" t="e">
        <f t="shared" si="1"/>
        <v>#REF!</v>
      </c>
      <c r="V22" s="78" t="e">
        <f t="shared" si="2"/>
        <v>#REF!</v>
      </c>
      <c r="W22" s="57" t="e">
        <f t="shared" si="3"/>
        <v>#REF!</v>
      </c>
      <c r="X22" s="5" t="e">
        <f>IF(R22="","",IF(AND(U21=U22,V21=V22,W21=W22),X21,$X$6+16))</f>
        <v>#REF!</v>
      </c>
    </row>
    <row r="23" spans="1:24">
      <c r="A23" s="54">
        <v>18</v>
      </c>
      <c r="B23" s="56" t="e">
        <f>+Inscrits!#REF!</f>
        <v>#REF!</v>
      </c>
      <c r="C23" s="7" t="e">
        <f>VLOOKUP(B23,Résultats!$B$10:$E$76,3,0)</f>
        <v>#REF!</v>
      </c>
      <c r="D23" s="7" t="e">
        <f>VLOOKUP(B23,Résultats!$B$10:$E$76,4,0)</f>
        <v>#REF!</v>
      </c>
      <c r="E23" s="7" t="e">
        <f>VLOOKUP(B23,Résultats!$B$10:$E$76,2,0)</f>
        <v>#REF!</v>
      </c>
      <c r="F23" s="7" t="e">
        <f>VLOOKUP(B23,Résultats!$G$10:$J$76,3,0)</f>
        <v>#REF!</v>
      </c>
      <c r="G23" s="7" t="e">
        <f>VLOOKUP(B23,Résultats!$G$10:$J$76,4,0)</f>
        <v>#REF!</v>
      </c>
      <c r="H23" s="7" t="e">
        <f>VLOOKUP(B23,Résultats!$G$10:$J$76,2,0)</f>
        <v>#REF!</v>
      </c>
      <c r="I23" s="7" t="e">
        <f>VLOOKUP(B23,Résultats!$L$10:$O$76,3,0)</f>
        <v>#REF!</v>
      </c>
      <c r="J23" s="78" t="e">
        <f>VLOOKUP(B23,Résultats!$L$10:$O$76,4,0)</f>
        <v>#REF!</v>
      </c>
      <c r="K23" s="78" t="e">
        <f>VLOOKUP(B23,Résultats!$L$10:$O$76,2,0)</f>
        <v>#REF!</v>
      </c>
      <c r="L23" s="85" t="e">
        <f t="shared" si="6"/>
        <v>#REF!</v>
      </c>
      <c r="M23" s="86" t="e">
        <f t="shared" si="7"/>
        <v>#REF!</v>
      </c>
      <c r="N23" s="86" t="e">
        <f t="shared" si="8"/>
        <v>#REF!</v>
      </c>
      <c r="O23" s="41" t="e">
        <f t="shared" si="9"/>
        <v>#REF!</v>
      </c>
      <c r="P23" s="7" t="e">
        <f t="shared" si="10"/>
        <v>#REF!</v>
      </c>
      <c r="Q23" s="93" t="e">
        <f t="shared" si="0"/>
        <v>#REF!</v>
      </c>
      <c r="R23" s="99" t="e">
        <f>IF(B23="","",SMALL(Q$6:Q$53,ROWS(L$6:L23)))</f>
        <v>#REF!</v>
      </c>
      <c r="S23" s="88"/>
      <c r="T23" s="41" t="e">
        <f>IF(OR(B23="",L23=""),"",INDEX($B$6:$B$53,MATCH(R23,$Q$6:Q$53,0)))</f>
        <v>#REF!</v>
      </c>
      <c r="U23" s="7" t="e">
        <f t="shared" si="1"/>
        <v>#REF!</v>
      </c>
      <c r="V23" s="78" t="e">
        <f t="shared" si="2"/>
        <v>#REF!</v>
      </c>
      <c r="W23" s="57" t="e">
        <f t="shared" si="3"/>
        <v>#REF!</v>
      </c>
      <c r="X23" s="5" t="e">
        <f>IF(R23="","",IF(AND(U22=U23,V22=V23,W22=W23),X22,$X$6+17))</f>
        <v>#REF!</v>
      </c>
    </row>
    <row r="24" spans="1:24">
      <c r="A24" s="54">
        <v>19</v>
      </c>
      <c r="B24" s="56" t="e">
        <f>+Inscrits!#REF!</f>
        <v>#REF!</v>
      </c>
      <c r="C24" s="7" t="e">
        <f>VLOOKUP(B24,Résultats!$B$10:$E$76,3,0)</f>
        <v>#REF!</v>
      </c>
      <c r="D24" s="7" t="e">
        <f>VLOOKUP(B24,Résultats!$B$10:$E$76,4,0)</f>
        <v>#REF!</v>
      </c>
      <c r="E24" s="7" t="e">
        <f>VLOOKUP(B24,Résultats!$B$10:$E$76,2,0)</f>
        <v>#REF!</v>
      </c>
      <c r="F24" s="7" t="e">
        <f>VLOOKUP(B24,Résultats!$G$10:$J$76,3,0)</f>
        <v>#REF!</v>
      </c>
      <c r="G24" s="7" t="e">
        <f>VLOOKUP(B24,Résultats!$G$10:$J$76,4,0)</f>
        <v>#REF!</v>
      </c>
      <c r="H24" s="7" t="e">
        <f>VLOOKUP(B24,Résultats!$G$10:$J$76,2,0)</f>
        <v>#REF!</v>
      </c>
      <c r="I24" s="7" t="e">
        <f>VLOOKUP(B24,Résultats!$L$10:$O$76,3,0)</f>
        <v>#REF!</v>
      </c>
      <c r="J24" s="78" t="e">
        <f>VLOOKUP(B24,Résultats!$L$10:$O$76,4,0)</f>
        <v>#REF!</v>
      </c>
      <c r="K24" s="78" t="e">
        <f>VLOOKUP(B24,Résultats!$L$10:$O$76,2,0)</f>
        <v>#REF!</v>
      </c>
      <c r="L24" s="85" t="e">
        <f t="shared" si="6"/>
        <v>#REF!</v>
      </c>
      <c r="M24" s="86" t="e">
        <f t="shared" si="7"/>
        <v>#REF!</v>
      </c>
      <c r="N24" s="86" t="e">
        <f t="shared" si="8"/>
        <v>#REF!</v>
      </c>
      <c r="O24" s="41" t="e">
        <f t="shared" si="9"/>
        <v>#REF!</v>
      </c>
      <c r="P24" s="7" t="e">
        <f t="shared" si="10"/>
        <v>#REF!</v>
      </c>
      <c r="Q24" s="93" t="e">
        <f t="shared" si="0"/>
        <v>#REF!</v>
      </c>
      <c r="R24" s="99" t="e">
        <f>IF(B24="","",SMALL(Q$6:Q$53,ROWS(L$6:L24)))</f>
        <v>#REF!</v>
      </c>
      <c r="S24" s="88"/>
      <c r="T24" s="41" t="e">
        <f>IF(OR(B24="",L24=""),"",INDEX($B$6:$B$53,MATCH(R24,$Q$6:Q$53,0)))</f>
        <v>#REF!</v>
      </c>
      <c r="U24" s="7" t="e">
        <f t="shared" si="1"/>
        <v>#REF!</v>
      </c>
      <c r="V24" s="78" t="e">
        <f t="shared" si="2"/>
        <v>#REF!</v>
      </c>
      <c r="W24" s="57" t="e">
        <f t="shared" si="3"/>
        <v>#REF!</v>
      </c>
      <c r="X24" s="5" t="e">
        <f>IF(R24="","",IF(AND(U23=U24,V23=V24,W23=W24),X23,$X$6+18))</f>
        <v>#REF!</v>
      </c>
    </row>
    <row r="25" spans="1:24">
      <c r="A25" s="54">
        <v>20</v>
      </c>
      <c r="B25" s="56" t="e">
        <f>+Inscrits!#REF!</f>
        <v>#REF!</v>
      </c>
      <c r="C25" s="7" t="e">
        <f>VLOOKUP(B25,Résultats!$B$10:$E$76,3,0)</f>
        <v>#REF!</v>
      </c>
      <c r="D25" s="7" t="e">
        <f>VLOOKUP(B25,Résultats!$B$10:$E$76,4,0)</f>
        <v>#REF!</v>
      </c>
      <c r="E25" s="7" t="e">
        <f>VLOOKUP(B25,Résultats!$B$10:$E$76,2,0)</f>
        <v>#REF!</v>
      </c>
      <c r="F25" s="7" t="e">
        <f>VLOOKUP(B25,Résultats!$G$10:$J$76,3,0)</f>
        <v>#REF!</v>
      </c>
      <c r="G25" s="7" t="e">
        <f>VLOOKUP(B25,Résultats!$G$10:$J$76,4,0)</f>
        <v>#REF!</v>
      </c>
      <c r="H25" s="7" t="e">
        <f>VLOOKUP(B25,Résultats!$G$10:$J$76,2,0)</f>
        <v>#REF!</v>
      </c>
      <c r="I25" s="7" t="e">
        <f>VLOOKUP(B25,Résultats!$L$10:$O$76,3,0)</f>
        <v>#REF!</v>
      </c>
      <c r="J25" s="78" t="e">
        <f>VLOOKUP(B25,Résultats!$L$10:$O$76,4,0)</f>
        <v>#REF!</v>
      </c>
      <c r="K25" s="78" t="e">
        <f>VLOOKUP(B25,Résultats!$L$10:$O$76,2,0)</f>
        <v>#REF!</v>
      </c>
      <c r="L25" s="85" t="e">
        <f t="shared" si="6"/>
        <v>#REF!</v>
      </c>
      <c r="M25" s="86" t="e">
        <f t="shared" si="7"/>
        <v>#REF!</v>
      </c>
      <c r="N25" s="86" t="e">
        <f t="shared" si="8"/>
        <v>#REF!</v>
      </c>
      <c r="O25" s="41" t="e">
        <f t="shared" si="9"/>
        <v>#REF!</v>
      </c>
      <c r="P25" s="7" t="e">
        <f t="shared" si="10"/>
        <v>#REF!</v>
      </c>
      <c r="Q25" s="93" t="e">
        <f t="shared" si="0"/>
        <v>#REF!</v>
      </c>
      <c r="R25" s="99" t="e">
        <f>IF(B25="","",SMALL(Q$6:Q$53,ROWS(L$6:L25)))</f>
        <v>#REF!</v>
      </c>
      <c r="S25" s="88"/>
      <c r="T25" s="41" t="e">
        <f>IF(OR(B25="",L25=""),"",INDEX($B$6:$B$53,MATCH(R25,$Q$6:Q$53,0)))</f>
        <v>#REF!</v>
      </c>
      <c r="U25" s="7" t="e">
        <f t="shared" si="1"/>
        <v>#REF!</v>
      </c>
      <c r="V25" s="78" t="e">
        <f t="shared" si="2"/>
        <v>#REF!</v>
      </c>
      <c r="W25" s="57" t="e">
        <f t="shared" si="3"/>
        <v>#REF!</v>
      </c>
      <c r="X25" s="5" t="e">
        <f>IF(R25="","",IF(AND(U24=U25,V24=V25,W24=W25),X24,$X$6+19))</f>
        <v>#REF!</v>
      </c>
    </row>
    <row r="26" spans="1:24">
      <c r="A26" s="54">
        <v>21</v>
      </c>
      <c r="B26" s="56" t="e">
        <f>+Inscrits!#REF!</f>
        <v>#REF!</v>
      </c>
      <c r="C26" s="7" t="e">
        <f>VLOOKUP(B26,Résultats!$B$10:$E$76,3,0)</f>
        <v>#REF!</v>
      </c>
      <c r="D26" s="7" t="e">
        <f>VLOOKUP(B26,Résultats!$B$10:$E$76,4,0)</f>
        <v>#REF!</v>
      </c>
      <c r="E26" s="7" t="e">
        <f>VLOOKUP(B26,Résultats!$B$10:$E$76,2,0)</f>
        <v>#REF!</v>
      </c>
      <c r="F26" s="7" t="e">
        <f>VLOOKUP(B26,Résultats!$G$10:$J$76,3,0)</f>
        <v>#REF!</v>
      </c>
      <c r="G26" s="7" t="e">
        <f>VLOOKUP(B26,Résultats!$G$10:$J$76,4,0)</f>
        <v>#REF!</v>
      </c>
      <c r="H26" s="7" t="e">
        <f>VLOOKUP(B26,Résultats!$G$10:$J$76,2,0)</f>
        <v>#REF!</v>
      </c>
      <c r="I26" s="7" t="e">
        <f>VLOOKUP(B26,Résultats!$L$10:$O$76,3,0)</f>
        <v>#REF!</v>
      </c>
      <c r="J26" s="78" t="e">
        <f>VLOOKUP(B26,Résultats!$L$10:$O$76,4,0)</f>
        <v>#REF!</v>
      </c>
      <c r="K26" s="78" t="e">
        <f>VLOOKUP(B26,Résultats!$L$10:$O$76,2,0)</f>
        <v>#REF!</v>
      </c>
      <c r="L26" s="85" t="e">
        <f t="shared" si="6"/>
        <v>#REF!</v>
      </c>
      <c r="M26" s="86" t="e">
        <f t="shared" si="7"/>
        <v>#REF!</v>
      </c>
      <c r="N26" s="86" t="e">
        <f t="shared" si="8"/>
        <v>#REF!</v>
      </c>
      <c r="O26" s="41" t="e">
        <f t="shared" si="9"/>
        <v>#REF!</v>
      </c>
      <c r="P26" s="7" t="e">
        <f t="shared" si="10"/>
        <v>#REF!</v>
      </c>
      <c r="Q26" s="93" t="e">
        <f t="shared" si="0"/>
        <v>#REF!</v>
      </c>
      <c r="R26" s="99" t="e">
        <f>IF(B26="","",SMALL(Q$6:Q$53,ROWS(L$6:L26)))</f>
        <v>#REF!</v>
      </c>
      <c r="S26" s="88"/>
      <c r="T26" s="41" t="e">
        <f>IF(OR(B26="",L26=""),"",INDEX($B$6:$B$53,MATCH(R26,$Q$6:Q$53,0)))</f>
        <v>#REF!</v>
      </c>
      <c r="U26" s="7" t="e">
        <f t="shared" si="1"/>
        <v>#REF!</v>
      </c>
      <c r="V26" s="78" t="e">
        <f t="shared" si="2"/>
        <v>#REF!</v>
      </c>
      <c r="W26" s="57" t="e">
        <f t="shared" si="3"/>
        <v>#REF!</v>
      </c>
      <c r="X26" s="5" t="e">
        <f>IF(R26="","",IF(AND(U25=U26,V25=V26,W25=W26),X25,$X$6+20))</f>
        <v>#REF!</v>
      </c>
    </row>
    <row r="27" spans="1:24">
      <c r="A27" s="54">
        <v>22</v>
      </c>
      <c r="B27" s="56" t="e">
        <f>+Inscrits!#REF!</f>
        <v>#REF!</v>
      </c>
      <c r="C27" s="7" t="e">
        <f>VLOOKUP(B27,Résultats!$B$10:$E$76,3,0)</f>
        <v>#REF!</v>
      </c>
      <c r="D27" s="7" t="e">
        <f>VLOOKUP(B27,Résultats!$B$10:$E$76,4,0)</f>
        <v>#REF!</v>
      </c>
      <c r="E27" s="7" t="e">
        <f>VLOOKUP(B27,Résultats!$B$10:$E$76,2,0)</f>
        <v>#REF!</v>
      </c>
      <c r="F27" s="7" t="e">
        <f>VLOOKUP(B27,Résultats!$G$10:$J$76,3,0)</f>
        <v>#REF!</v>
      </c>
      <c r="G27" s="7" t="e">
        <f>VLOOKUP(B27,Résultats!$G$10:$J$76,4,0)</f>
        <v>#REF!</v>
      </c>
      <c r="H27" s="7" t="e">
        <f>VLOOKUP(B27,Résultats!$G$10:$J$76,2,0)</f>
        <v>#REF!</v>
      </c>
      <c r="I27" s="7" t="e">
        <f>VLOOKUP(B27,Résultats!$L$10:$O$76,3,0)</f>
        <v>#REF!</v>
      </c>
      <c r="J27" s="78" t="e">
        <f>VLOOKUP(B27,Résultats!$L$10:$O$76,4,0)</f>
        <v>#REF!</v>
      </c>
      <c r="K27" s="78" t="e">
        <f>VLOOKUP(B27,Résultats!$L$10:$O$76,2,0)</f>
        <v>#REF!</v>
      </c>
      <c r="L27" s="85" t="e">
        <f t="shared" si="6"/>
        <v>#REF!</v>
      </c>
      <c r="M27" s="86" t="e">
        <f t="shared" si="7"/>
        <v>#REF!</v>
      </c>
      <c r="N27" s="86" t="e">
        <f t="shared" si="8"/>
        <v>#REF!</v>
      </c>
      <c r="O27" s="41" t="e">
        <f t="shared" si="9"/>
        <v>#REF!</v>
      </c>
      <c r="P27" s="7" t="e">
        <f t="shared" si="10"/>
        <v>#REF!</v>
      </c>
      <c r="Q27" s="93" t="e">
        <f t="shared" si="0"/>
        <v>#REF!</v>
      </c>
      <c r="R27" s="99" t="e">
        <f>IF(B27="","",SMALL(Q$6:Q$53,ROWS(L$6:L27)))</f>
        <v>#REF!</v>
      </c>
      <c r="S27" s="88"/>
      <c r="T27" s="41" t="e">
        <f>IF(OR(B27="",L27=""),"",INDEX($B$6:$B$53,MATCH(R27,$Q$6:Q$53,0)))</f>
        <v>#REF!</v>
      </c>
      <c r="U27" s="7" t="e">
        <f t="shared" si="1"/>
        <v>#REF!</v>
      </c>
      <c r="V27" s="78" t="e">
        <f t="shared" si="2"/>
        <v>#REF!</v>
      </c>
      <c r="W27" s="57" t="e">
        <f t="shared" si="3"/>
        <v>#REF!</v>
      </c>
      <c r="X27" s="5" t="e">
        <f>IF(R27="","",IF(AND(U26=U27,V26=V27,W26=W27),X26,$X$6+21))</f>
        <v>#REF!</v>
      </c>
    </row>
    <row r="28" spans="1:24">
      <c r="A28" s="54">
        <v>23</v>
      </c>
      <c r="B28" s="56" t="e">
        <f>+Inscrits!#REF!</f>
        <v>#REF!</v>
      </c>
      <c r="C28" s="7" t="e">
        <f>VLOOKUP(B28,Résultats!$B$10:$E$76,3,0)</f>
        <v>#REF!</v>
      </c>
      <c r="D28" s="7" t="e">
        <f>VLOOKUP(B28,Résultats!$B$10:$E$76,4,0)</f>
        <v>#REF!</v>
      </c>
      <c r="E28" s="7" t="e">
        <f>VLOOKUP(B28,Résultats!$B$10:$E$76,2,0)</f>
        <v>#REF!</v>
      </c>
      <c r="F28" s="7" t="e">
        <f>VLOOKUP(B28,Résultats!$G$10:$J$76,3,0)</f>
        <v>#REF!</v>
      </c>
      <c r="G28" s="7" t="e">
        <f>VLOOKUP(B28,Résultats!$G$10:$J$76,4,0)</f>
        <v>#REF!</v>
      </c>
      <c r="H28" s="7" t="e">
        <f>VLOOKUP(B28,Résultats!$G$10:$J$76,2,0)</f>
        <v>#REF!</v>
      </c>
      <c r="I28" s="7" t="e">
        <f>VLOOKUP(B28,Résultats!$L$10:$O$76,3,0)</f>
        <v>#REF!</v>
      </c>
      <c r="J28" s="78" t="e">
        <f>VLOOKUP(B28,Résultats!$L$10:$O$76,4,0)</f>
        <v>#REF!</v>
      </c>
      <c r="K28" s="78" t="e">
        <f>VLOOKUP(B28,Résultats!$L$10:$O$76,2,0)</f>
        <v>#REF!</v>
      </c>
      <c r="L28" s="85" t="e">
        <f t="shared" si="6"/>
        <v>#REF!</v>
      </c>
      <c r="M28" s="86" t="e">
        <f t="shared" si="7"/>
        <v>#REF!</v>
      </c>
      <c r="N28" s="86" t="e">
        <f t="shared" si="8"/>
        <v>#REF!</v>
      </c>
      <c r="O28" s="41" t="e">
        <f t="shared" si="9"/>
        <v>#REF!</v>
      </c>
      <c r="P28" s="7" t="e">
        <f t="shared" si="10"/>
        <v>#REF!</v>
      </c>
      <c r="Q28" s="93" t="e">
        <f t="shared" si="0"/>
        <v>#REF!</v>
      </c>
      <c r="R28" s="99" t="e">
        <f>IF(B28="","",SMALL(Q$6:Q$53,ROWS(L$6:L28)))</f>
        <v>#REF!</v>
      </c>
      <c r="S28" s="88"/>
      <c r="T28" s="41" t="e">
        <f>IF(OR(B28="",L28=""),"",INDEX($B$6:$B$53,MATCH(R28,$Q$6:Q$53,0)))</f>
        <v>#REF!</v>
      </c>
      <c r="U28" s="7" t="e">
        <f t="shared" si="1"/>
        <v>#REF!</v>
      </c>
      <c r="V28" s="78" t="e">
        <f t="shared" si="2"/>
        <v>#REF!</v>
      </c>
      <c r="W28" s="57" t="e">
        <f t="shared" si="3"/>
        <v>#REF!</v>
      </c>
      <c r="X28" s="5" t="e">
        <f>IF(R28="","",IF(AND(U27=U28,V27=V28,W27=W28),X27,$X$6+22))</f>
        <v>#REF!</v>
      </c>
    </row>
    <row r="29" spans="1:24">
      <c r="A29" s="54">
        <v>24</v>
      </c>
      <c r="B29" s="56" t="e">
        <f>+Inscrits!#REF!</f>
        <v>#REF!</v>
      </c>
      <c r="C29" s="7" t="e">
        <f>VLOOKUP(B29,Résultats!$B$10:$E$76,3,0)</f>
        <v>#REF!</v>
      </c>
      <c r="D29" s="7" t="e">
        <f>VLOOKUP(B29,Résultats!$B$10:$E$76,4,0)</f>
        <v>#REF!</v>
      </c>
      <c r="E29" s="7" t="e">
        <f>VLOOKUP(B29,Résultats!$B$10:$E$76,2,0)</f>
        <v>#REF!</v>
      </c>
      <c r="F29" s="7" t="e">
        <f>VLOOKUP(B29,Résultats!$G$10:$J$76,3,0)</f>
        <v>#REF!</v>
      </c>
      <c r="G29" s="7" t="e">
        <f>VLOOKUP(B29,Résultats!$G$10:$J$76,4,0)</f>
        <v>#REF!</v>
      </c>
      <c r="H29" s="7" t="e">
        <f>VLOOKUP(B29,Résultats!$G$10:$J$76,2,0)</f>
        <v>#REF!</v>
      </c>
      <c r="I29" s="7" t="e">
        <f>VLOOKUP(B29,Résultats!$L$10:$O$76,3,0)</f>
        <v>#REF!</v>
      </c>
      <c r="J29" s="78" t="e">
        <f>VLOOKUP(B29,Résultats!$L$10:$O$76,4,0)</f>
        <v>#REF!</v>
      </c>
      <c r="K29" s="78" t="e">
        <f>VLOOKUP(B29,Résultats!$L$10:$O$76,2,0)</f>
        <v>#REF!</v>
      </c>
      <c r="L29" s="85" t="e">
        <f t="shared" si="6"/>
        <v>#REF!</v>
      </c>
      <c r="M29" s="86" t="e">
        <f t="shared" si="7"/>
        <v>#REF!</v>
      </c>
      <c r="N29" s="86" t="e">
        <f t="shared" si="8"/>
        <v>#REF!</v>
      </c>
      <c r="O29" s="41" t="e">
        <f t="shared" si="9"/>
        <v>#REF!</v>
      </c>
      <c r="P29" s="7" t="e">
        <f t="shared" si="10"/>
        <v>#REF!</v>
      </c>
      <c r="Q29" s="93" t="e">
        <f t="shared" si="0"/>
        <v>#REF!</v>
      </c>
      <c r="R29" s="99" t="e">
        <f>IF(B29="","",SMALL(Q$6:Q$53,ROWS(L$6:L29)))</f>
        <v>#REF!</v>
      </c>
      <c r="S29" s="88"/>
      <c r="T29" s="41" t="e">
        <f>IF(OR(B29="",L29=""),"",INDEX($B$6:$B$53,MATCH(R29,$Q$6:Q$53,0)))</f>
        <v>#REF!</v>
      </c>
      <c r="U29" s="7" t="e">
        <f t="shared" si="1"/>
        <v>#REF!</v>
      </c>
      <c r="V29" s="78" t="e">
        <f t="shared" si="2"/>
        <v>#REF!</v>
      </c>
      <c r="W29" s="57" t="e">
        <f t="shared" si="3"/>
        <v>#REF!</v>
      </c>
      <c r="X29" s="5" t="e">
        <f>IF(R29="","",IF(AND(U28=U29,V28=V29,W28=W29),X28,$X$6+23))</f>
        <v>#REF!</v>
      </c>
    </row>
    <row r="30" spans="1:24">
      <c r="A30" s="54">
        <v>25</v>
      </c>
      <c r="B30" s="56" t="e">
        <f>+Inscrits!#REF!</f>
        <v>#REF!</v>
      </c>
      <c r="C30" s="7" t="e">
        <f>VLOOKUP(B30,Résultats!$B$10:$E$76,3,0)</f>
        <v>#REF!</v>
      </c>
      <c r="D30" s="7" t="e">
        <f>VLOOKUP(B30,Résultats!$B$10:$E$76,4,0)</f>
        <v>#REF!</v>
      </c>
      <c r="E30" s="7" t="e">
        <f>VLOOKUP(B30,Résultats!$B$10:$E$76,2,0)</f>
        <v>#REF!</v>
      </c>
      <c r="F30" s="7" t="e">
        <f>VLOOKUP(B30,Résultats!$G$10:$J$76,3,0)</f>
        <v>#REF!</v>
      </c>
      <c r="G30" s="7" t="e">
        <f>VLOOKUP(B30,Résultats!$G$10:$J$76,4,0)</f>
        <v>#REF!</v>
      </c>
      <c r="H30" s="7" t="e">
        <f>VLOOKUP(B30,Résultats!$G$10:$J$76,2,0)</f>
        <v>#REF!</v>
      </c>
      <c r="I30" s="7" t="e">
        <f>VLOOKUP(B30,Résultats!$L$10:$O$76,3,0)</f>
        <v>#REF!</v>
      </c>
      <c r="J30" s="78" t="e">
        <f>VLOOKUP(B30,Résultats!$L$10:$O$76,4,0)</f>
        <v>#REF!</v>
      </c>
      <c r="K30" s="78" t="e">
        <f>VLOOKUP(B30,Résultats!$L$10:$O$76,2,0)</f>
        <v>#REF!</v>
      </c>
      <c r="L30" s="85" t="e">
        <f t="shared" si="6"/>
        <v>#REF!</v>
      </c>
      <c r="M30" s="86" t="e">
        <f t="shared" si="7"/>
        <v>#REF!</v>
      </c>
      <c r="N30" s="86" t="e">
        <f t="shared" si="8"/>
        <v>#REF!</v>
      </c>
      <c r="O30" s="41" t="e">
        <f t="shared" si="9"/>
        <v>#REF!</v>
      </c>
      <c r="P30" s="7" t="e">
        <f t="shared" si="10"/>
        <v>#REF!</v>
      </c>
      <c r="Q30" s="93" t="e">
        <f t="shared" si="0"/>
        <v>#REF!</v>
      </c>
      <c r="R30" s="99" t="e">
        <f>IF(B30="","",SMALL(Q$6:Q$53,ROWS(L$6:L30)))</f>
        <v>#REF!</v>
      </c>
      <c r="S30" s="88"/>
      <c r="T30" s="41" t="e">
        <f>IF(OR(B30="",L30=""),"",INDEX($B$6:$B$53,MATCH(R30,$Q$6:Q$53,0)))</f>
        <v>#REF!</v>
      </c>
      <c r="U30" s="7" t="e">
        <f t="shared" si="1"/>
        <v>#REF!</v>
      </c>
      <c r="V30" s="78" t="e">
        <f t="shared" si="2"/>
        <v>#REF!</v>
      </c>
      <c r="W30" s="57" t="e">
        <f t="shared" si="3"/>
        <v>#REF!</v>
      </c>
      <c r="X30" s="5" t="e">
        <f>IF(R30="","",IF(AND(U29=U30,V29=V30,W29=W30),X29,$X$6+24))</f>
        <v>#REF!</v>
      </c>
    </row>
    <row r="31" spans="1:24">
      <c r="A31" s="54">
        <v>26</v>
      </c>
      <c r="B31" s="56" t="e">
        <f>+Inscrits!#REF!</f>
        <v>#REF!</v>
      </c>
      <c r="C31" s="7" t="e">
        <f>VLOOKUP(B31,Résultats!$B$10:$E$76,3,0)</f>
        <v>#REF!</v>
      </c>
      <c r="D31" s="7" t="e">
        <f>VLOOKUP(B31,Résultats!$B$10:$E$76,4,0)</f>
        <v>#REF!</v>
      </c>
      <c r="E31" s="7" t="e">
        <f>VLOOKUP(B31,Résultats!$B$10:$E$76,2,0)</f>
        <v>#REF!</v>
      </c>
      <c r="F31" s="7" t="e">
        <f>VLOOKUP(B31,Résultats!$G$10:$J$76,3,0)</f>
        <v>#REF!</v>
      </c>
      <c r="G31" s="7" t="e">
        <f>VLOOKUP(B31,Résultats!$G$10:$J$76,4,0)</f>
        <v>#REF!</v>
      </c>
      <c r="H31" s="7" t="e">
        <f>VLOOKUP(B31,Résultats!$G$10:$J$76,2,0)</f>
        <v>#REF!</v>
      </c>
      <c r="I31" s="7" t="e">
        <f>VLOOKUP(B31,Résultats!$L$10:$O$76,3,0)</f>
        <v>#REF!</v>
      </c>
      <c r="J31" s="78" t="e">
        <f>VLOOKUP(B31,Résultats!$L$10:$O$76,4,0)</f>
        <v>#REF!</v>
      </c>
      <c r="K31" s="78" t="e">
        <f>VLOOKUP(B31,Résultats!$L$10:$O$76,2,0)</f>
        <v>#REF!</v>
      </c>
      <c r="L31" s="85" t="e">
        <f t="shared" si="6"/>
        <v>#REF!</v>
      </c>
      <c r="M31" s="86" t="e">
        <f t="shared" si="7"/>
        <v>#REF!</v>
      </c>
      <c r="N31" s="86" t="e">
        <f t="shared" si="8"/>
        <v>#REF!</v>
      </c>
      <c r="O31" s="41" t="e">
        <f t="shared" si="9"/>
        <v>#REF!</v>
      </c>
      <c r="P31" s="7" t="e">
        <f t="shared" si="10"/>
        <v>#REF!</v>
      </c>
      <c r="Q31" s="93" t="e">
        <f t="shared" si="0"/>
        <v>#REF!</v>
      </c>
      <c r="R31" s="99" t="e">
        <f>IF(B31="","",SMALL(Q$6:Q$53,ROWS(L$6:L31)))</f>
        <v>#REF!</v>
      </c>
      <c r="S31" s="88"/>
      <c r="T31" s="41" t="e">
        <f>IF(OR(B31="",L31=""),"",INDEX($B$6:$B$53,MATCH(R31,$Q$6:Q$53,0)))</f>
        <v>#REF!</v>
      </c>
      <c r="U31" s="7" t="e">
        <f t="shared" si="1"/>
        <v>#REF!</v>
      </c>
      <c r="V31" s="78" t="e">
        <f t="shared" si="2"/>
        <v>#REF!</v>
      </c>
      <c r="W31" s="57" t="e">
        <f t="shared" si="3"/>
        <v>#REF!</v>
      </c>
      <c r="X31" s="5" t="e">
        <f>IF(R31="","",IF(AND(U30=U31,V30=V31,W30=W31),X30,$X$6+25))</f>
        <v>#REF!</v>
      </c>
    </row>
    <row r="32" spans="1:24">
      <c r="A32" s="54">
        <v>27</v>
      </c>
      <c r="B32" s="56" t="e">
        <f>+Inscrits!#REF!</f>
        <v>#REF!</v>
      </c>
      <c r="C32" s="7" t="e">
        <f>VLOOKUP(B32,Résultats!$B$10:$E$76,3,0)</f>
        <v>#REF!</v>
      </c>
      <c r="D32" s="7" t="e">
        <f>VLOOKUP(B32,Résultats!$B$10:$E$76,4,0)</f>
        <v>#REF!</v>
      </c>
      <c r="E32" s="7" t="e">
        <f>VLOOKUP(B32,Résultats!$B$10:$E$76,2,0)</f>
        <v>#REF!</v>
      </c>
      <c r="F32" s="7" t="e">
        <f>VLOOKUP(B32,Résultats!$G$10:$J$76,3,0)</f>
        <v>#REF!</v>
      </c>
      <c r="G32" s="7" t="e">
        <f>VLOOKUP(B32,Résultats!$G$10:$J$76,4,0)</f>
        <v>#REF!</v>
      </c>
      <c r="H32" s="7" t="e">
        <f>VLOOKUP(B32,Résultats!$G$10:$J$76,2,0)</f>
        <v>#REF!</v>
      </c>
      <c r="I32" s="7" t="e">
        <f>VLOOKUP(B32,Résultats!$L$10:$O$76,3,0)</f>
        <v>#REF!</v>
      </c>
      <c r="J32" s="78" t="e">
        <f>VLOOKUP(B32,Résultats!$L$10:$O$76,4,0)</f>
        <v>#REF!</v>
      </c>
      <c r="K32" s="78" t="e">
        <f>VLOOKUP(B32,Résultats!$L$10:$O$76,2,0)</f>
        <v>#REF!</v>
      </c>
      <c r="L32" s="85" t="e">
        <f t="shared" si="6"/>
        <v>#REF!</v>
      </c>
      <c r="M32" s="86" t="e">
        <f t="shared" si="7"/>
        <v>#REF!</v>
      </c>
      <c r="N32" s="86" t="e">
        <f t="shared" si="8"/>
        <v>#REF!</v>
      </c>
      <c r="O32" s="41" t="e">
        <f t="shared" si="9"/>
        <v>#REF!</v>
      </c>
      <c r="P32" s="7" t="e">
        <f t="shared" si="10"/>
        <v>#REF!</v>
      </c>
      <c r="Q32" s="93" t="e">
        <f t="shared" si="0"/>
        <v>#REF!</v>
      </c>
      <c r="R32" s="99" t="e">
        <f>IF(B32="","",SMALL(Q$6:Q$53,ROWS(L$6:L32)))</f>
        <v>#REF!</v>
      </c>
      <c r="S32" s="88"/>
      <c r="T32" s="41" t="e">
        <f>IF(OR(B32="",L32=""),"",INDEX($B$6:$B$53,MATCH(R32,$Q$6:Q$53,0)))</f>
        <v>#REF!</v>
      </c>
      <c r="U32" s="7" t="e">
        <f t="shared" si="1"/>
        <v>#REF!</v>
      </c>
      <c r="V32" s="78" t="e">
        <f t="shared" si="2"/>
        <v>#REF!</v>
      </c>
      <c r="W32" s="57" t="e">
        <f t="shared" si="3"/>
        <v>#REF!</v>
      </c>
      <c r="X32" s="5" t="e">
        <f>IF(R32="","",IF(AND(U31=U32,V31=V32,W31=W32),X31,$X$6+26))</f>
        <v>#REF!</v>
      </c>
    </row>
    <row r="33" spans="1:24">
      <c r="A33" s="54">
        <v>28</v>
      </c>
      <c r="B33" s="56" t="e">
        <f>+Inscrits!#REF!</f>
        <v>#REF!</v>
      </c>
      <c r="C33" s="7" t="e">
        <f>VLOOKUP(B33,Résultats!$B$10:$E$76,3,0)</f>
        <v>#REF!</v>
      </c>
      <c r="D33" s="7" t="e">
        <f>VLOOKUP(B33,Résultats!$B$10:$E$76,4,0)</f>
        <v>#REF!</v>
      </c>
      <c r="E33" s="7" t="e">
        <f>VLOOKUP(B33,Résultats!$B$10:$E$76,2,0)</f>
        <v>#REF!</v>
      </c>
      <c r="F33" s="7" t="e">
        <f>VLOOKUP(B33,Résultats!$G$10:$J$76,3,0)</f>
        <v>#REF!</v>
      </c>
      <c r="G33" s="7" t="e">
        <f>VLOOKUP(B33,Résultats!$G$10:$J$76,4,0)</f>
        <v>#REF!</v>
      </c>
      <c r="H33" s="7" t="e">
        <f>VLOOKUP(B33,Résultats!$G$10:$J$76,2,0)</f>
        <v>#REF!</v>
      </c>
      <c r="I33" s="7" t="e">
        <f>VLOOKUP(B33,Résultats!$L$10:$O$76,3,0)</f>
        <v>#REF!</v>
      </c>
      <c r="J33" s="78" t="e">
        <f>VLOOKUP(B33,Résultats!$L$10:$O$76,4,0)</f>
        <v>#REF!</v>
      </c>
      <c r="K33" s="78" t="e">
        <f>VLOOKUP(B33,Résultats!$L$10:$O$76,2,0)</f>
        <v>#REF!</v>
      </c>
      <c r="L33" s="85" t="e">
        <f t="shared" si="6"/>
        <v>#REF!</v>
      </c>
      <c r="M33" s="86" t="e">
        <f t="shared" si="7"/>
        <v>#REF!</v>
      </c>
      <c r="N33" s="86" t="e">
        <f t="shared" si="8"/>
        <v>#REF!</v>
      </c>
      <c r="O33" s="41" t="e">
        <f t="shared" si="9"/>
        <v>#REF!</v>
      </c>
      <c r="P33" s="7" t="e">
        <f t="shared" si="10"/>
        <v>#REF!</v>
      </c>
      <c r="Q33" s="93" t="e">
        <f t="shared" si="0"/>
        <v>#REF!</v>
      </c>
      <c r="R33" s="99" t="e">
        <f>IF(B33="","",SMALL(Q$6:Q$53,ROWS(L$6:L33)))</f>
        <v>#REF!</v>
      </c>
      <c r="S33" s="88"/>
      <c r="T33" s="41" t="e">
        <f>IF(OR(B33="",L33=""),"",INDEX($B$6:$B$53,MATCH(R33,$Q$6:Q$53,0)))</f>
        <v>#REF!</v>
      </c>
      <c r="U33" s="7" t="e">
        <f t="shared" si="1"/>
        <v>#REF!</v>
      </c>
      <c r="V33" s="78" t="e">
        <f t="shared" si="2"/>
        <v>#REF!</v>
      </c>
      <c r="W33" s="57" t="e">
        <f t="shared" si="3"/>
        <v>#REF!</v>
      </c>
      <c r="X33" s="5" t="e">
        <f>IF(R33="","",IF(AND(U32=U33,V32=V33,W32=W33),X32,$X$6+27))</f>
        <v>#REF!</v>
      </c>
    </row>
    <row r="34" spans="1:24">
      <c r="A34" s="54">
        <v>29</v>
      </c>
      <c r="B34" s="56" t="e">
        <f>+Inscrits!#REF!</f>
        <v>#REF!</v>
      </c>
      <c r="C34" s="7" t="e">
        <f>VLOOKUP(B34,Résultats!$B$10:$E$76,3,0)</f>
        <v>#REF!</v>
      </c>
      <c r="D34" s="7" t="e">
        <f>VLOOKUP(B34,Résultats!$B$10:$E$76,4,0)</f>
        <v>#REF!</v>
      </c>
      <c r="E34" s="7" t="e">
        <f>VLOOKUP(B34,Résultats!$B$10:$E$76,2,0)</f>
        <v>#REF!</v>
      </c>
      <c r="F34" s="7" t="e">
        <f>VLOOKUP(B34,Résultats!$G$10:$J$76,3,0)</f>
        <v>#REF!</v>
      </c>
      <c r="G34" s="7" t="e">
        <f>VLOOKUP(B34,Résultats!$G$10:$J$76,4,0)</f>
        <v>#REF!</v>
      </c>
      <c r="H34" s="7" t="e">
        <f>VLOOKUP(B34,Résultats!$G$10:$J$76,2,0)</f>
        <v>#REF!</v>
      </c>
      <c r="I34" s="7" t="e">
        <f>VLOOKUP(B34,Résultats!$L$10:$O$76,3,0)</f>
        <v>#REF!</v>
      </c>
      <c r="J34" s="78" t="e">
        <f>VLOOKUP(B34,Résultats!$L$10:$O$76,4,0)</f>
        <v>#REF!</v>
      </c>
      <c r="K34" s="78" t="e">
        <f>VLOOKUP(B34,Résultats!$L$10:$O$76,2,0)</f>
        <v>#REF!</v>
      </c>
      <c r="L34" s="85" t="e">
        <f t="shared" si="6"/>
        <v>#REF!</v>
      </c>
      <c r="M34" s="86" t="e">
        <f t="shared" si="7"/>
        <v>#REF!</v>
      </c>
      <c r="N34" s="86" t="e">
        <f t="shared" si="8"/>
        <v>#REF!</v>
      </c>
      <c r="O34" s="41" t="e">
        <f t="shared" si="9"/>
        <v>#REF!</v>
      </c>
      <c r="P34" s="7" t="e">
        <f t="shared" si="10"/>
        <v>#REF!</v>
      </c>
      <c r="Q34" s="93" t="e">
        <f t="shared" si="0"/>
        <v>#REF!</v>
      </c>
      <c r="R34" s="99" t="e">
        <f>IF(B34="","",SMALL(Q$6:Q$53,ROWS(L$6:L34)))</f>
        <v>#REF!</v>
      </c>
      <c r="S34" s="88"/>
      <c r="T34" s="41" t="e">
        <f>IF(OR(B34="",L34=""),"",INDEX($B$6:$B$53,MATCH(R34,$Q$6:Q$53,0)))</f>
        <v>#REF!</v>
      </c>
      <c r="U34" s="7" t="e">
        <f t="shared" si="1"/>
        <v>#REF!</v>
      </c>
      <c r="V34" s="78" t="e">
        <f t="shared" si="2"/>
        <v>#REF!</v>
      </c>
      <c r="W34" s="57" t="e">
        <f t="shared" si="3"/>
        <v>#REF!</v>
      </c>
      <c r="X34" s="5" t="e">
        <f>IF(R34="","",IF(AND(U33=U34,V33=V34,W33=W34),X33,$X$6+28))</f>
        <v>#REF!</v>
      </c>
    </row>
    <row r="35" spans="1:24">
      <c r="A35" s="54">
        <v>30</v>
      </c>
      <c r="B35" s="56" t="e">
        <f>+Inscrits!#REF!</f>
        <v>#REF!</v>
      </c>
      <c r="C35" s="7" t="e">
        <f>VLOOKUP(B35,Résultats!$B$10:$E$76,3,0)</f>
        <v>#REF!</v>
      </c>
      <c r="D35" s="7" t="e">
        <f>VLOOKUP(B35,Résultats!$B$10:$E$76,4,0)</f>
        <v>#REF!</v>
      </c>
      <c r="E35" s="7" t="e">
        <f>VLOOKUP(B35,Résultats!$B$10:$E$76,2,0)</f>
        <v>#REF!</v>
      </c>
      <c r="F35" s="7" t="e">
        <f>VLOOKUP(B35,Résultats!$G$10:$J$76,3,0)</f>
        <v>#REF!</v>
      </c>
      <c r="G35" s="7" t="e">
        <f>VLOOKUP(B35,Résultats!$G$10:$J$76,4,0)</f>
        <v>#REF!</v>
      </c>
      <c r="H35" s="7" t="e">
        <f>VLOOKUP(B35,Résultats!$G$10:$J$76,2,0)</f>
        <v>#REF!</v>
      </c>
      <c r="I35" s="7" t="e">
        <f>VLOOKUP(B35,Résultats!$L$10:$O$76,3,0)</f>
        <v>#REF!</v>
      </c>
      <c r="J35" s="78" t="e">
        <f>VLOOKUP(B35,Résultats!$L$10:$O$76,4,0)</f>
        <v>#REF!</v>
      </c>
      <c r="K35" s="78" t="e">
        <f>VLOOKUP(B35,Résultats!$L$10:$O$76,2,0)</f>
        <v>#REF!</v>
      </c>
      <c r="L35" s="85" t="e">
        <f t="shared" si="6"/>
        <v>#REF!</v>
      </c>
      <c r="M35" s="86" t="e">
        <f t="shared" si="7"/>
        <v>#REF!</v>
      </c>
      <c r="N35" s="86" t="e">
        <f t="shared" si="8"/>
        <v>#REF!</v>
      </c>
      <c r="O35" s="41" t="e">
        <f t="shared" si="9"/>
        <v>#REF!</v>
      </c>
      <c r="P35" s="7" t="e">
        <f t="shared" si="10"/>
        <v>#REF!</v>
      </c>
      <c r="Q35" s="93" t="e">
        <f t="shared" si="0"/>
        <v>#REF!</v>
      </c>
      <c r="R35" s="99" t="e">
        <f>IF(B35="","",SMALL(Q$6:Q$53,ROWS(L$6:L35)))</f>
        <v>#REF!</v>
      </c>
      <c r="S35" s="88"/>
      <c r="T35" s="41" t="e">
        <f>IF(OR(B35="",L35=""),"",INDEX($B$6:$B$53,MATCH(R35,$Q$6:Q$53,0)))</f>
        <v>#REF!</v>
      </c>
      <c r="U35" s="7" t="e">
        <f t="shared" si="1"/>
        <v>#REF!</v>
      </c>
      <c r="V35" s="78" t="e">
        <f t="shared" si="2"/>
        <v>#REF!</v>
      </c>
      <c r="W35" s="57" t="e">
        <f t="shared" si="3"/>
        <v>#REF!</v>
      </c>
      <c r="X35" s="5" t="e">
        <f>IF(R35="","",IF(AND(U34=U35,V34=V35,W34=W35),X34,$X$6+29))</f>
        <v>#REF!</v>
      </c>
    </row>
    <row r="36" spans="1:24">
      <c r="A36" s="54">
        <v>31</v>
      </c>
      <c r="B36" s="56" t="e">
        <f>+Inscrits!#REF!</f>
        <v>#REF!</v>
      </c>
      <c r="C36" s="7" t="e">
        <f>VLOOKUP(B36,Résultats!$B$10:$E$76,3,0)</f>
        <v>#REF!</v>
      </c>
      <c r="D36" s="7" t="e">
        <f>VLOOKUP(B36,Résultats!$B$10:$E$76,4,0)</f>
        <v>#REF!</v>
      </c>
      <c r="E36" s="7" t="e">
        <f>VLOOKUP(B36,Résultats!$B$10:$E$76,2,0)</f>
        <v>#REF!</v>
      </c>
      <c r="F36" s="7" t="e">
        <f>VLOOKUP(B36,Résultats!$G$10:$J$76,3,0)</f>
        <v>#REF!</v>
      </c>
      <c r="G36" s="7" t="e">
        <f>VLOOKUP(B36,Résultats!$G$10:$J$76,4,0)</f>
        <v>#REF!</v>
      </c>
      <c r="H36" s="7" t="e">
        <f>VLOOKUP(B36,Résultats!$G$10:$J$76,2,0)</f>
        <v>#REF!</v>
      </c>
      <c r="I36" s="7" t="e">
        <f>VLOOKUP(B36,Résultats!$L$10:$O$76,3,0)</f>
        <v>#REF!</v>
      </c>
      <c r="J36" s="78" t="e">
        <f>VLOOKUP(B36,Résultats!$L$10:$O$76,4,0)</f>
        <v>#REF!</v>
      </c>
      <c r="K36" s="78" t="e">
        <f>VLOOKUP(B36,Résultats!$L$10:$O$76,2,0)</f>
        <v>#REF!</v>
      </c>
      <c r="L36" s="85" t="e">
        <f t="shared" si="6"/>
        <v>#REF!</v>
      </c>
      <c r="M36" s="86" t="e">
        <f t="shared" si="7"/>
        <v>#REF!</v>
      </c>
      <c r="N36" s="86" t="e">
        <f t="shared" si="8"/>
        <v>#REF!</v>
      </c>
      <c r="O36" s="41" t="e">
        <f t="shared" si="9"/>
        <v>#REF!</v>
      </c>
      <c r="P36" s="7" t="e">
        <f t="shared" si="10"/>
        <v>#REF!</v>
      </c>
      <c r="Q36" s="93" t="e">
        <f t="shared" si="0"/>
        <v>#REF!</v>
      </c>
      <c r="R36" s="99" t="e">
        <f>IF(B36="","",SMALL(Q$6:Q$53,ROWS(L$6:L36)))</f>
        <v>#REF!</v>
      </c>
      <c r="S36" s="88"/>
      <c r="T36" s="41" t="e">
        <f>IF(OR(B36="",L36=""),"",INDEX($B$6:$B$53,MATCH(R36,$Q$6:Q$53,0)))</f>
        <v>#REF!</v>
      </c>
      <c r="U36" s="7" t="e">
        <f t="shared" si="1"/>
        <v>#REF!</v>
      </c>
      <c r="V36" s="78" t="e">
        <f t="shared" si="2"/>
        <v>#REF!</v>
      </c>
      <c r="W36" s="57" t="e">
        <f t="shared" si="3"/>
        <v>#REF!</v>
      </c>
      <c r="X36" s="5" t="e">
        <f>IF(R36="","",IF(AND(U35=U36,V35=V36,W35=W36),X35,$X$6+30))</f>
        <v>#REF!</v>
      </c>
    </row>
    <row r="37" spans="1:24">
      <c r="A37" s="54">
        <v>32</v>
      </c>
      <c r="B37" s="56" t="e">
        <f>+Inscrits!#REF!</f>
        <v>#REF!</v>
      </c>
      <c r="C37" s="7" t="e">
        <f>VLOOKUP(B37,Résultats!$B$10:$E$76,3,0)</f>
        <v>#REF!</v>
      </c>
      <c r="D37" s="7" t="e">
        <f>VLOOKUP(B37,Résultats!$B$10:$E$76,4,0)</f>
        <v>#REF!</v>
      </c>
      <c r="E37" s="7" t="e">
        <f>VLOOKUP(B37,Résultats!$B$10:$E$76,2,0)</f>
        <v>#REF!</v>
      </c>
      <c r="F37" s="7" t="e">
        <f>VLOOKUP(B37,Résultats!$G$10:$J$76,3,0)</f>
        <v>#REF!</v>
      </c>
      <c r="G37" s="7" t="e">
        <f>VLOOKUP(B37,Résultats!$G$10:$J$76,4,0)</f>
        <v>#REF!</v>
      </c>
      <c r="H37" s="7" t="e">
        <f>VLOOKUP(B37,Résultats!$G$10:$J$76,2,0)</f>
        <v>#REF!</v>
      </c>
      <c r="I37" s="7" t="e">
        <f>VLOOKUP(B37,Résultats!$L$10:$O$76,3,0)</f>
        <v>#REF!</v>
      </c>
      <c r="J37" s="78" t="e">
        <f>VLOOKUP(B37,Résultats!$L$10:$O$76,4,0)</f>
        <v>#REF!</v>
      </c>
      <c r="K37" s="78" t="e">
        <f>VLOOKUP(B37,Résultats!$L$10:$O$76,2,0)</f>
        <v>#REF!</v>
      </c>
      <c r="L37" s="85" t="e">
        <f t="shared" si="6"/>
        <v>#REF!</v>
      </c>
      <c r="M37" s="86" t="e">
        <f t="shared" si="7"/>
        <v>#REF!</v>
      </c>
      <c r="N37" s="86" t="e">
        <f t="shared" si="8"/>
        <v>#REF!</v>
      </c>
      <c r="O37" s="41" t="e">
        <f t="shared" si="9"/>
        <v>#REF!</v>
      </c>
      <c r="P37" s="7" t="e">
        <f t="shared" si="10"/>
        <v>#REF!</v>
      </c>
      <c r="Q37" s="93" t="e">
        <f t="shared" si="0"/>
        <v>#REF!</v>
      </c>
      <c r="R37" s="99" t="e">
        <f>IF(B37="","",SMALL(Q$6:Q$53,ROWS(L$6:L37)))</f>
        <v>#REF!</v>
      </c>
      <c r="S37" s="88"/>
      <c r="T37" s="41" t="e">
        <f>IF(OR(B37="",L37=""),"",INDEX($B$6:$B$53,MATCH(R37,$Q$6:Q$53,0)))</f>
        <v>#REF!</v>
      </c>
      <c r="U37" s="7" t="e">
        <f t="shared" si="1"/>
        <v>#REF!</v>
      </c>
      <c r="V37" s="78" t="e">
        <f t="shared" si="2"/>
        <v>#REF!</v>
      </c>
      <c r="W37" s="57" t="e">
        <f t="shared" si="3"/>
        <v>#REF!</v>
      </c>
      <c r="X37" s="5" t="e">
        <f>IF(R37="","",IF(AND(U36=U37,V36=V37,W36=W37),X36,$X$6+31))</f>
        <v>#REF!</v>
      </c>
    </row>
    <row r="38" spans="1:24">
      <c r="A38" s="54">
        <v>33</v>
      </c>
      <c r="B38" s="56" t="e">
        <f>+Inscrits!#REF!</f>
        <v>#REF!</v>
      </c>
      <c r="C38" s="7" t="e">
        <f>VLOOKUP(B38,Résultats!$B$10:$E$76,3,0)</f>
        <v>#REF!</v>
      </c>
      <c r="D38" s="7" t="e">
        <f>VLOOKUP(B38,Résultats!$B$10:$E$76,4,0)</f>
        <v>#REF!</v>
      </c>
      <c r="E38" s="7" t="e">
        <f>VLOOKUP(B38,Résultats!$B$10:$E$76,2,0)</f>
        <v>#REF!</v>
      </c>
      <c r="F38" s="7" t="e">
        <f>VLOOKUP(B38,Résultats!$G$10:$J$76,3,0)</f>
        <v>#REF!</v>
      </c>
      <c r="G38" s="7" t="e">
        <f>VLOOKUP(B38,Résultats!$G$10:$J$76,4,0)</f>
        <v>#REF!</v>
      </c>
      <c r="H38" s="7" t="e">
        <f>VLOOKUP(B38,Résultats!$G$10:$J$76,2,0)</f>
        <v>#REF!</v>
      </c>
      <c r="I38" s="7" t="e">
        <f>VLOOKUP(B38,Résultats!$L$10:$O$76,3,0)</f>
        <v>#REF!</v>
      </c>
      <c r="J38" s="78" t="e">
        <f>VLOOKUP(B38,Résultats!$L$10:$O$76,4,0)</f>
        <v>#REF!</v>
      </c>
      <c r="K38" s="78" t="e">
        <f>VLOOKUP(B38,Résultats!$L$10:$O$76,2,0)</f>
        <v>#REF!</v>
      </c>
      <c r="L38" s="85" t="e">
        <f t="shared" si="6"/>
        <v>#REF!</v>
      </c>
      <c r="M38" s="86" t="e">
        <f t="shared" si="7"/>
        <v>#REF!</v>
      </c>
      <c r="N38" s="86" t="e">
        <f t="shared" si="8"/>
        <v>#REF!</v>
      </c>
      <c r="O38" s="41" t="e">
        <f t="shared" si="9"/>
        <v>#REF!</v>
      </c>
      <c r="P38" s="7" t="e">
        <f t="shared" si="10"/>
        <v>#REF!</v>
      </c>
      <c r="Q38" s="93" t="e">
        <f t="shared" si="0"/>
        <v>#REF!</v>
      </c>
      <c r="R38" s="99" t="e">
        <f>IF(B38="","",SMALL(Q$6:Q$53,ROWS(L$6:L38)))</f>
        <v>#REF!</v>
      </c>
      <c r="S38" s="88"/>
      <c r="T38" s="41" t="e">
        <f>IF(OR(B38="",L38=""),"",INDEX($B$6:$B$53,MATCH(R38,$Q$6:Q$53,0)))</f>
        <v>#REF!</v>
      </c>
      <c r="U38" s="7" t="e">
        <f t="shared" si="1"/>
        <v>#REF!</v>
      </c>
      <c r="V38" s="78" t="e">
        <f t="shared" si="2"/>
        <v>#REF!</v>
      </c>
      <c r="W38" s="57" t="e">
        <f t="shared" si="3"/>
        <v>#REF!</v>
      </c>
      <c r="X38" s="5" t="e">
        <f>IF(R38="","",IF(AND(U37=U38,V37=V38,W37=W38),X37,$X$6+32))</f>
        <v>#REF!</v>
      </c>
    </row>
    <row r="39" spans="1:24">
      <c r="A39" s="54">
        <v>34</v>
      </c>
      <c r="B39" s="56" t="e">
        <f>+Inscrits!#REF!</f>
        <v>#REF!</v>
      </c>
      <c r="C39" s="7" t="e">
        <f>VLOOKUP(B39,Résultats!$B$10:$E$76,3,0)</f>
        <v>#REF!</v>
      </c>
      <c r="D39" s="7" t="e">
        <f>VLOOKUP(B39,Résultats!$B$10:$E$76,4,0)</f>
        <v>#REF!</v>
      </c>
      <c r="E39" s="7" t="e">
        <f>VLOOKUP(B39,Résultats!$B$10:$E$76,2,0)</f>
        <v>#REF!</v>
      </c>
      <c r="F39" s="7" t="e">
        <f>VLOOKUP(B39,Résultats!$G$10:$J$76,3,0)</f>
        <v>#REF!</v>
      </c>
      <c r="G39" s="7" t="e">
        <f>VLOOKUP(B39,Résultats!$G$10:$J$76,4,0)</f>
        <v>#REF!</v>
      </c>
      <c r="H39" s="7" t="e">
        <f>VLOOKUP(B39,Résultats!$G$10:$J$76,2,0)</f>
        <v>#REF!</v>
      </c>
      <c r="I39" s="7" t="e">
        <f>VLOOKUP(B39,Résultats!$L$10:$O$76,3,0)</f>
        <v>#REF!</v>
      </c>
      <c r="J39" s="78" t="e">
        <f>VLOOKUP(B39,Résultats!$L$10:$O$76,4,0)</f>
        <v>#REF!</v>
      </c>
      <c r="K39" s="78" t="e">
        <f>VLOOKUP(B39,Résultats!$L$10:$O$76,2,0)</f>
        <v>#REF!</v>
      </c>
      <c r="L39" s="85" t="e">
        <f t="shared" si="6"/>
        <v>#REF!</v>
      </c>
      <c r="M39" s="86" t="e">
        <f t="shared" si="7"/>
        <v>#REF!</v>
      </c>
      <c r="N39" s="86" t="e">
        <f t="shared" si="8"/>
        <v>#REF!</v>
      </c>
      <c r="O39" s="41" t="e">
        <f t="shared" si="9"/>
        <v>#REF!</v>
      </c>
      <c r="P39" s="7" t="e">
        <f t="shared" si="10"/>
        <v>#REF!</v>
      </c>
      <c r="Q39" s="93" t="e">
        <f t="shared" si="0"/>
        <v>#REF!</v>
      </c>
      <c r="R39" s="99" t="e">
        <f>IF(B39="","",SMALL(Q$6:Q$53,ROWS(L$6:L39)))</f>
        <v>#REF!</v>
      </c>
      <c r="S39" s="88"/>
      <c r="T39" s="41" t="e">
        <f>IF(OR(B39="",L39=""),"",INDEX($B$6:$B$53,MATCH(R39,$Q$6:Q$53,0)))</f>
        <v>#REF!</v>
      </c>
      <c r="U39" s="7" t="e">
        <f t="shared" si="1"/>
        <v>#REF!</v>
      </c>
      <c r="V39" s="78" t="e">
        <f t="shared" si="2"/>
        <v>#REF!</v>
      </c>
      <c r="W39" s="57" t="e">
        <f t="shared" si="3"/>
        <v>#REF!</v>
      </c>
      <c r="X39" s="5" t="e">
        <f>IF(R39="","",IF(AND(U38=U39,V38=V39,W38=W39),X38,$X$6+33))</f>
        <v>#REF!</v>
      </c>
    </row>
    <row r="40" spans="1:24">
      <c r="A40" s="54">
        <v>35</v>
      </c>
      <c r="B40" s="56" t="e">
        <f>+Inscrits!#REF!</f>
        <v>#REF!</v>
      </c>
      <c r="C40" s="7" t="e">
        <f>VLOOKUP(B40,Résultats!$B$10:$E$76,3,0)</f>
        <v>#REF!</v>
      </c>
      <c r="D40" s="7" t="e">
        <f>VLOOKUP(B40,Résultats!$B$10:$E$76,4,0)</f>
        <v>#REF!</v>
      </c>
      <c r="E40" s="7" t="e">
        <f>VLOOKUP(B40,Résultats!$B$10:$E$76,2,0)</f>
        <v>#REF!</v>
      </c>
      <c r="F40" s="7" t="e">
        <f>VLOOKUP(B40,Résultats!$G$10:$J$76,3,0)</f>
        <v>#REF!</v>
      </c>
      <c r="G40" s="7" t="e">
        <f>VLOOKUP(B40,Résultats!$G$10:$J$76,4,0)</f>
        <v>#REF!</v>
      </c>
      <c r="H40" s="7" t="e">
        <f>VLOOKUP(B40,Résultats!$G$10:$J$76,2,0)</f>
        <v>#REF!</v>
      </c>
      <c r="I40" s="7" t="e">
        <f>VLOOKUP(B40,Résultats!$L$10:$O$76,3,0)</f>
        <v>#REF!</v>
      </c>
      <c r="J40" s="78" t="e">
        <f>VLOOKUP(B40,Résultats!$L$10:$O$76,4,0)</f>
        <v>#REF!</v>
      </c>
      <c r="K40" s="78" t="e">
        <f>VLOOKUP(B40,Résultats!$L$10:$O$76,2,0)</f>
        <v>#REF!</v>
      </c>
      <c r="L40" s="85" t="e">
        <f t="shared" si="6"/>
        <v>#REF!</v>
      </c>
      <c r="M40" s="86" t="e">
        <f t="shared" si="7"/>
        <v>#REF!</v>
      </c>
      <c r="N40" s="86" t="e">
        <f t="shared" si="8"/>
        <v>#REF!</v>
      </c>
      <c r="O40" s="41" t="e">
        <f t="shared" si="9"/>
        <v>#REF!</v>
      </c>
      <c r="P40" s="7" t="e">
        <f t="shared" si="10"/>
        <v>#REF!</v>
      </c>
      <c r="Q40" s="93" t="e">
        <f t="shared" si="0"/>
        <v>#REF!</v>
      </c>
      <c r="R40" s="99" t="e">
        <f>IF(B40="","",SMALL(Q$6:Q$53,ROWS(L$6:L40)))</f>
        <v>#REF!</v>
      </c>
      <c r="S40" s="88"/>
      <c r="T40" s="41" t="e">
        <f>IF(OR(B40="",L40=""),"",INDEX($B$6:$B$53,MATCH(R40,$Q$6:Q$53,0)))</f>
        <v>#REF!</v>
      </c>
      <c r="U40" s="7" t="e">
        <f t="shared" si="1"/>
        <v>#REF!</v>
      </c>
      <c r="V40" s="78" t="e">
        <f t="shared" si="2"/>
        <v>#REF!</v>
      </c>
      <c r="W40" s="57" t="e">
        <f t="shared" si="3"/>
        <v>#REF!</v>
      </c>
      <c r="X40" s="5" t="e">
        <f>IF(R40="","",IF(AND(U39=U40,V39=V40,W39=W40),X39,$X$6+34))</f>
        <v>#REF!</v>
      </c>
    </row>
    <row r="41" spans="1:24">
      <c r="A41" s="54">
        <v>36</v>
      </c>
      <c r="B41" s="56" t="e">
        <f>+Inscrits!#REF!</f>
        <v>#REF!</v>
      </c>
      <c r="C41" s="7" t="e">
        <f>VLOOKUP(B41,Résultats!$B$10:$E$76,3,0)</f>
        <v>#REF!</v>
      </c>
      <c r="D41" s="7" t="e">
        <f>VLOOKUP(B41,Résultats!$B$10:$E$76,4,0)</f>
        <v>#REF!</v>
      </c>
      <c r="E41" s="7" t="e">
        <f>VLOOKUP(B41,Résultats!$B$10:$E$76,2,0)</f>
        <v>#REF!</v>
      </c>
      <c r="F41" s="7" t="e">
        <f>VLOOKUP(B41,Résultats!$G$10:$J$76,3,0)</f>
        <v>#REF!</v>
      </c>
      <c r="G41" s="7" t="e">
        <f>VLOOKUP(B41,Résultats!$G$10:$J$76,4,0)</f>
        <v>#REF!</v>
      </c>
      <c r="H41" s="7" t="e">
        <f>VLOOKUP(B41,Résultats!$G$10:$J$76,2,0)</f>
        <v>#REF!</v>
      </c>
      <c r="I41" s="7" t="e">
        <f>VLOOKUP(B41,Résultats!$L$10:$O$76,3,0)</f>
        <v>#REF!</v>
      </c>
      <c r="J41" s="78" t="e">
        <f>VLOOKUP(B41,Résultats!$L$10:$O$76,4,0)</f>
        <v>#REF!</v>
      </c>
      <c r="K41" s="78" t="e">
        <f>VLOOKUP(B41,Résultats!$L$10:$O$76,2,0)</f>
        <v>#REF!</v>
      </c>
      <c r="L41" s="85" t="e">
        <f t="shared" si="6"/>
        <v>#REF!</v>
      </c>
      <c r="M41" s="86" t="e">
        <f t="shared" si="7"/>
        <v>#REF!</v>
      </c>
      <c r="N41" s="86" t="e">
        <f t="shared" si="8"/>
        <v>#REF!</v>
      </c>
      <c r="O41" s="41" t="e">
        <f t="shared" si="9"/>
        <v>#REF!</v>
      </c>
      <c r="P41" s="7" t="e">
        <f t="shared" si="10"/>
        <v>#REF!</v>
      </c>
      <c r="Q41" s="93" t="e">
        <f t="shared" si="0"/>
        <v>#REF!</v>
      </c>
      <c r="R41" s="99" t="e">
        <f>IF(B41="","",SMALL(Q$6:Q$53,ROWS(L$6:L41)))</f>
        <v>#REF!</v>
      </c>
      <c r="S41" s="88"/>
      <c r="T41" s="41" t="e">
        <f>IF(OR(B41="",L41=""),"",INDEX($B$6:$B$53,MATCH(R41,$Q$6:Q$53,0)))</f>
        <v>#REF!</v>
      </c>
      <c r="U41" s="7" t="e">
        <f t="shared" si="1"/>
        <v>#REF!</v>
      </c>
      <c r="V41" s="78" t="e">
        <f t="shared" si="2"/>
        <v>#REF!</v>
      </c>
      <c r="W41" s="57" t="e">
        <f t="shared" si="3"/>
        <v>#REF!</v>
      </c>
      <c r="X41" s="5" t="e">
        <f>IF(R41="","",IF(AND(U40=U41,V40=V41,W40=W41),X40,$X$6+35))</f>
        <v>#REF!</v>
      </c>
    </row>
    <row r="42" spans="1:24">
      <c r="A42" s="54">
        <v>37</v>
      </c>
      <c r="B42" s="56" t="e">
        <f>+Inscrits!#REF!</f>
        <v>#REF!</v>
      </c>
      <c r="C42" s="7" t="e">
        <f>VLOOKUP(B42,Résultats!$B$10:$E$76,3,0)</f>
        <v>#REF!</v>
      </c>
      <c r="D42" s="7" t="e">
        <f>VLOOKUP(B42,Résultats!$B$10:$E$76,4,0)</f>
        <v>#REF!</v>
      </c>
      <c r="E42" s="7" t="e">
        <f>VLOOKUP(B42,Résultats!$B$10:$E$76,2,0)</f>
        <v>#REF!</v>
      </c>
      <c r="F42" s="7" t="e">
        <f>VLOOKUP(B42,Résultats!$G$10:$J$76,3,0)</f>
        <v>#REF!</v>
      </c>
      <c r="G42" s="7" t="e">
        <f>VLOOKUP(B42,Résultats!$G$10:$J$76,4,0)</f>
        <v>#REF!</v>
      </c>
      <c r="H42" s="7" t="e">
        <f>VLOOKUP(B42,Résultats!$G$10:$J$76,2,0)</f>
        <v>#REF!</v>
      </c>
      <c r="I42" s="7" t="e">
        <f>VLOOKUP(B42,Résultats!$L$10:$O$76,3,0)</f>
        <v>#REF!</v>
      </c>
      <c r="J42" s="78" t="e">
        <f>VLOOKUP(B42,Résultats!$L$10:$O$76,4,0)</f>
        <v>#REF!</v>
      </c>
      <c r="K42" s="78" t="e">
        <f>VLOOKUP(B42,Résultats!$L$10:$O$76,2,0)</f>
        <v>#REF!</v>
      </c>
      <c r="L42" s="85" t="e">
        <f t="shared" si="6"/>
        <v>#REF!</v>
      </c>
      <c r="M42" s="86" t="e">
        <f t="shared" si="7"/>
        <v>#REF!</v>
      </c>
      <c r="N42" s="86" t="e">
        <f t="shared" si="8"/>
        <v>#REF!</v>
      </c>
      <c r="O42" s="41" t="e">
        <f t="shared" si="9"/>
        <v>#REF!</v>
      </c>
      <c r="P42" s="7" t="e">
        <f t="shared" si="10"/>
        <v>#REF!</v>
      </c>
      <c r="Q42" s="93" t="e">
        <f t="shared" si="0"/>
        <v>#REF!</v>
      </c>
      <c r="R42" s="99" t="e">
        <f>IF(B42="","",SMALL(Q$6:Q$53,ROWS(L$6:L42)))</f>
        <v>#REF!</v>
      </c>
      <c r="S42" s="88"/>
      <c r="T42" s="41" t="e">
        <f>IF(OR(B42="",L42=""),"",INDEX($B$6:$B$53,MATCH(R42,$Q$6:Q$53,0)))</f>
        <v>#REF!</v>
      </c>
      <c r="U42" s="7" t="e">
        <f t="shared" si="1"/>
        <v>#REF!</v>
      </c>
      <c r="V42" s="78" t="e">
        <f t="shared" si="2"/>
        <v>#REF!</v>
      </c>
      <c r="W42" s="57" t="e">
        <f t="shared" si="3"/>
        <v>#REF!</v>
      </c>
      <c r="X42" s="5" t="e">
        <f>IF(R42="","",IF(AND(U41=U42,V41=V42,W41=W42),X41,$X$6+36))</f>
        <v>#REF!</v>
      </c>
    </row>
    <row r="43" spans="1:24">
      <c r="A43" s="54">
        <v>38</v>
      </c>
      <c r="B43" s="56" t="e">
        <f>+Inscrits!#REF!</f>
        <v>#REF!</v>
      </c>
      <c r="C43" s="7" t="e">
        <f>VLOOKUP(B43,Résultats!$B$10:$E$76,3,0)</f>
        <v>#REF!</v>
      </c>
      <c r="D43" s="7" t="e">
        <f>VLOOKUP(B43,Résultats!$B$10:$E$76,4,0)</f>
        <v>#REF!</v>
      </c>
      <c r="E43" s="7" t="e">
        <f>VLOOKUP(B43,Résultats!$B$10:$E$76,2,0)</f>
        <v>#REF!</v>
      </c>
      <c r="F43" s="7" t="e">
        <f>VLOOKUP(B43,Résultats!$G$10:$J$76,3,0)</f>
        <v>#REF!</v>
      </c>
      <c r="G43" s="7" t="e">
        <f>VLOOKUP(B43,Résultats!$G$10:$J$76,4,0)</f>
        <v>#REF!</v>
      </c>
      <c r="H43" s="7" t="e">
        <f>VLOOKUP(B43,Résultats!$G$10:$J$76,2,0)</f>
        <v>#REF!</v>
      </c>
      <c r="I43" s="7" t="e">
        <f>VLOOKUP(B43,Résultats!$L$10:$O$76,3,0)</f>
        <v>#REF!</v>
      </c>
      <c r="J43" s="78" t="e">
        <f>VLOOKUP(B43,Résultats!$L$10:$O$76,4,0)</f>
        <v>#REF!</v>
      </c>
      <c r="K43" s="78" t="e">
        <f>VLOOKUP(B43,Résultats!$L$10:$O$76,2,0)</f>
        <v>#REF!</v>
      </c>
      <c r="L43" s="85" t="e">
        <f t="shared" si="6"/>
        <v>#REF!</v>
      </c>
      <c r="M43" s="86" t="e">
        <f t="shared" si="7"/>
        <v>#REF!</v>
      </c>
      <c r="N43" s="86" t="e">
        <f t="shared" si="8"/>
        <v>#REF!</v>
      </c>
      <c r="O43" s="41" t="e">
        <f t="shared" si="9"/>
        <v>#REF!</v>
      </c>
      <c r="P43" s="7" t="e">
        <f t="shared" si="10"/>
        <v>#REF!</v>
      </c>
      <c r="Q43" s="93" t="e">
        <f t="shared" si="0"/>
        <v>#REF!</v>
      </c>
      <c r="R43" s="99" t="e">
        <f>IF(B43="","",SMALL(Q$6:Q$53,ROWS(L$6:L43)))</f>
        <v>#REF!</v>
      </c>
      <c r="S43" s="88"/>
      <c r="T43" s="41" t="e">
        <f>IF(OR(B43="",L43=""),"",INDEX($B$6:$B$53,MATCH(R43,$Q$6:Q$53,0)))</f>
        <v>#REF!</v>
      </c>
      <c r="U43" s="7" t="e">
        <f t="shared" si="1"/>
        <v>#REF!</v>
      </c>
      <c r="V43" s="78" t="e">
        <f t="shared" si="2"/>
        <v>#REF!</v>
      </c>
      <c r="W43" s="57" t="e">
        <f t="shared" si="3"/>
        <v>#REF!</v>
      </c>
      <c r="X43" s="5" t="e">
        <f>IF(R43="","",IF(AND(U42=U43,V42=V43,W42=W43),X42,$X$6+37))</f>
        <v>#REF!</v>
      </c>
    </row>
    <row r="44" spans="1:24">
      <c r="A44" s="54">
        <v>39</v>
      </c>
      <c r="B44" s="56" t="e">
        <f>+Inscrits!#REF!</f>
        <v>#REF!</v>
      </c>
      <c r="C44" s="7" t="e">
        <f>VLOOKUP(B44,Résultats!$B$10:$E$76,3,0)</f>
        <v>#REF!</v>
      </c>
      <c r="D44" s="7" t="e">
        <f>VLOOKUP(B44,Résultats!$B$10:$E$76,4,0)</f>
        <v>#REF!</v>
      </c>
      <c r="E44" s="7" t="e">
        <f>VLOOKUP(B44,Résultats!$B$10:$E$76,2,0)</f>
        <v>#REF!</v>
      </c>
      <c r="F44" s="7" t="e">
        <f>VLOOKUP(B44,Résultats!$G$10:$J$76,3,0)</f>
        <v>#REF!</v>
      </c>
      <c r="G44" s="7" t="e">
        <f>VLOOKUP(B44,Résultats!$G$10:$J$76,4,0)</f>
        <v>#REF!</v>
      </c>
      <c r="H44" s="7" t="e">
        <f>VLOOKUP(B44,Résultats!$G$10:$J$76,2,0)</f>
        <v>#REF!</v>
      </c>
      <c r="I44" s="7" t="e">
        <f>VLOOKUP(B44,Résultats!$L$10:$O$76,3,0)</f>
        <v>#REF!</v>
      </c>
      <c r="J44" s="78" t="e">
        <f>VLOOKUP(B44,Résultats!$L$10:$O$76,4,0)</f>
        <v>#REF!</v>
      </c>
      <c r="K44" s="78" t="e">
        <f>VLOOKUP(B44,Résultats!$L$10:$O$76,2,0)</f>
        <v>#REF!</v>
      </c>
      <c r="L44" s="85" t="e">
        <f t="shared" ref="L44:L59" si="11">SUMIFS(C44:I44,$C$5:$I$5,"Pts",C44:I44,"&lt;&gt;#N/A")</f>
        <v>#REF!</v>
      </c>
      <c r="M44" s="86" t="e">
        <f t="shared" ref="M44:M59" si="12">SUMIFS(D44:J44,$D$5:$J$5,"GA",D44:J44,"&lt;&gt;#N/A")</f>
        <v>#REF!</v>
      </c>
      <c r="N44" s="86" t="e">
        <f t="shared" ref="N44:N59" si="13">SUMIFS(E44:K44,$E$5:$K$5,"Score",E44:K44,"&lt;&gt;#N/A")</f>
        <v>#REF!</v>
      </c>
      <c r="O44" s="41" t="e">
        <f t="shared" ref="O44:O59" si="14">IF(M44="","",IF(M44&lt;0,M44,0))</f>
        <v>#REF!</v>
      </c>
      <c r="P44" s="7" t="e">
        <f t="shared" ref="P44:P59" si="15">IF(M44="","",IF(M44&gt;0,M44,0))</f>
        <v>#REF!</v>
      </c>
      <c r="Q44" s="93" t="e">
        <f t="shared" si="0"/>
        <v>#REF!</v>
      </c>
      <c r="R44" s="99" t="e">
        <f>IF(B44="","",SMALL(Q$6:Q$53,ROWS(L$6:L44)))</f>
        <v>#REF!</v>
      </c>
      <c r="S44" s="88"/>
      <c r="T44" s="41" t="e">
        <f>IF(OR(B44="",L44=""),"",INDEX($B$6:$B$53,MATCH(R44,$Q$6:Q$53,0)))</f>
        <v>#REF!</v>
      </c>
      <c r="U44" s="7" t="e">
        <f t="shared" si="1"/>
        <v>#REF!</v>
      </c>
      <c r="V44" s="78" t="e">
        <f t="shared" si="2"/>
        <v>#REF!</v>
      </c>
      <c r="W44" s="57" t="e">
        <f t="shared" si="3"/>
        <v>#REF!</v>
      </c>
      <c r="X44" s="5" t="e">
        <f>IF(R44="","",IF(AND(U43=U44,V43=V44,W43=W44),X43,$X$6+38))</f>
        <v>#REF!</v>
      </c>
    </row>
    <row r="45" spans="1:24">
      <c r="A45" s="54">
        <v>40</v>
      </c>
      <c r="B45" s="56" t="e">
        <f>+Inscrits!#REF!</f>
        <v>#REF!</v>
      </c>
      <c r="C45" s="7" t="e">
        <f>VLOOKUP(B45,Résultats!$B$10:$E$76,3,0)</f>
        <v>#REF!</v>
      </c>
      <c r="D45" s="7" t="e">
        <f>VLOOKUP(B45,Résultats!$B$10:$E$76,4,0)</f>
        <v>#REF!</v>
      </c>
      <c r="E45" s="7" t="e">
        <f>VLOOKUP(B45,Résultats!$B$10:$E$76,2,0)</f>
        <v>#REF!</v>
      </c>
      <c r="F45" s="7" t="e">
        <f>VLOOKUP(B45,Résultats!$G$10:$J$76,3,0)</f>
        <v>#REF!</v>
      </c>
      <c r="G45" s="7" t="e">
        <f>VLOOKUP(B45,Résultats!$G$10:$J$76,4,0)</f>
        <v>#REF!</v>
      </c>
      <c r="H45" s="7" t="e">
        <f>VLOOKUP(B45,Résultats!$G$10:$J$76,2,0)</f>
        <v>#REF!</v>
      </c>
      <c r="I45" s="7" t="e">
        <f>VLOOKUP(B45,Résultats!$L$10:$O$76,3,0)</f>
        <v>#REF!</v>
      </c>
      <c r="J45" s="78" t="e">
        <f>VLOOKUP(B45,Résultats!$L$10:$O$76,4,0)</f>
        <v>#REF!</v>
      </c>
      <c r="K45" s="78" t="e">
        <f>VLOOKUP(B45,Résultats!$L$10:$O$76,2,0)</f>
        <v>#REF!</v>
      </c>
      <c r="L45" s="85" t="e">
        <f t="shared" si="11"/>
        <v>#REF!</v>
      </c>
      <c r="M45" s="86" t="e">
        <f t="shared" si="12"/>
        <v>#REF!</v>
      </c>
      <c r="N45" s="86" t="e">
        <f t="shared" si="13"/>
        <v>#REF!</v>
      </c>
      <c r="O45" s="41" t="e">
        <f t="shared" si="14"/>
        <v>#REF!</v>
      </c>
      <c r="P45" s="7" t="e">
        <f t="shared" si="15"/>
        <v>#REF!</v>
      </c>
      <c r="Q45" s="93" t="e">
        <f t="shared" si="0"/>
        <v>#REF!</v>
      </c>
      <c r="R45" s="99" t="e">
        <f>IF(B45="","",SMALL(Q$6:Q$53,ROWS(L$6:L45)))</f>
        <v>#REF!</v>
      </c>
      <c r="S45" s="88"/>
      <c r="T45" s="41" t="e">
        <f>IF(OR(B45="",L45=""),"",INDEX($B$6:$B$53,MATCH(R45,$Q$6:Q$53,0)))</f>
        <v>#REF!</v>
      </c>
      <c r="U45" s="7" t="e">
        <f t="shared" si="1"/>
        <v>#REF!</v>
      </c>
      <c r="V45" s="78" t="e">
        <f t="shared" si="2"/>
        <v>#REF!</v>
      </c>
      <c r="W45" s="57" t="e">
        <f t="shared" si="3"/>
        <v>#REF!</v>
      </c>
      <c r="X45" s="5" t="e">
        <f>IF(R45="","",IF(AND(U44=U45,V44=V45,W44=W45),X44,$X$6+39))</f>
        <v>#REF!</v>
      </c>
    </row>
    <row r="46" spans="1:24">
      <c r="A46" s="54">
        <v>41</v>
      </c>
      <c r="B46" s="56" t="e">
        <f>+Inscrits!#REF!</f>
        <v>#REF!</v>
      </c>
      <c r="C46" s="7" t="e">
        <f>VLOOKUP(B46,Résultats!$B$10:$E$76,3,0)</f>
        <v>#REF!</v>
      </c>
      <c r="D46" s="7" t="e">
        <f>VLOOKUP(B46,Résultats!$B$10:$E$76,4,0)</f>
        <v>#REF!</v>
      </c>
      <c r="E46" s="7" t="e">
        <f>VLOOKUP(B46,Résultats!$B$10:$E$76,2,0)</f>
        <v>#REF!</v>
      </c>
      <c r="F46" s="7" t="e">
        <f>VLOOKUP(B46,Résultats!$G$10:$J$76,3,0)</f>
        <v>#REF!</v>
      </c>
      <c r="G46" s="7" t="e">
        <f>VLOOKUP(B46,Résultats!$G$10:$J$76,4,0)</f>
        <v>#REF!</v>
      </c>
      <c r="H46" s="7" t="e">
        <f>VLOOKUP(B46,Résultats!$G$10:$J$76,2,0)</f>
        <v>#REF!</v>
      </c>
      <c r="I46" s="7" t="e">
        <f>VLOOKUP(B46,Résultats!$L$10:$O$76,3,0)</f>
        <v>#REF!</v>
      </c>
      <c r="J46" s="78" t="e">
        <f>VLOOKUP(B46,Résultats!$L$10:$O$76,4,0)</f>
        <v>#REF!</v>
      </c>
      <c r="K46" s="78" t="e">
        <f>VLOOKUP(B46,Résultats!$L$10:$O$76,2,0)</f>
        <v>#REF!</v>
      </c>
      <c r="L46" s="85" t="e">
        <f t="shared" si="11"/>
        <v>#REF!</v>
      </c>
      <c r="M46" s="86" t="e">
        <f t="shared" si="12"/>
        <v>#REF!</v>
      </c>
      <c r="N46" s="86" t="e">
        <f t="shared" si="13"/>
        <v>#REF!</v>
      </c>
      <c r="O46" s="41" t="e">
        <f t="shared" si="14"/>
        <v>#REF!</v>
      </c>
      <c r="P46" s="7" t="e">
        <f t="shared" si="15"/>
        <v>#REF!</v>
      </c>
      <c r="Q46" s="93" t="e">
        <f t="shared" si="0"/>
        <v>#REF!</v>
      </c>
      <c r="R46" s="99" t="e">
        <f>IF(B46="","",SMALL(Q$6:Q$53,ROWS(L$6:L46)))</f>
        <v>#REF!</v>
      </c>
      <c r="S46" s="88"/>
      <c r="T46" s="41" t="e">
        <f>IF(OR(B46="",L46=""),"",INDEX($B$6:$B$53,MATCH(R46,$Q$6:Q$53,0)))</f>
        <v>#REF!</v>
      </c>
      <c r="U46" s="7" t="e">
        <f t="shared" si="1"/>
        <v>#REF!</v>
      </c>
      <c r="V46" s="78" t="e">
        <f t="shared" si="2"/>
        <v>#REF!</v>
      </c>
      <c r="W46" s="57" t="e">
        <f t="shared" si="3"/>
        <v>#REF!</v>
      </c>
      <c r="X46" s="5" t="e">
        <f>IF(R46="","",IF(AND(U45=U46,V45=V46,W45=W46),X45,$X$6+40))</f>
        <v>#REF!</v>
      </c>
    </row>
    <row r="47" spans="1:24">
      <c r="A47" s="54">
        <v>42</v>
      </c>
      <c r="B47" s="56" t="e">
        <f>+Inscrits!#REF!</f>
        <v>#REF!</v>
      </c>
      <c r="C47" s="7" t="e">
        <f>VLOOKUP(B47,Résultats!$B$10:$E$76,3,0)</f>
        <v>#REF!</v>
      </c>
      <c r="D47" s="7" t="e">
        <f>VLOOKUP(B47,Résultats!$B$10:$E$76,4,0)</f>
        <v>#REF!</v>
      </c>
      <c r="E47" s="7" t="e">
        <f>VLOOKUP(B47,Résultats!$B$10:$E$76,2,0)</f>
        <v>#REF!</v>
      </c>
      <c r="F47" s="7" t="e">
        <f>VLOOKUP(B47,Résultats!$G$10:$J$76,3,0)</f>
        <v>#REF!</v>
      </c>
      <c r="G47" s="7" t="e">
        <f>VLOOKUP(B47,Résultats!$G$10:$J$76,4,0)</f>
        <v>#REF!</v>
      </c>
      <c r="H47" s="7" t="e">
        <f>VLOOKUP(B47,Résultats!$G$10:$J$76,2,0)</f>
        <v>#REF!</v>
      </c>
      <c r="I47" s="7" t="e">
        <f>VLOOKUP(B47,Résultats!$L$10:$O$76,3,0)</f>
        <v>#REF!</v>
      </c>
      <c r="J47" s="78" t="e">
        <f>VLOOKUP(B47,Résultats!$L$10:$O$76,4,0)</f>
        <v>#REF!</v>
      </c>
      <c r="K47" s="78" t="e">
        <f>VLOOKUP(B47,Résultats!$L$10:$O$76,2,0)</f>
        <v>#REF!</v>
      </c>
      <c r="L47" s="85" t="e">
        <f t="shared" si="11"/>
        <v>#REF!</v>
      </c>
      <c r="M47" s="86" t="e">
        <f t="shared" si="12"/>
        <v>#REF!</v>
      </c>
      <c r="N47" s="86" t="e">
        <f t="shared" si="13"/>
        <v>#REF!</v>
      </c>
      <c r="O47" s="41" t="e">
        <f t="shared" si="14"/>
        <v>#REF!</v>
      </c>
      <c r="P47" s="7" t="e">
        <f t="shared" si="15"/>
        <v>#REF!</v>
      </c>
      <c r="Q47" s="93" t="e">
        <f t="shared" si="0"/>
        <v>#REF!</v>
      </c>
      <c r="R47" s="99" t="e">
        <f>IF(B47="","",SMALL(Q$6:Q$53,ROWS(L$6:L47)))</f>
        <v>#REF!</v>
      </c>
      <c r="S47" s="88"/>
      <c r="T47" s="41" t="e">
        <f>IF(OR(B47="",L47=""),"",INDEX($B$6:$B$53,MATCH(R47,$Q$6:Q$53,0)))</f>
        <v>#REF!</v>
      </c>
      <c r="U47" s="7" t="e">
        <f t="shared" si="1"/>
        <v>#REF!</v>
      </c>
      <c r="V47" s="78" t="e">
        <f t="shared" si="2"/>
        <v>#REF!</v>
      </c>
      <c r="W47" s="57" t="e">
        <f t="shared" si="3"/>
        <v>#REF!</v>
      </c>
      <c r="X47" s="5" t="e">
        <f>IF(R47="","",IF(AND(U46=U47,V46=V47,W46=W47),X46,$X$6+41))</f>
        <v>#REF!</v>
      </c>
    </row>
    <row r="48" spans="1:24">
      <c r="A48" s="54">
        <v>43</v>
      </c>
      <c r="B48" s="56" t="e">
        <f>+Inscrits!#REF!</f>
        <v>#REF!</v>
      </c>
      <c r="C48" s="7" t="e">
        <f>VLOOKUP(B48,Résultats!$B$10:$E$76,3,0)</f>
        <v>#REF!</v>
      </c>
      <c r="D48" s="7" t="e">
        <f>VLOOKUP(B48,Résultats!$B$10:$E$76,4,0)</f>
        <v>#REF!</v>
      </c>
      <c r="E48" s="7" t="e">
        <f>VLOOKUP(B48,Résultats!$B$10:$E$76,2,0)</f>
        <v>#REF!</v>
      </c>
      <c r="F48" s="7" t="e">
        <f>VLOOKUP(B48,Résultats!$G$10:$J$76,3,0)</f>
        <v>#REF!</v>
      </c>
      <c r="G48" s="7" t="e">
        <f>VLOOKUP(B48,Résultats!$G$10:$J$76,4,0)</f>
        <v>#REF!</v>
      </c>
      <c r="H48" s="7" t="e">
        <f>VLOOKUP(B48,Résultats!$G$10:$J$76,2,0)</f>
        <v>#REF!</v>
      </c>
      <c r="I48" s="7" t="e">
        <f>VLOOKUP(B48,Résultats!$L$10:$O$76,3,0)</f>
        <v>#REF!</v>
      </c>
      <c r="J48" s="78" t="e">
        <f>VLOOKUP(B48,Résultats!$L$10:$O$76,4,0)</f>
        <v>#REF!</v>
      </c>
      <c r="K48" s="78" t="e">
        <f>VLOOKUP(B48,Résultats!$L$10:$O$76,2,0)</f>
        <v>#REF!</v>
      </c>
      <c r="L48" s="85" t="e">
        <f t="shared" si="11"/>
        <v>#REF!</v>
      </c>
      <c r="M48" s="86" t="e">
        <f t="shared" si="12"/>
        <v>#REF!</v>
      </c>
      <c r="N48" s="86" t="e">
        <f t="shared" si="13"/>
        <v>#REF!</v>
      </c>
      <c r="O48" s="41" t="e">
        <f t="shared" si="14"/>
        <v>#REF!</v>
      </c>
      <c r="P48" s="7" t="e">
        <f t="shared" si="15"/>
        <v>#REF!</v>
      </c>
      <c r="Q48" s="93" t="e">
        <f t="shared" si="0"/>
        <v>#REF!</v>
      </c>
      <c r="R48" s="99" t="e">
        <f>IF(B48="","",SMALL(Q$6:Q$53,ROWS(L$6:L48)))</f>
        <v>#REF!</v>
      </c>
      <c r="S48" s="88"/>
      <c r="T48" s="41" t="e">
        <f>IF(OR(B48="",L48=""),"",INDEX($B$6:$B$53,MATCH(R48,$Q$6:Q$53,0)))</f>
        <v>#REF!</v>
      </c>
      <c r="U48" s="7" t="e">
        <f t="shared" si="1"/>
        <v>#REF!</v>
      </c>
      <c r="V48" s="78" t="e">
        <f t="shared" si="2"/>
        <v>#REF!</v>
      </c>
      <c r="W48" s="57" t="e">
        <f t="shared" si="3"/>
        <v>#REF!</v>
      </c>
      <c r="X48" s="5" t="e">
        <f>IF(R48="","",IF(AND(U47=U48,V47=V48,W47=W48),X47,$X$6+42))</f>
        <v>#REF!</v>
      </c>
    </row>
    <row r="49" spans="1:24">
      <c r="A49" s="54">
        <v>44</v>
      </c>
      <c r="B49" s="56" t="e">
        <f>+Inscrits!#REF!</f>
        <v>#REF!</v>
      </c>
      <c r="C49" s="7" t="e">
        <f>VLOOKUP(B49,Résultats!$B$10:$E$76,3,0)</f>
        <v>#REF!</v>
      </c>
      <c r="D49" s="7" t="e">
        <f>VLOOKUP(B49,Résultats!$B$10:$E$76,4,0)</f>
        <v>#REF!</v>
      </c>
      <c r="E49" s="7" t="e">
        <f>VLOOKUP(B49,Résultats!$B$10:$E$76,2,0)</f>
        <v>#REF!</v>
      </c>
      <c r="F49" s="7" t="e">
        <f>VLOOKUP(B49,Résultats!$G$10:$J$76,3,0)</f>
        <v>#REF!</v>
      </c>
      <c r="G49" s="7" t="e">
        <f>VLOOKUP(B49,Résultats!$G$10:$J$76,4,0)</f>
        <v>#REF!</v>
      </c>
      <c r="H49" s="7" t="e">
        <f>VLOOKUP(B49,Résultats!$G$10:$J$76,2,0)</f>
        <v>#REF!</v>
      </c>
      <c r="I49" s="7" t="e">
        <f>VLOOKUP(B49,Résultats!$L$10:$O$76,3,0)</f>
        <v>#REF!</v>
      </c>
      <c r="J49" s="78" t="e">
        <f>VLOOKUP(B49,Résultats!$L$10:$O$76,4,0)</f>
        <v>#REF!</v>
      </c>
      <c r="K49" s="78" t="e">
        <f>VLOOKUP(B49,Résultats!$L$10:$O$76,2,0)</f>
        <v>#REF!</v>
      </c>
      <c r="L49" s="85" t="e">
        <f t="shared" si="11"/>
        <v>#REF!</v>
      </c>
      <c r="M49" s="86" t="e">
        <f t="shared" si="12"/>
        <v>#REF!</v>
      </c>
      <c r="N49" s="86" t="e">
        <f t="shared" si="13"/>
        <v>#REF!</v>
      </c>
      <c r="O49" s="41" t="e">
        <f t="shared" si="14"/>
        <v>#REF!</v>
      </c>
      <c r="P49" s="7" t="e">
        <f t="shared" si="15"/>
        <v>#REF!</v>
      </c>
      <c r="Q49" s="93" t="e">
        <f t="shared" si="0"/>
        <v>#REF!</v>
      </c>
      <c r="R49" s="99" t="e">
        <f>IF(B49="","",SMALL(Q$6:Q$53,ROWS(L$6:L49)))</f>
        <v>#REF!</v>
      </c>
      <c r="S49" s="88"/>
      <c r="T49" s="41" t="e">
        <f>IF(OR(B49="",L49=""),"",INDEX($B$6:$B$53,MATCH(R49,$Q$6:Q$53,0)))</f>
        <v>#REF!</v>
      </c>
      <c r="U49" s="7" t="e">
        <f t="shared" si="1"/>
        <v>#REF!</v>
      </c>
      <c r="V49" s="78" t="e">
        <f t="shared" si="2"/>
        <v>#REF!</v>
      </c>
      <c r="W49" s="57" t="e">
        <f t="shared" si="3"/>
        <v>#REF!</v>
      </c>
      <c r="X49" s="5" t="e">
        <f>IF(R49="","",IF(AND(U48=U49,V48=V49,W48=W49),X48,$X$6+43))</f>
        <v>#REF!</v>
      </c>
    </row>
    <row r="50" spans="1:24">
      <c r="A50" s="54">
        <v>45</v>
      </c>
      <c r="B50" s="56" t="e">
        <f>+Inscrits!#REF!</f>
        <v>#REF!</v>
      </c>
      <c r="C50" s="7" t="e">
        <f>VLOOKUP(B50,Résultats!$B$10:$E$76,3,0)</f>
        <v>#REF!</v>
      </c>
      <c r="D50" s="7" t="e">
        <f>VLOOKUP(B50,Résultats!$B$10:$E$76,4,0)</f>
        <v>#REF!</v>
      </c>
      <c r="E50" s="7" t="e">
        <f>VLOOKUP(B50,Résultats!$B$10:$E$76,2,0)</f>
        <v>#REF!</v>
      </c>
      <c r="F50" s="7" t="e">
        <f>VLOOKUP(B50,Résultats!$G$10:$J$76,3,0)</f>
        <v>#REF!</v>
      </c>
      <c r="G50" s="7" t="e">
        <f>VLOOKUP(B50,Résultats!$G$10:$J$76,4,0)</f>
        <v>#REF!</v>
      </c>
      <c r="H50" s="7" t="e">
        <f>VLOOKUP(B50,Résultats!$G$10:$J$76,2,0)</f>
        <v>#REF!</v>
      </c>
      <c r="I50" s="7" t="e">
        <f>VLOOKUP(B50,Résultats!$L$10:$O$76,3,0)</f>
        <v>#REF!</v>
      </c>
      <c r="J50" s="78" t="e">
        <f>VLOOKUP(B50,Résultats!$L$10:$O$76,4,0)</f>
        <v>#REF!</v>
      </c>
      <c r="K50" s="78" t="e">
        <f>VLOOKUP(B50,Résultats!$L$10:$O$76,2,0)</f>
        <v>#REF!</v>
      </c>
      <c r="L50" s="85" t="e">
        <f t="shared" si="11"/>
        <v>#REF!</v>
      </c>
      <c r="M50" s="86" t="e">
        <f t="shared" si="12"/>
        <v>#REF!</v>
      </c>
      <c r="N50" s="86" t="e">
        <f t="shared" si="13"/>
        <v>#REF!</v>
      </c>
      <c r="O50" s="41" t="e">
        <f t="shared" si="14"/>
        <v>#REF!</v>
      </c>
      <c r="P50" s="7" t="e">
        <f t="shared" si="15"/>
        <v>#REF!</v>
      </c>
      <c r="Q50" s="93" t="e">
        <f t="shared" si="0"/>
        <v>#REF!</v>
      </c>
      <c r="R50" s="99" t="e">
        <f>IF(B50="","",SMALL(Q$6:Q$53,ROWS(L$6:L50)))</f>
        <v>#REF!</v>
      </c>
      <c r="S50" s="88"/>
      <c r="T50" s="41" t="e">
        <f>IF(OR(B50="",L50=""),"",INDEX($B$6:$B$53,MATCH(R50,$Q$6:Q$53,0)))</f>
        <v>#REF!</v>
      </c>
      <c r="U50" s="7" t="e">
        <f t="shared" si="1"/>
        <v>#REF!</v>
      </c>
      <c r="V50" s="78" t="e">
        <f t="shared" si="2"/>
        <v>#REF!</v>
      </c>
      <c r="W50" s="57" t="e">
        <f t="shared" si="3"/>
        <v>#REF!</v>
      </c>
      <c r="X50" s="5" t="e">
        <f>IF(R50="","",IF(AND(U49=U50,V49=V50,W49=W50),X49,$X$6+44))</f>
        <v>#REF!</v>
      </c>
    </row>
    <row r="51" spans="1:24">
      <c r="A51" s="54">
        <v>46</v>
      </c>
      <c r="B51" s="56" t="e">
        <f>+Inscrits!#REF!</f>
        <v>#REF!</v>
      </c>
      <c r="C51" s="7" t="e">
        <f>VLOOKUP(B51,Résultats!$B$10:$E$76,3,0)</f>
        <v>#REF!</v>
      </c>
      <c r="D51" s="7" t="e">
        <f>VLOOKUP(B51,Résultats!$B$10:$E$76,4,0)</f>
        <v>#REF!</v>
      </c>
      <c r="E51" s="7" t="e">
        <f>VLOOKUP(B51,Résultats!$B$10:$E$76,2,0)</f>
        <v>#REF!</v>
      </c>
      <c r="F51" s="7" t="e">
        <f>VLOOKUP(B51,Résultats!$G$10:$J$76,3,0)</f>
        <v>#REF!</v>
      </c>
      <c r="G51" s="7" t="e">
        <f>VLOOKUP(B51,Résultats!$G$10:$J$76,4,0)</f>
        <v>#REF!</v>
      </c>
      <c r="H51" s="7" t="e">
        <f>VLOOKUP(B51,Résultats!$G$10:$J$76,2,0)</f>
        <v>#REF!</v>
      </c>
      <c r="I51" s="7" t="e">
        <f>VLOOKUP(B51,Résultats!$L$10:$O$76,3,0)</f>
        <v>#REF!</v>
      </c>
      <c r="J51" s="78" t="e">
        <f>VLOOKUP(B51,Résultats!$L$10:$O$76,4,0)</f>
        <v>#REF!</v>
      </c>
      <c r="K51" s="78" t="e">
        <f>VLOOKUP(B51,Résultats!$L$10:$O$76,2,0)</f>
        <v>#REF!</v>
      </c>
      <c r="L51" s="85" t="e">
        <f t="shared" si="11"/>
        <v>#REF!</v>
      </c>
      <c r="M51" s="86" t="e">
        <f t="shared" si="12"/>
        <v>#REF!</v>
      </c>
      <c r="N51" s="86" t="e">
        <f t="shared" si="13"/>
        <v>#REF!</v>
      </c>
      <c r="O51" s="41" t="e">
        <f t="shared" si="14"/>
        <v>#REF!</v>
      </c>
      <c r="P51" s="7" t="e">
        <f t="shared" si="15"/>
        <v>#REF!</v>
      </c>
      <c r="Q51" s="93" t="e">
        <f t="shared" si="0"/>
        <v>#REF!</v>
      </c>
      <c r="R51" s="99" t="e">
        <f>IF(B51="","",SMALL(Q$6:Q$53,ROWS(L$6:L51)))</f>
        <v>#REF!</v>
      </c>
      <c r="S51" s="88"/>
      <c r="T51" s="41" t="e">
        <f>IF(OR(B51="",L51=""),"",INDEX($B$6:$B$53,MATCH(R51,$Q$6:Q$53,0)))</f>
        <v>#REF!</v>
      </c>
      <c r="U51" s="7" t="e">
        <f t="shared" si="1"/>
        <v>#REF!</v>
      </c>
      <c r="V51" s="78" t="e">
        <f t="shared" si="2"/>
        <v>#REF!</v>
      </c>
      <c r="W51" s="57" t="e">
        <f t="shared" si="3"/>
        <v>#REF!</v>
      </c>
      <c r="X51" s="5" t="e">
        <f>IF(R51="","",IF(AND(U50=U51,V50=V51,W50=W51),X50,$X$6+45))</f>
        <v>#REF!</v>
      </c>
    </row>
    <row r="52" spans="1:24">
      <c r="A52" s="54">
        <v>47</v>
      </c>
      <c r="B52" s="56" t="e">
        <f>+Inscrits!#REF!</f>
        <v>#REF!</v>
      </c>
      <c r="C52" s="7" t="e">
        <f>VLOOKUP(B52,Résultats!$B$10:$E$76,3,0)</f>
        <v>#REF!</v>
      </c>
      <c r="D52" s="7" t="e">
        <f>VLOOKUP(B52,Résultats!$B$10:$E$76,4,0)</f>
        <v>#REF!</v>
      </c>
      <c r="E52" s="7" t="e">
        <f>VLOOKUP(B52,Résultats!$B$10:$E$76,2,0)</f>
        <v>#REF!</v>
      </c>
      <c r="F52" s="7" t="e">
        <f>VLOOKUP(B52,Résultats!$G$10:$J$76,3,0)</f>
        <v>#REF!</v>
      </c>
      <c r="G52" s="7" t="e">
        <f>VLOOKUP(B52,Résultats!$G$10:$J$76,4,0)</f>
        <v>#REF!</v>
      </c>
      <c r="H52" s="7" t="e">
        <f>VLOOKUP(B52,Résultats!$G$10:$J$76,2,0)</f>
        <v>#REF!</v>
      </c>
      <c r="I52" s="7" t="e">
        <f>VLOOKUP(B52,Résultats!$L$10:$O$76,3,0)</f>
        <v>#REF!</v>
      </c>
      <c r="J52" s="78" t="e">
        <f>VLOOKUP(B52,Résultats!$L$10:$O$76,4,0)</f>
        <v>#REF!</v>
      </c>
      <c r="K52" s="78" t="e">
        <f>VLOOKUP(B52,Résultats!$L$10:$O$76,2,0)</f>
        <v>#REF!</v>
      </c>
      <c r="L52" s="85" t="e">
        <f t="shared" si="11"/>
        <v>#REF!</v>
      </c>
      <c r="M52" s="86" t="e">
        <f t="shared" si="12"/>
        <v>#REF!</v>
      </c>
      <c r="N52" s="86" t="e">
        <f t="shared" si="13"/>
        <v>#REF!</v>
      </c>
      <c r="O52" s="41" t="e">
        <f t="shared" si="14"/>
        <v>#REF!</v>
      </c>
      <c r="P52" s="7" t="e">
        <f t="shared" si="15"/>
        <v>#REF!</v>
      </c>
      <c r="Q52" s="93" t="e">
        <f t="shared" si="0"/>
        <v>#REF!</v>
      </c>
      <c r="R52" s="99" t="e">
        <f>IF(B52="","",SMALL(Q$6:Q$53,ROWS(L$6:L52)))</f>
        <v>#REF!</v>
      </c>
      <c r="S52" s="88"/>
      <c r="T52" s="41" t="e">
        <f>IF(OR(B52="",L52=""),"",INDEX($B$6:$B$53,MATCH(R52,$Q$6:Q$53,0)))</f>
        <v>#REF!</v>
      </c>
      <c r="U52" s="7" t="e">
        <f t="shared" si="1"/>
        <v>#REF!</v>
      </c>
      <c r="V52" s="78" t="e">
        <f t="shared" si="2"/>
        <v>#REF!</v>
      </c>
      <c r="W52" s="57" t="e">
        <f t="shared" si="3"/>
        <v>#REF!</v>
      </c>
      <c r="X52" s="5" t="e">
        <f>IF(R52="","",IF(AND(U51=U52,V51=V52,W51=W52),X51,$X$6+46))</f>
        <v>#REF!</v>
      </c>
    </row>
    <row r="53" spans="1:24">
      <c r="A53" s="54">
        <v>48</v>
      </c>
      <c r="B53" s="56" t="e">
        <f>+Inscrits!#REF!</f>
        <v>#REF!</v>
      </c>
      <c r="C53" s="7" t="e">
        <f>VLOOKUP(B53,Résultats!$B$10:$E$76,3,0)</f>
        <v>#REF!</v>
      </c>
      <c r="D53" s="7" t="e">
        <f>VLOOKUP(B53,Résultats!$B$10:$E$76,4,0)</f>
        <v>#REF!</v>
      </c>
      <c r="E53" s="7" t="e">
        <f>VLOOKUP(B53,Résultats!$B$10:$E$76,2,0)</f>
        <v>#REF!</v>
      </c>
      <c r="F53" s="7" t="e">
        <f>VLOOKUP(B53,Résultats!$G$10:$J$76,3,0)</f>
        <v>#REF!</v>
      </c>
      <c r="G53" s="7" t="e">
        <f>VLOOKUP(B53,Résultats!$G$10:$J$76,4,0)</f>
        <v>#REF!</v>
      </c>
      <c r="H53" s="7" t="e">
        <f>VLOOKUP(B53,Résultats!$G$10:$J$76,2,0)</f>
        <v>#REF!</v>
      </c>
      <c r="I53" s="7" t="e">
        <f>VLOOKUP(B53,Résultats!$L$10:$O$76,3,0)</f>
        <v>#REF!</v>
      </c>
      <c r="J53" s="78" t="e">
        <f>VLOOKUP(B53,Résultats!$L$10:$O$76,4,0)</f>
        <v>#REF!</v>
      </c>
      <c r="K53" s="78" t="e">
        <f>VLOOKUP(B53,Résultats!$L$10:$O$76,2,0)</f>
        <v>#REF!</v>
      </c>
      <c r="L53" s="85" t="e">
        <f t="shared" si="11"/>
        <v>#REF!</v>
      </c>
      <c r="M53" s="86" t="e">
        <f t="shared" si="12"/>
        <v>#REF!</v>
      </c>
      <c r="N53" s="86" t="e">
        <f t="shared" si="13"/>
        <v>#REF!</v>
      </c>
      <c r="O53" s="41" t="e">
        <f t="shared" si="14"/>
        <v>#REF!</v>
      </c>
      <c r="P53" s="7" t="e">
        <f t="shared" si="15"/>
        <v>#REF!</v>
      </c>
      <c r="Q53" s="93" t="e">
        <f t="shared" si="0"/>
        <v>#REF!</v>
      </c>
      <c r="R53" s="99" t="e">
        <f>IF(B53="","",SMALL(Q$6:Q$53,ROWS(L$6:L53)))</f>
        <v>#REF!</v>
      </c>
      <c r="S53" s="88"/>
      <c r="T53" s="41" t="e">
        <f>IF(OR(B53="",L53=""),"",INDEX($B$6:$B$53,MATCH(R53,$Q$6:Q$53,0)))</f>
        <v>#REF!</v>
      </c>
      <c r="U53" s="7" t="e">
        <f t="shared" si="1"/>
        <v>#REF!</v>
      </c>
      <c r="V53" s="78" t="e">
        <f t="shared" si="2"/>
        <v>#REF!</v>
      </c>
      <c r="W53" s="57" t="e">
        <f t="shared" si="3"/>
        <v>#REF!</v>
      </c>
      <c r="X53" s="5" t="e">
        <f>IF(R53="","",IF(AND(U52=U53,V52=V53,W52=W53),X52,$X$6+47))</f>
        <v>#REF!</v>
      </c>
    </row>
    <row r="54" spans="1:24">
      <c r="A54" s="54">
        <v>49</v>
      </c>
      <c r="B54" s="56">
        <f>+[1]Inscrits!E21</f>
        <v>0</v>
      </c>
      <c r="C54" s="7">
        <f>VLOOKUP(B54,[1]Résultats!$B$10:$E$136,3,0)</f>
        <v>0</v>
      </c>
      <c r="D54" s="7">
        <f>VLOOKUP(B54,[1]Résultats!$B$10:$E$136,4,0)</f>
        <v>0</v>
      </c>
      <c r="E54" s="7">
        <f>VLOOKUP(B54,[1]Résultats!$B$10:$E$136,2,0)</f>
        <v>0</v>
      </c>
      <c r="F54" s="7">
        <f>VLOOKUP(B54,[1]Résultats!$G$10:$J$136,3,0)</f>
        <v>0</v>
      </c>
      <c r="G54" s="7">
        <f>VLOOKUP(B54,[1]Résultats!$G$10:$J$136,4,0)</f>
        <v>0</v>
      </c>
      <c r="H54" s="7">
        <f>VLOOKUP(B54,[1]Résultats!$G$10:$J$136,2,0)</f>
        <v>0</v>
      </c>
      <c r="I54" s="7">
        <f>VLOOKUP(B54,[1]Résultats!$L$10:$O$136,3,0)</f>
        <v>0</v>
      </c>
      <c r="J54" s="78">
        <f>VLOOKUP(B54,[1]Résultats!$L$10:$O$136,4,0)</f>
        <v>0</v>
      </c>
      <c r="K54" s="78">
        <f>VLOOKUP(B54,[1]Résultats!$L$10:$O$136,2,0)</f>
        <v>0</v>
      </c>
      <c r="L54" s="85">
        <f t="shared" si="11"/>
        <v>0</v>
      </c>
      <c r="M54" s="86">
        <f t="shared" si="12"/>
        <v>0</v>
      </c>
      <c r="N54" s="86">
        <f t="shared" si="13"/>
        <v>0</v>
      </c>
      <c r="O54" s="41">
        <f t="shared" si="14"/>
        <v>0</v>
      </c>
      <c r="P54" s="7">
        <f t="shared" si="15"/>
        <v>0</v>
      </c>
      <c r="Q54" s="93" t="e">
        <f t="shared" ref="Q54:Q59" si="16">IF(OR(B54="",L54="",M54="",N54=""),"",RANK(L54,$L$6:$L$95)+SUM(-M54/1000)-(+N54/1000)+COUNTIF(B$6:B$95,"&lt;="&amp;B54+1)/10000+ROW()/100000)</f>
        <v>#REF!</v>
      </c>
      <c r="R54" s="99" t="e">
        <f>IF(B54="","",SMALL(Q$6:Q$95,ROWS(L$6:L54)))</f>
        <v>#VALUE!</v>
      </c>
      <c r="S54" s="88"/>
      <c r="T54" s="41" t="e">
        <f>IF(OR(B54="",L54=""),"",INDEX($B$6:$B$95,MATCH(R54,$Q$6:Q$95,0)))</f>
        <v>#VALUE!</v>
      </c>
      <c r="U54" s="7" t="e">
        <f t="shared" ref="U54:U59" si="17">IF(B54="","",INDEX($L$6:$L$95,MATCH(R54,$Q$6:$Q$95,0)))</f>
        <v>#VALUE!</v>
      </c>
      <c r="V54" s="78" t="e">
        <f t="shared" ref="V54:V59" si="18">IF(B54="","",INDEX($M$6:$M$95,MATCH(R54,$Q$6:$Q$95,0)))</f>
        <v>#VALUE!</v>
      </c>
      <c r="W54" s="57" t="e">
        <f t="shared" ref="W54:W59" si="19">IF(B54="","",INDEX($N$6:$N$95,MATCH(R54,$Q$6:$Q$95,0)))</f>
        <v>#VALUE!</v>
      </c>
      <c r="X54" s="5" t="e">
        <f>IF(R54="","",IF(AND(U53=U54,V53=V54,W53=W54),X53,$X$6+48))</f>
        <v>#VALUE!</v>
      </c>
    </row>
    <row r="55" spans="1:24">
      <c r="A55" s="54">
        <v>50</v>
      </c>
      <c r="B55" s="56">
        <f>+[1]Inscrits!E22</f>
        <v>0</v>
      </c>
      <c r="C55" s="7">
        <f>VLOOKUP(B55,[1]Résultats!$B$10:$E$136,3,0)</f>
        <v>0</v>
      </c>
      <c r="D55" s="7">
        <f>VLOOKUP(B55,[1]Résultats!$B$10:$E$136,4,0)</f>
        <v>0</v>
      </c>
      <c r="E55" s="7">
        <f>VLOOKUP(B55,[1]Résultats!$B$10:$E$136,2,0)</f>
        <v>0</v>
      </c>
      <c r="F55" s="7">
        <f>VLOOKUP(B55,[1]Résultats!$G$10:$J$136,3,0)</f>
        <v>0</v>
      </c>
      <c r="G55" s="7">
        <f>VLOOKUP(B55,[1]Résultats!$G$10:$J$136,4,0)</f>
        <v>0</v>
      </c>
      <c r="H55" s="7">
        <f>VLOOKUP(B55,[1]Résultats!$G$10:$J$136,2,0)</f>
        <v>0</v>
      </c>
      <c r="I55" s="7">
        <f>VLOOKUP(B55,[1]Résultats!$L$10:$O$136,3,0)</f>
        <v>0</v>
      </c>
      <c r="J55" s="78">
        <f>VLOOKUP(B55,[1]Résultats!$L$10:$O$136,4,0)</f>
        <v>0</v>
      </c>
      <c r="K55" s="78">
        <f>VLOOKUP(B55,[1]Résultats!$L$10:$O$136,2,0)</f>
        <v>0</v>
      </c>
      <c r="L55" s="85">
        <f t="shared" si="11"/>
        <v>0</v>
      </c>
      <c r="M55" s="86">
        <f t="shared" si="12"/>
        <v>0</v>
      </c>
      <c r="N55" s="86">
        <f t="shared" si="13"/>
        <v>0</v>
      </c>
      <c r="O55" s="41">
        <f t="shared" si="14"/>
        <v>0</v>
      </c>
      <c r="P55" s="7">
        <f t="shared" si="15"/>
        <v>0</v>
      </c>
      <c r="Q55" s="93" t="e">
        <f t="shared" si="16"/>
        <v>#REF!</v>
      </c>
      <c r="R55" s="99" t="e">
        <f>IF(B55="","",SMALL(Q$6:Q$95,ROWS(L$6:L55)))</f>
        <v>#VALUE!</v>
      </c>
      <c r="S55" s="88"/>
      <c r="T55" s="41" t="e">
        <f>IF(OR(B55="",L55=""),"",INDEX($B$6:$B$95,MATCH(R55,$Q$6:Q$95,0)))</f>
        <v>#VALUE!</v>
      </c>
      <c r="U55" s="7" t="e">
        <f t="shared" si="17"/>
        <v>#VALUE!</v>
      </c>
      <c r="V55" s="78" t="e">
        <f t="shared" si="18"/>
        <v>#VALUE!</v>
      </c>
      <c r="W55" s="57" t="e">
        <f t="shared" si="19"/>
        <v>#VALUE!</v>
      </c>
      <c r="X55" s="5" t="e">
        <f>IF(R55="","",IF(AND(U54=U55,V54=V55,W54=W55),X54,$X$6+49))</f>
        <v>#VALUE!</v>
      </c>
    </row>
    <row r="56" spans="1:24">
      <c r="A56" s="54">
        <v>51</v>
      </c>
      <c r="B56" s="56">
        <f>+[1]Inscrits!E23</f>
        <v>0</v>
      </c>
      <c r="C56" s="7">
        <f>VLOOKUP(B56,[1]Résultats!$B$10:$E$136,3,0)</f>
        <v>0</v>
      </c>
      <c r="D56" s="7">
        <f>VLOOKUP(B56,[1]Résultats!$B$10:$E$136,4,0)</f>
        <v>0</v>
      </c>
      <c r="E56" s="7">
        <f>VLOOKUP(B56,[1]Résultats!$B$10:$E$136,2,0)</f>
        <v>0</v>
      </c>
      <c r="F56" s="7">
        <f>VLOOKUP(B56,[1]Résultats!$G$10:$J$136,3,0)</f>
        <v>0</v>
      </c>
      <c r="G56" s="7">
        <f>VLOOKUP(B56,[1]Résultats!$G$10:$J$136,4,0)</f>
        <v>0</v>
      </c>
      <c r="H56" s="7">
        <f>VLOOKUP(B56,[1]Résultats!$G$10:$J$136,2,0)</f>
        <v>0</v>
      </c>
      <c r="I56" s="7">
        <f>VLOOKUP(B56,[1]Résultats!$L$10:$O$136,3,0)</f>
        <v>0</v>
      </c>
      <c r="J56" s="78">
        <f>VLOOKUP(B56,[1]Résultats!$L$10:$O$136,4,0)</f>
        <v>0</v>
      </c>
      <c r="K56" s="78">
        <f>VLOOKUP(B56,[1]Résultats!$L$10:$O$136,2,0)</f>
        <v>0</v>
      </c>
      <c r="L56" s="85">
        <f t="shared" si="11"/>
        <v>0</v>
      </c>
      <c r="M56" s="86">
        <f t="shared" si="12"/>
        <v>0</v>
      </c>
      <c r="N56" s="86">
        <f t="shared" si="13"/>
        <v>0</v>
      </c>
      <c r="O56" s="41">
        <f t="shared" si="14"/>
        <v>0</v>
      </c>
      <c r="P56" s="7">
        <f t="shared" si="15"/>
        <v>0</v>
      </c>
      <c r="Q56" s="93" t="e">
        <f t="shared" si="16"/>
        <v>#REF!</v>
      </c>
      <c r="R56" s="99" t="e">
        <f>IF(B56="","",SMALL(Q$6:Q$95,ROWS(L$6:L56)))</f>
        <v>#VALUE!</v>
      </c>
      <c r="S56" s="88"/>
      <c r="T56" s="41" t="e">
        <f>IF(OR(B56="",L56=""),"",INDEX($B$6:$B$95,MATCH(R56,$Q$6:Q$95,0)))</f>
        <v>#VALUE!</v>
      </c>
      <c r="U56" s="7" t="e">
        <f t="shared" si="17"/>
        <v>#VALUE!</v>
      </c>
      <c r="V56" s="78" t="e">
        <f t="shared" si="18"/>
        <v>#VALUE!</v>
      </c>
      <c r="W56" s="57" t="e">
        <f t="shared" si="19"/>
        <v>#VALUE!</v>
      </c>
      <c r="X56" s="5" t="e">
        <f>IF(R56="","",IF(AND(U55=U56,V55=V56,W55=W56),X55,$X$6+50))</f>
        <v>#VALUE!</v>
      </c>
    </row>
    <row r="57" spans="1:24">
      <c r="A57" s="54">
        <v>52</v>
      </c>
      <c r="B57" s="56">
        <f>+[1]Inscrits!E24</f>
        <v>0</v>
      </c>
      <c r="C57" s="7">
        <f>VLOOKUP(B57,[1]Résultats!$B$10:$E$136,3,0)</f>
        <v>0</v>
      </c>
      <c r="D57" s="7">
        <f>VLOOKUP(B57,[1]Résultats!$B$10:$E$136,4,0)</f>
        <v>0</v>
      </c>
      <c r="E57" s="7">
        <f>VLOOKUP(B57,[1]Résultats!$B$10:$E$136,2,0)</f>
        <v>0</v>
      </c>
      <c r="F57" s="7">
        <f>VLOOKUP(B57,[1]Résultats!$G$10:$J$136,3,0)</f>
        <v>0</v>
      </c>
      <c r="G57" s="7">
        <f>VLOOKUP(B57,[1]Résultats!$G$10:$J$136,4,0)</f>
        <v>0</v>
      </c>
      <c r="H57" s="7">
        <f>VLOOKUP(B57,[1]Résultats!$G$10:$J$136,2,0)</f>
        <v>0</v>
      </c>
      <c r="I57" s="7">
        <f>VLOOKUP(B57,[1]Résultats!$L$10:$O$136,3,0)</f>
        <v>0</v>
      </c>
      <c r="J57" s="78">
        <f>VLOOKUP(B57,[1]Résultats!$L$10:$O$136,4,0)</f>
        <v>0</v>
      </c>
      <c r="K57" s="78">
        <f>VLOOKUP(B57,[1]Résultats!$L$10:$O$136,2,0)</f>
        <v>0</v>
      </c>
      <c r="L57" s="85">
        <f t="shared" si="11"/>
        <v>0</v>
      </c>
      <c r="M57" s="86">
        <f t="shared" si="12"/>
        <v>0</v>
      </c>
      <c r="N57" s="86">
        <f t="shared" si="13"/>
        <v>0</v>
      </c>
      <c r="O57" s="41">
        <f t="shared" si="14"/>
        <v>0</v>
      </c>
      <c r="P57" s="7">
        <f t="shared" si="15"/>
        <v>0</v>
      </c>
      <c r="Q57" s="93" t="e">
        <f t="shared" si="16"/>
        <v>#REF!</v>
      </c>
      <c r="R57" s="99" t="e">
        <f>IF(B57="","",SMALL(Q$6:Q$95,ROWS(L$6:L57)))</f>
        <v>#VALUE!</v>
      </c>
      <c r="S57" s="88"/>
      <c r="T57" s="41" t="e">
        <f>IF(OR(B57="",L57=""),"",INDEX($B$6:$B$95,MATCH(R57,$Q$6:Q$95,0)))</f>
        <v>#VALUE!</v>
      </c>
      <c r="U57" s="7" t="e">
        <f t="shared" si="17"/>
        <v>#VALUE!</v>
      </c>
      <c r="V57" s="78" t="e">
        <f t="shared" si="18"/>
        <v>#VALUE!</v>
      </c>
      <c r="W57" s="57" t="e">
        <f t="shared" si="19"/>
        <v>#VALUE!</v>
      </c>
      <c r="X57" s="5" t="e">
        <f>IF(R57="","",IF(AND(U56=U57,V56=V57,W56=W57),X56,$X$6+51))</f>
        <v>#VALUE!</v>
      </c>
    </row>
    <row r="58" spans="1:24">
      <c r="A58" s="54">
        <v>53</v>
      </c>
      <c r="B58" s="56">
        <f>+[1]Inscrits!E25</f>
        <v>0</v>
      </c>
      <c r="C58" s="7">
        <f>VLOOKUP(B58,[1]Résultats!$B$10:$E$136,3,0)</f>
        <v>0</v>
      </c>
      <c r="D58" s="7">
        <f>VLOOKUP(B58,[1]Résultats!$B$10:$E$136,4,0)</f>
        <v>0</v>
      </c>
      <c r="E58" s="7">
        <f>VLOOKUP(B58,[1]Résultats!$B$10:$E$136,2,0)</f>
        <v>0</v>
      </c>
      <c r="F58" s="7">
        <f>VLOOKUP(B58,[1]Résultats!$G$10:$J$136,3,0)</f>
        <v>0</v>
      </c>
      <c r="G58" s="7">
        <f>VLOOKUP(B58,[1]Résultats!$G$10:$J$136,4,0)</f>
        <v>0</v>
      </c>
      <c r="H58" s="7">
        <f>VLOOKUP(B58,[1]Résultats!$G$10:$J$136,2,0)</f>
        <v>0</v>
      </c>
      <c r="I58" s="7">
        <f>VLOOKUP(B58,[1]Résultats!$L$10:$O$136,3,0)</f>
        <v>0</v>
      </c>
      <c r="J58" s="78">
        <f>VLOOKUP(B58,[1]Résultats!$L$10:$O$136,4,0)</f>
        <v>0</v>
      </c>
      <c r="K58" s="78">
        <f>VLOOKUP(B58,[1]Résultats!$L$10:$O$136,2,0)</f>
        <v>0</v>
      </c>
      <c r="L58" s="85">
        <f t="shared" si="11"/>
        <v>0</v>
      </c>
      <c r="M58" s="86">
        <f t="shared" si="12"/>
        <v>0</v>
      </c>
      <c r="N58" s="86">
        <f t="shared" si="13"/>
        <v>0</v>
      </c>
      <c r="O58" s="41">
        <f t="shared" si="14"/>
        <v>0</v>
      </c>
      <c r="P58" s="7">
        <f t="shared" si="15"/>
        <v>0</v>
      </c>
      <c r="Q58" s="93" t="e">
        <f t="shared" si="16"/>
        <v>#REF!</v>
      </c>
      <c r="R58" s="99" t="e">
        <f>IF(B58="","",SMALL(Q$6:Q$95,ROWS(L$6:L58)))</f>
        <v>#VALUE!</v>
      </c>
      <c r="S58" s="88"/>
      <c r="T58" s="41" t="e">
        <f>IF(OR(B58="",L58=""),"",INDEX($B$6:$B$95,MATCH(R58,$Q$6:Q$95,0)))</f>
        <v>#VALUE!</v>
      </c>
      <c r="U58" s="7" t="e">
        <f t="shared" si="17"/>
        <v>#VALUE!</v>
      </c>
      <c r="V58" s="78" t="e">
        <f t="shared" si="18"/>
        <v>#VALUE!</v>
      </c>
      <c r="W58" s="57" t="e">
        <f t="shared" si="19"/>
        <v>#VALUE!</v>
      </c>
      <c r="X58" s="5" t="e">
        <f>IF(R58="","",IF(AND(U57=U58,V57=V58,W57=W58),X57,$X$6+52))</f>
        <v>#VALUE!</v>
      </c>
    </row>
    <row r="59" spans="1:24">
      <c r="A59" s="54">
        <v>54</v>
      </c>
      <c r="B59" s="56">
        <f>+[1]Inscrits!E26</f>
        <v>0</v>
      </c>
      <c r="C59" s="7">
        <f>VLOOKUP(B59,[1]Résultats!$B$10:$E$136,3,0)</f>
        <v>0</v>
      </c>
      <c r="D59" s="7">
        <f>VLOOKUP(B59,[1]Résultats!$B$10:$E$136,4,0)</f>
        <v>0</v>
      </c>
      <c r="E59" s="7">
        <f>VLOOKUP(B59,[1]Résultats!$B$10:$E$136,2,0)</f>
        <v>0</v>
      </c>
      <c r="F59" s="7">
        <f>VLOOKUP(B59,[1]Résultats!$G$10:$J$136,3,0)</f>
        <v>0</v>
      </c>
      <c r="G59" s="7">
        <f>VLOOKUP(B59,[1]Résultats!$G$10:$J$136,4,0)</f>
        <v>0</v>
      </c>
      <c r="H59" s="7">
        <f>VLOOKUP(B59,[1]Résultats!$G$10:$J$136,2,0)</f>
        <v>0</v>
      </c>
      <c r="I59" s="7">
        <f>VLOOKUP(B59,[1]Résultats!$L$10:$O$136,3,0)</f>
        <v>0</v>
      </c>
      <c r="J59" s="78">
        <f>VLOOKUP(B59,[1]Résultats!$L$10:$O$136,4,0)</f>
        <v>0</v>
      </c>
      <c r="K59" s="78">
        <f>VLOOKUP(B59,[1]Résultats!$L$10:$O$136,2,0)</f>
        <v>0</v>
      </c>
      <c r="L59" s="85">
        <f t="shared" si="11"/>
        <v>0</v>
      </c>
      <c r="M59" s="86">
        <f t="shared" si="12"/>
        <v>0</v>
      </c>
      <c r="N59" s="86">
        <f t="shared" si="13"/>
        <v>0</v>
      </c>
      <c r="O59" s="41">
        <f t="shared" si="14"/>
        <v>0</v>
      </c>
      <c r="P59" s="7">
        <f t="shared" si="15"/>
        <v>0</v>
      </c>
      <c r="Q59" s="93" t="e">
        <f t="shared" si="16"/>
        <v>#REF!</v>
      </c>
      <c r="R59" s="99" t="e">
        <f>IF(B59="","",SMALL(Q$6:Q$95,ROWS(L$6:L59)))</f>
        <v>#VALUE!</v>
      </c>
      <c r="S59" s="88"/>
      <c r="T59" s="41" t="e">
        <f>IF(OR(B59="",L59=""),"",INDEX($B$6:$B$95,MATCH(R59,$Q$6:Q$95,0)))</f>
        <v>#VALUE!</v>
      </c>
      <c r="U59" s="7" t="e">
        <f t="shared" si="17"/>
        <v>#VALUE!</v>
      </c>
      <c r="V59" s="78" t="e">
        <f t="shared" si="18"/>
        <v>#VALUE!</v>
      </c>
      <c r="W59" s="57" t="e">
        <f t="shared" si="19"/>
        <v>#VALUE!</v>
      </c>
      <c r="X59" s="5" t="e">
        <f>IF(R59="","",IF(AND(U58=U59,V58=V59,W58=W59),X58,$X$6+53))</f>
        <v>#VALUE!</v>
      </c>
    </row>
    <row r="60" spans="1:24">
      <c r="A60" s="102"/>
      <c r="B60" s="8"/>
      <c r="C60" s="89" t="e">
        <f t="array" ref="C60">SUM(IF(ISNA(C6:C53),0,C6:C53))</f>
        <v>#REF!</v>
      </c>
      <c r="D60" s="89" t="e">
        <f t="array" ref="D60">SUM(IF(ISNA(D6:D53),0,D6:D53))</f>
        <v>#REF!</v>
      </c>
      <c r="E60" s="89"/>
      <c r="F60" s="89" t="e">
        <f t="array" ref="F60">SUM(IF(ISNA(F6:F53),0,F6:F53))</f>
        <v>#REF!</v>
      </c>
      <c r="G60" s="89" t="e">
        <f t="array" ref="G60">SUM(IF(ISNA(G6:G53),0,G6:G53))</f>
        <v>#REF!</v>
      </c>
      <c r="H60" s="89"/>
      <c r="I60" s="89" t="e">
        <f t="array" ref="I60">SUM(IF(ISNA(I6:I53),0,I6:I53))</f>
        <v>#REF!</v>
      </c>
      <c r="J60" s="89" t="e">
        <f t="array" ref="J60">SUM(IF(ISNA(J6:J53),0,J6:J53))</f>
        <v>#REF!</v>
      </c>
      <c r="K60" s="89"/>
      <c r="L60" s="39" t="e">
        <f>SUM(L6:L53)</f>
        <v>#REF!</v>
      </c>
      <c r="M60" s="39" t="e">
        <f>SUM(M6:M53)</f>
        <v>#REF!</v>
      </c>
      <c r="N60" s="39"/>
      <c r="O60" s="39"/>
      <c r="P60" s="39"/>
      <c r="Q60" s="39"/>
      <c r="R60" s="39"/>
      <c r="S60" s="88"/>
      <c r="T60" s="39"/>
      <c r="U60" s="79"/>
      <c r="V60" s="39" t="e">
        <f>SUM(V6:V53)</f>
        <v>#VALUE!</v>
      </c>
      <c r="W60" s="39"/>
    </row>
    <row r="61" spans="1:24">
      <c r="A61" s="102"/>
      <c r="B61" s="8"/>
      <c r="C61" s="39"/>
      <c r="D61" s="58" t="e">
        <f>IF(D60=0,"OK","ERREUR")</f>
        <v>#REF!</v>
      </c>
      <c r="E61" s="75"/>
      <c r="F61" s="39"/>
      <c r="G61" s="58" t="e">
        <f>IF(G60=0,"OK","ERREUR")</f>
        <v>#REF!</v>
      </c>
      <c r="H61" s="75"/>
      <c r="I61" s="39"/>
      <c r="J61" s="58" t="e">
        <f>IF(J60=0,"OK","ERREUR")</f>
        <v>#REF!</v>
      </c>
      <c r="K61" s="75"/>
      <c r="L61" s="8"/>
      <c r="M61" s="58" t="e">
        <f>IF(M60=0,"OK","ERREUR")</f>
        <v>#REF!</v>
      </c>
      <c r="N61" s="75"/>
      <c r="O61" s="9"/>
      <c r="P61" s="9"/>
      <c r="Q61" s="9"/>
      <c r="R61" s="39"/>
      <c r="S61" s="88"/>
      <c r="T61" s="39"/>
      <c r="U61" s="79"/>
      <c r="V61" s="58" t="e">
        <f>IF(V60=0,"OK","ERREUR")</f>
        <v>#VALUE!</v>
      </c>
      <c r="W61" s="75"/>
    </row>
    <row r="62" spans="1:24">
      <c r="A62" s="102"/>
      <c r="C62" s="119"/>
      <c r="D62" s="120"/>
      <c r="E62" s="120"/>
      <c r="F62" s="119"/>
      <c r="G62" s="120"/>
      <c r="H62" s="120"/>
      <c r="I62" s="119"/>
      <c r="J62" s="120"/>
      <c r="K62" s="120"/>
      <c r="M62" s="120"/>
      <c r="N62" s="120"/>
      <c r="O62" s="24"/>
      <c r="P62" s="24"/>
      <c r="Q62" s="24"/>
      <c r="R62" s="119"/>
      <c r="T62" s="119"/>
      <c r="U62" s="102"/>
      <c r="V62" s="120"/>
      <c r="W62" s="120"/>
    </row>
    <row r="63" spans="1:24">
      <c r="A63" s="102"/>
      <c r="C63" s="84"/>
      <c r="D63" s="119"/>
      <c r="E63" s="119"/>
      <c r="F63" s="84"/>
      <c r="G63" s="84"/>
      <c r="H63" s="84"/>
      <c r="I63" s="84"/>
      <c r="J63" s="119"/>
      <c r="K63" s="119"/>
      <c r="L63" s="119"/>
      <c r="M63" s="119"/>
      <c r="N63" s="119"/>
      <c r="O63" s="119"/>
      <c r="P63" s="119"/>
      <c r="Q63" s="119"/>
      <c r="R63" s="119"/>
      <c r="T63" s="119"/>
      <c r="U63" s="102"/>
      <c r="V63" s="102"/>
      <c r="W63" s="102"/>
    </row>
    <row r="64" spans="1:24">
      <c r="B64" s="7" t="s">
        <v>26</v>
      </c>
      <c r="C64" s="10">
        <f>COUNTIF(C6:C53,1)</f>
        <v>0</v>
      </c>
      <c r="D64" s="76"/>
      <c r="E64" s="76"/>
      <c r="F64" s="10">
        <f>COUNTIF(F6:F53,1)</f>
        <v>0</v>
      </c>
      <c r="G64" s="10"/>
      <c r="H64" s="10"/>
      <c r="I64" s="10">
        <f>COUNTIF(I6:I53,1)</f>
        <v>0</v>
      </c>
    </row>
    <row r="65" spans="2:26">
      <c r="B65" s="7" t="s">
        <v>27</v>
      </c>
      <c r="C65" s="10">
        <f>COUNTIF(C6:C53,2)</f>
        <v>0</v>
      </c>
      <c r="D65" s="76"/>
      <c r="E65" s="76"/>
      <c r="F65" s="10">
        <f>COUNTIF(F6:F53,2)</f>
        <v>0</v>
      </c>
      <c r="G65" s="76"/>
      <c r="H65" s="76"/>
      <c r="I65" s="10">
        <f>COUNTIF(I6:I53,2)</f>
        <v>0</v>
      </c>
      <c r="T65" s="23" t="s">
        <v>31</v>
      </c>
      <c r="Z65" s="90" t="s">
        <v>32</v>
      </c>
    </row>
    <row r="66" spans="2:26">
      <c r="B66" s="7" t="s">
        <v>28</v>
      </c>
      <c r="C66" s="10">
        <f>COUNTIF(C6:C53,3)</f>
        <v>0</v>
      </c>
      <c r="D66" s="76"/>
      <c r="E66" s="76"/>
      <c r="F66" s="10">
        <f>COUNTIF(F6:F53,3)</f>
        <v>0</v>
      </c>
      <c r="G66" s="76"/>
      <c r="H66" s="76"/>
      <c r="I66" s="10">
        <f>COUNTIF(I6:I53,3)</f>
        <v>1</v>
      </c>
    </row>
    <row r="67" spans="2:26">
      <c r="B67" s="7" t="s">
        <v>29</v>
      </c>
      <c r="C67" s="10">
        <f>COUNTIF(C6:C53,0)</f>
        <v>1</v>
      </c>
      <c r="D67" s="76"/>
      <c r="E67" s="76"/>
      <c r="F67" s="10">
        <f>COUNTIF(F6:F53,0)</f>
        <v>1</v>
      </c>
      <c r="G67" s="76"/>
      <c r="H67" s="76"/>
      <c r="I67" s="10">
        <f>COUNTIF(I6:I53,0)</f>
        <v>0</v>
      </c>
    </row>
    <row r="68" spans="2:26">
      <c r="B68" s="7" t="e">
        <v>#N/A</v>
      </c>
      <c r="C68" s="10">
        <f>COUNTIF(C6:C60,#N/A)</f>
        <v>0</v>
      </c>
      <c r="D68" s="76"/>
      <c r="E68" s="76"/>
      <c r="F68" s="10">
        <f>COUNTIF(F6:F60,#N/A)</f>
        <v>0</v>
      </c>
      <c r="G68" s="76"/>
      <c r="H68" s="76"/>
      <c r="I68" s="10">
        <f>COUNTIF(I6:I60,#N/A)</f>
        <v>0</v>
      </c>
    </row>
    <row r="69" spans="2:26">
      <c r="B69" s="7"/>
      <c r="C69" s="10">
        <f>SUM(C64:C68)</f>
        <v>1</v>
      </c>
      <c r="D69" s="10"/>
      <c r="E69" s="10"/>
      <c r="F69" s="10">
        <f>SUM(F64:F68)</f>
        <v>1</v>
      </c>
      <c r="G69" s="10"/>
      <c r="H69" s="10"/>
      <c r="I69" s="10">
        <f>SUM(I64:I68)</f>
        <v>1</v>
      </c>
    </row>
  </sheetData>
  <sheetProtection formatCells="0" formatColumns="0" formatRows="0" insertColumns="0" insertRows="0" insertHyperlinks="0" deleteColumns="0" deleteRows="0" sort="0"/>
  <mergeCells count="5">
    <mergeCell ref="C4:D4"/>
    <mergeCell ref="F4:G4"/>
    <mergeCell ref="I4:J4"/>
    <mergeCell ref="T4:X4"/>
    <mergeCell ref="L4:M4"/>
  </mergeCells>
  <conditionalFormatting sqref="D6:E59 O6:P59 G6:H59 J6:K59">
    <cfRule type="cellIs" dxfId="11" priority="29" operator="lessThan">
      <formula>0</formula>
    </cfRule>
  </conditionalFormatting>
  <conditionalFormatting sqref="M60:N60 V60:W60">
    <cfRule type="colorScale" priority="19">
      <colorScale>
        <cfvo type="num" val="-1"/>
        <cfvo type="num" val="0"/>
        <cfvo type="num" val="1"/>
        <color rgb="FFFF0000"/>
        <color rgb="FF00FF00"/>
        <color rgb="FFFF0000"/>
      </colorScale>
    </cfRule>
  </conditionalFormatting>
  <conditionalFormatting sqref="M61:N62 J61:K62 G61:H62 D61:E62 V61:W62">
    <cfRule type="containsText" dxfId="10" priority="13" operator="containsText" text="ERREUR">
      <formula>NOT(ISERROR(SEARCH("ERREUR",D61)))</formula>
    </cfRule>
    <cfRule type="containsText" dxfId="9" priority="14" operator="containsText" text="OK">
      <formula>NOT(ISERROR(SEARCH("OK",D61)))</formula>
    </cfRule>
  </conditionalFormatting>
  <conditionalFormatting sqref="X6:X59">
    <cfRule type="duplicateValues" dxfId="8" priority="52"/>
  </conditionalFormatting>
  <conditionalFormatting sqref="D54:E59 O54:P59 G54:H59 J54:K59">
    <cfRule type="cellIs" dxfId="7" priority="2" operator="lessThan">
      <formula>0</formula>
    </cfRule>
  </conditionalFormatting>
  <conditionalFormatting sqref="X54:X59">
    <cfRule type="duplicateValues" dxfId="6" priority="1"/>
  </conditionalFormatting>
  <pageMargins left="0.3" right="0.2" top="0.31" bottom="0.47" header="0.14000000000000001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Méthode</vt:lpstr>
      <vt:lpstr>Inscrits</vt:lpstr>
      <vt:lpstr>1ère J.</vt:lpstr>
      <vt:lpstr>2ème J.</vt:lpstr>
      <vt:lpstr>3ème J.</vt:lpstr>
      <vt:lpstr>4ème J.</vt:lpstr>
      <vt:lpstr>5ème J.</vt:lpstr>
      <vt:lpstr>6ème J.</vt:lpstr>
      <vt:lpstr>Class. 1J.</vt:lpstr>
      <vt:lpstr>Résultats</vt:lpstr>
      <vt:lpstr>Class. Final1</vt:lpstr>
      <vt:lpstr>'1ère J.'!Zone_d_impression</vt:lpstr>
      <vt:lpstr>'Class. 1J.'!Zone_d_impression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</dc:creator>
  <cp:lastModifiedBy>Alain</cp:lastModifiedBy>
  <cp:lastPrinted>2016-01-26T10:38:10Z</cp:lastPrinted>
  <dcterms:created xsi:type="dcterms:W3CDTF">2009-10-17T15:31:04Z</dcterms:created>
  <dcterms:modified xsi:type="dcterms:W3CDTF">2025-04-23T09:43:41Z</dcterms:modified>
</cp:coreProperties>
</file>