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drawings/drawing5.xml" ContentType="application/vnd.openxmlformats-officedocument.drawing+xml"/>
  <Override PartName="/xl/ctrlProps/ctrlProp6.xml" ContentType="application/vnd.ms-excel.controlproperties+xml"/>
  <Override PartName="/xl/drawings/drawing6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ureau\Logiciels Boules 100 Mo\03_Sociétaire ok (4.01.17) _OK_28.11.23\Site a-b\"/>
    </mc:Choice>
  </mc:AlternateContent>
  <xr:revisionPtr revIDLastSave="0" documentId="13_ncr:1_{7B15C418-AD1E-4AEA-B6D7-4FB81E6BDAC3}" xr6:coauthVersionLast="47" xr6:coauthVersionMax="47" xr10:uidLastSave="{00000000-0000-0000-0000-000000000000}"/>
  <bookViews>
    <workbookView xWindow="456" yWindow="456" windowWidth="19968" windowHeight="11712" tabRatio="669" activeTab="2" xr2:uid="{00000000-000D-0000-FFFF-FFFF00000000}"/>
  </bookViews>
  <sheets>
    <sheet name="Méthode" sheetId="12" r:id="rId1"/>
    <sheet name="Inscrits" sheetId="7" r:id="rId2"/>
    <sheet name="1ère J." sheetId="1" r:id="rId3"/>
    <sheet name="2ème J." sheetId="11" r:id="rId4"/>
    <sheet name="3ème J." sheetId="13" r:id="rId5"/>
    <sheet name="4ème J." sheetId="14" r:id="rId6"/>
    <sheet name="5ème J." sheetId="15" r:id="rId7"/>
    <sheet name="6ème J." sheetId="16" r:id="rId8"/>
    <sheet name="Class. 1J." sheetId="9" state="hidden" r:id="rId9"/>
    <sheet name="Résultats" sheetId="6" state="hidden" r:id="rId10"/>
    <sheet name="Class. Final1" sheetId="17" r:id="rId11"/>
  </sheets>
  <externalReferences>
    <externalReference r:id="rId12"/>
  </externalReferences>
  <definedNames>
    <definedName name="_xlnm.Print_Area" localSheetId="2">'1ère J.'!$A$1:$Z$35</definedName>
    <definedName name="_xlnm.Print_Area" localSheetId="8">'Class. 1J.'!$A$1:$Y$71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V26" i="1"/>
  <c r="E10" i="1"/>
  <c r="E11" i="1"/>
  <c r="E12" i="1"/>
  <c r="G10" i="1"/>
  <c r="G11" i="1"/>
  <c r="BK3" i="1"/>
  <c r="K5" i="1"/>
  <c r="BO61" i="1" s="1"/>
  <c r="BO11" i="1" l="1"/>
  <c r="BO9" i="1"/>
  <c r="BO13" i="1"/>
  <c r="BO15" i="1"/>
  <c r="BO18" i="1"/>
  <c r="BO10" i="1"/>
  <c r="BO12" i="1"/>
  <c r="BO14" i="1"/>
  <c r="BO16" i="1"/>
  <c r="BO20" i="1"/>
  <c r="BO24" i="1"/>
  <c r="BO17" i="1"/>
  <c r="BO19" i="1"/>
  <c r="BO22" i="1"/>
  <c r="BO26" i="1"/>
  <c r="BO28" i="1"/>
  <c r="BO30" i="1"/>
  <c r="BO21" i="1"/>
  <c r="BO23" i="1"/>
  <c r="BO25" i="1"/>
  <c r="BO27" i="1"/>
  <c r="BO29" i="1"/>
  <c r="BO32" i="1"/>
  <c r="BO34" i="1"/>
  <c r="BO36" i="1"/>
  <c r="BO38" i="1"/>
  <c r="BO40" i="1"/>
  <c r="BO31" i="1"/>
  <c r="BO33" i="1"/>
  <c r="BO35" i="1"/>
  <c r="BO37" i="1"/>
  <c r="BO39" i="1"/>
  <c r="BO41" i="1"/>
  <c r="BO43" i="1"/>
  <c r="BO45" i="1"/>
  <c r="BO42" i="1"/>
  <c r="BO44" i="1"/>
  <c r="BO46" i="1"/>
  <c r="BO47" i="1"/>
  <c r="BO49" i="1"/>
  <c r="BO52" i="1"/>
  <c r="BO56" i="1"/>
  <c r="BO60" i="1"/>
  <c r="BO48" i="1"/>
  <c r="BO50" i="1"/>
  <c r="BO54" i="1"/>
  <c r="BO58" i="1"/>
  <c r="BO62" i="1"/>
  <c r="BO51" i="1"/>
  <c r="BO53" i="1"/>
  <c r="BO55" i="1"/>
  <c r="BO57" i="1"/>
  <c r="BO59" i="1"/>
  <c r="C12" i="1" l="1"/>
  <c r="C10" i="1"/>
  <c r="B21" i="7" a="1"/>
  <c r="B21" i="7" s="1"/>
  <c r="D21" i="7" a="1"/>
  <c r="D21" i="7" s="1"/>
  <c r="F21" i="7" a="1"/>
  <c r="F21" i="7" s="1"/>
  <c r="AP62" i="16" l="1"/>
  <c r="AP61" i="16"/>
  <c r="AP60" i="16"/>
  <c r="AP59" i="16"/>
  <c r="AP58" i="16"/>
  <c r="AP57" i="16"/>
  <c r="AP56" i="16"/>
  <c r="AP55" i="16"/>
  <c r="AP54" i="16"/>
  <c r="AP53" i="16"/>
  <c r="AP52" i="16"/>
  <c r="AP51" i="16"/>
  <c r="AP50" i="16"/>
  <c r="AP49" i="16"/>
  <c r="AP48" i="16"/>
  <c r="AP47" i="16"/>
  <c r="AP46" i="16"/>
  <c r="AP45" i="16"/>
  <c r="AP44" i="16"/>
  <c r="AP43" i="16"/>
  <c r="AP42" i="16"/>
  <c r="AP41" i="16"/>
  <c r="AP40" i="16"/>
  <c r="AP39" i="16"/>
  <c r="AP38" i="16"/>
  <c r="AP37" i="16"/>
  <c r="AP36" i="16"/>
  <c r="AP35" i="16"/>
  <c r="AP34" i="16"/>
  <c r="AP33" i="16"/>
  <c r="AP32" i="16"/>
  <c r="AP31" i="16"/>
  <c r="AP30" i="16"/>
  <c r="AP29" i="16"/>
  <c r="AP28" i="16"/>
  <c r="AP27" i="16"/>
  <c r="AP26" i="16"/>
  <c r="AP25" i="16"/>
  <c r="AP24" i="16"/>
  <c r="AP23" i="16"/>
  <c r="AP22" i="16"/>
  <c r="AP21" i="16"/>
  <c r="AP20" i="16"/>
  <c r="AP19" i="16"/>
  <c r="AP18" i="16"/>
  <c r="AP17" i="16"/>
  <c r="AP16" i="16"/>
  <c r="AP15" i="16"/>
  <c r="AP14" i="16"/>
  <c r="AP13" i="16"/>
  <c r="AP12" i="16"/>
  <c r="AP11" i="16"/>
  <c r="AP10" i="16"/>
  <c r="AP9" i="16"/>
  <c r="AP62" i="15"/>
  <c r="AP61" i="15"/>
  <c r="AP60" i="15"/>
  <c r="AP59" i="15"/>
  <c r="AP58" i="15"/>
  <c r="AP57" i="15"/>
  <c r="AP56" i="15"/>
  <c r="AP55" i="15"/>
  <c r="AP54" i="15"/>
  <c r="AP53" i="15"/>
  <c r="AP52" i="15"/>
  <c r="AP51" i="15"/>
  <c r="AP50" i="15"/>
  <c r="AP49" i="15"/>
  <c r="AP48" i="15"/>
  <c r="AP47" i="15"/>
  <c r="AP46" i="15"/>
  <c r="AP45" i="15"/>
  <c r="AP44" i="15"/>
  <c r="AP43" i="15"/>
  <c r="AP42" i="15"/>
  <c r="AP41" i="15"/>
  <c r="AP40" i="15"/>
  <c r="AP39" i="15"/>
  <c r="AP38" i="15"/>
  <c r="AP37" i="15"/>
  <c r="AP36" i="15"/>
  <c r="AP35" i="15"/>
  <c r="AP34" i="15"/>
  <c r="AP33" i="15"/>
  <c r="AP32" i="15"/>
  <c r="AP31" i="15"/>
  <c r="AP30" i="15"/>
  <c r="AP29" i="15"/>
  <c r="AP28" i="15"/>
  <c r="AP27" i="15"/>
  <c r="AP26" i="15"/>
  <c r="AP25" i="15"/>
  <c r="AP24" i="15"/>
  <c r="AP23" i="15"/>
  <c r="AP22" i="15"/>
  <c r="AP21" i="15"/>
  <c r="AP20" i="15"/>
  <c r="AP19" i="15"/>
  <c r="AP18" i="15"/>
  <c r="AP17" i="15"/>
  <c r="AP16" i="15"/>
  <c r="AP15" i="15"/>
  <c r="AP14" i="15"/>
  <c r="AP13" i="15"/>
  <c r="AP12" i="15"/>
  <c r="AP11" i="15"/>
  <c r="AP10" i="15"/>
  <c r="AP9" i="15"/>
  <c r="AP62" i="14"/>
  <c r="AP61" i="14"/>
  <c r="AP60" i="14"/>
  <c r="AP59" i="14"/>
  <c r="AP58" i="14"/>
  <c r="AP57" i="14"/>
  <c r="AP56" i="14"/>
  <c r="AP55" i="14"/>
  <c r="AP54" i="14"/>
  <c r="AP53" i="14"/>
  <c r="AP52" i="14"/>
  <c r="AP51" i="14"/>
  <c r="AP50" i="14"/>
  <c r="AP49" i="14"/>
  <c r="AP48" i="14"/>
  <c r="AP47" i="14"/>
  <c r="AP46" i="14"/>
  <c r="AP45" i="14"/>
  <c r="AP44" i="14"/>
  <c r="AP43" i="14"/>
  <c r="AP42" i="14"/>
  <c r="AP41" i="14"/>
  <c r="AP40" i="14"/>
  <c r="AP39" i="14"/>
  <c r="AP38" i="14"/>
  <c r="AP37" i="14"/>
  <c r="AP36" i="14"/>
  <c r="AP35" i="14"/>
  <c r="AP34" i="14"/>
  <c r="AP33" i="14"/>
  <c r="AP32" i="14"/>
  <c r="AP31" i="14"/>
  <c r="AP30" i="14"/>
  <c r="AP29" i="14"/>
  <c r="AP28" i="14"/>
  <c r="AP27" i="14"/>
  <c r="AP26" i="14"/>
  <c r="AP25" i="14"/>
  <c r="AP24" i="14"/>
  <c r="AP23" i="14"/>
  <c r="AP22" i="14"/>
  <c r="AP21" i="14"/>
  <c r="AP20" i="14"/>
  <c r="AP19" i="14"/>
  <c r="AP18" i="14"/>
  <c r="AP17" i="14"/>
  <c r="AP16" i="14"/>
  <c r="AP15" i="14"/>
  <c r="AP14" i="14"/>
  <c r="AP13" i="14"/>
  <c r="AP12" i="14"/>
  <c r="AP11" i="14"/>
  <c r="AP10" i="14"/>
  <c r="AP9" i="14"/>
  <c r="AP62" i="13"/>
  <c r="AP61" i="13"/>
  <c r="AP60" i="13"/>
  <c r="AP59" i="13"/>
  <c r="AP58" i="13"/>
  <c r="AP57" i="13"/>
  <c r="AP56" i="13"/>
  <c r="AP55" i="13"/>
  <c r="AP54" i="13"/>
  <c r="AP53" i="13"/>
  <c r="AP52" i="13"/>
  <c r="AP51" i="13"/>
  <c r="AP50" i="13"/>
  <c r="AP49" i="13"/>
  <c r="AP48" i="13"/>
  <c r="AP47" i="13"/>
  <c r="AP46" i="13"/>
  <c r="AP45" i="13"/>
  <c r="AP44" i="13"/>
  <c r="AP43" i="13"/>
  <c r="AP42" i="13"/>
  <c r="AP41" i="13"/>
  <c r="AP40" i="13"/>
  <c r="AP39" i="13"/>
  <c r="AP38" i="13"/>
  <c r="AP37" i="13"/>
  <c r="AP36" i="13"/>
  <c r="AP35" i="13"/>
  <c r="AP34" i="13"/>
  <c r="AP33" i="13"/>
  <c r="AP32" i="13"/>
  <c r="AP31" i="13"/>
  <c r="AP30" i="13"/>
  <c r="AP29" i="13"/>
  <c r="AP28" i="13"/>
  <c r="AP27" i="13"/>
  <c r="AP26" i="13"/>
  <c r="AP25" i="13"/>
  <c r="AP24" i="13"/>
  <c r="AP23" i="13"/>
  <c r="AP22" i="13"/>
  <c r="AP21" i="13"/>
  <c r="AP20" i="13"/>
  <c r="AP19" i="13"/>
  <c r="AP18" i="13"/>
  <c r="AP17" i="13"/>
  <c r="AP16" i="13"/>
  <c r="AP15" i="13"/>
  <c r="AP14" i="13"/>
  <c r="AP13" i="13"/>
  <c r="AP12" i="13"/>
  <c r="AP11" i="13"/>
  <c r="AP10" i="13"/>
  <c r="AP9" i="13"/>
  <c r="AP62" i="11"/>
  <c r="AP61" i="11"/>
  <c r="AP60" i="11"/>
  <c r="AP59" i="11"/>
  <c r="AP58" i="11"/>
  <c r="AP57" i="11"/>
  <c r="AP56" i="11"/>
  <c r="AP55" i="11"/>
  <c r="AP54" i="11"/>
  <c r="AP53" i="11"/>
  <c r="AP52" i="11"/>
  <c r="AP51" i="11"/>
  <c r="AP50" i="11"/>
  <c r="AP49" i="11"/>
  <c r="AP48" i="11"/>
  <c r="AP47" i="11"/>
  <c r="AP46" i="11"/>
  <c r="AP45" i="11"/>
  <c r="AP44" i="11"/>
  <c r="AP43" i="11"/>
  <c r="AP42" i="11"/>
  <c r="AP41" i="11"/>
  <c r="AP40" i="11"/>
  <c r="AP39" i="11"/>
  <c r="AP38" i="11"/>
  <c r="AP37" i="11"/>
  <c r="AP36" i="11"/>
  <c r="AP35" i="11"/>
  <c r="AP34" i="11"/>
  <c r="AP33" i="11"/>
  <c r="AP32" i="11"/>
  <c r="AP31" i="11"/>
  <c r="AP30" i="11"/>
  <c r="AP29" i="11"/>
  <c r="AP28" i="11"/>
  <c r="AP27" i="11"/>
  <c r="AP26" i="11"/>
  <c r="AP25" i="11"/>
  <c r="AP24" i="11"/>
  <c r="AP23" i="11"/>
  <c r="AP22" i="11"/>
  <c r="AP21" i="11"/>
  <c r="AP20" i="11"/>
  <c r="AP19" i="11"/>
  <c r="AP18" i="11"/>
  <c r="AP17" i="11"/>
  <c r="AP16" i="11"/>
  <c r="AP15" i="11"/>
  <c r="AP14" i="11"/>
  <c r="AP13" i="11"/>
  <c r="AP12" i="11"/>
  <c r="AP11" i="11"/>
  <c r="AP10" i="11"/>
  <c r="AP9" i="1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45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27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9" i="1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42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24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6" i="17"/>
  <c r="C12" i="14" l="1"/>
  <c r="C18" i="13"/>
  <c r="C14" i="11"/>
  <c r="C16" i="13"/>
  <c r="C16" i="1"/>
  <c r="C15" i="1"/>
  <c r="G27" i="16" l="1"/>
  <c r="E27" i="16"/>
  <c r="C27" i="16"/>
  <c r="G26" i="16"/>
  <c r="E26" i="16"/>
  <c r="C26" i="16"/>
  <c r="G25" i="16"/>
  <c r="E25" i="16"/>
  <c r="C25" i="16"/>
  <c r="G24" i="16"/>
  <c r="E24" i="16"/>
  <c r="C24" i="16"/>
  <c r="G23" i="16"/>
  <c r="E23" i="16"/>
  <c r="C23" i="16"/>
  <c r="G22" i="16"/>
  <c r="E22" i="16"/>
  <c r="C22" i="16"/>
  <c r="G21" i="16"/>
  <c r="E21" i="16"/>
  <c r="C21" i="16"/>
  <c r="G20" i="16"/>
  <c r="E20" i="16"/>
  <c r="C20" i="16"/>
  <c r="G19" i="16"/>
  <c r="E19" i="16"/>
  <c r="C19" i="16"/>
  <c r="G18" i="16"/>
  <c r="E18" i="16"/>
  <c r="C18" i="16"/>
  <c r="G17" i="16"/>
  <c r="E17" i="16"/>
  <c r="C17" i="16"/>
  <c r="G16" i="16"/>
  <c r="E16" i="16"/>
  <c r="C16" i="16"/>
  <c r="G15" i="16"/>
  <c r="E15" i="16"/>
  <c r="C15" i="16"/>
  <c r="G14" i="16"/>
  <c r="E14" i="16"/>
  <c r="C14" i="16"/>
  <c r="G13" i="16"/>
  <c r="E13" i="16"/>
  <c r="C13" i="16"/>
  <c r="G12" i="16"/>
  <c r="E12" i="16"/>
  <c r="C12" i="16"/>
  <c r="G11" i="16"/>
  <c r="E11" i="16"/>
  <c r="C11" i="16"/>
  <c r="G10" i="16"/>
  <c r="E10" i="16"/>
  <c r="C10" i="16"/>
  <c r="G27" i="15"/>
  <c r="E27" i="15"/>
  <c r="C27" i="15"/>
  <c r="G26" i="15"/>
  <c r="E26" i="15"/>
  <c r="C26" i="15"/>
  <c r="G25" i="15"/>
  <c r="E25" i="15"/>
  <c r="C25" i="15"/>
  <c r="G24" i="15"/>
  <c r="E24" i="15"/>
  <c r="C24" i="15"/>
  <c r="G23" i="15"/>
  <c r="E23" i="15"/>
  <c r="C23" i="15"/>
  <c r="G22" i="15"/>
  <c r="E22" i="15"/>
  <c r="C22" i="15"/>
  <c r="G21" i="15"/>
  <c r="E21" i="15"/>
  <c r="C21" i="15"/>
  <c r="G20" i="15"/>
  <c r="E20" i="15"/>
  <c r="C20" i="15"/>
  <c r="G19" i="15"/>
  <c r="E19" i="15"/>
  <c r="C19" i="15"/>
  <c r="G18" i="15"/>
  <c r="E18" i="15"/>
  <c r="C18" i="15"/>
  <c r="G17" i="15"/>
  <c r="E17" i="15"/>
  <c r="C17" i="15"/>
  <c r="G16" i="15"/>
  <c r="E16" i="15"/>
  <c r="C16" i="15"/>
  <c r="G15" i="15"/>
  <c r="E15" i="15"/>
  <c r="C15" i="15"/>
  <c r="G14" i="15"/>
  <c r="E14" i="15"/>
  <c r="C14" i="15"/>
  <c r="G13" i="15"/>
  <c r="E13" i="15"/>
  <c r="C13" i="15"/>
  <c r="G12" i="15"/>
  <c r="E12" i="15"/>
  <c r="G11" i="15"/>
  <c r="E11" i="15"/>
  <c r="C11" i="15"/>
  <c r="G10" i="15"/>
  <c r="E10" i="15"/>
  <c r="C10" i="15"/>
  <c r="G27" i="14"/>
  <c r="E27" i="14"/>
  <c r="C27" i="14"/>
  <c r="G26" i="14"/>
  <c r="E26" i="14"/>
  <c r="C26" i="14"/>
  <c r="G25" i="14"/>
  <c r="E25" i="14"/>
  <c r="C25" i="14"/>
  <c r="G24" i="14"/>
  <c r="E24" i="14"/>
  <c r="C24" i="14"/>
  <c r="G23" i="14"/>
  <c r="E23" i="14"/>
  <c r="C23" i="14"/>
  <c r="G22" i="14"/>
  <c r="E22" i="14"/>
  <c r="C22" i="14"/>
  <c r="G21" i="14"/>
  <c r="E21" i="14"/>
  <c r="C21" i="14"/>
  <c r="G20" i="14"/>
  <c r="E20" i="14"/>
  <c r="C20" i="14"/>
  <c r="G19" i="14"/>
  <c r="E19" i="14"/>
  <c r="C19" i="14"/>
  <c r="G18" i="14"/>
  <c r="E18" i="14"/>
  <c r="C18" i="14"/>
  <c r="G17" i="14"/>
  <c r="E17" i="14"/>
  <c r="C17" i="14"/>
  <c r="G16" i="14"/>
  <c r="E16" i="14"/>
  <c r="C16" i="14"/>
  <c r="G15" i="14"/>
  <c r="E15" i="14"/>
  <c r="C15" i="14"/>
  <c r="G14" i="14"/>
  <c r="E14" i="14"/>
  <c r="C14" i="14"/>
  <c r="G13" i="14"/>
  <c r="E13" i="14"/>
  <c r="C13" i="14"/>
  <c r="G12" i="14"/>
  <c r="E12" i="14"/>
  <c r="G11" i="14"/>
  <c r="E11" i="14"/>
  <c r="C11" i="14"/>
  <c r="G10" i="14"/>
  <c r="E10" i="14"/>
  <c r="C10" i="14"/>
  <c r="G27" i="1"/>
  <c r="E27" i="1"/>
  <c r="C27" i="1"/>
  <c r="G26" i="1"/>
  <c r="E26" i="1"/>
  <c r="C26" i="1"/>
  <c r="G25" i="1"/>
  <c r="E25" i="1"/>
  <c r="C25" i="1"/>
  <c r="G24" i="1"/>
  <c r="E24" i="1"/>
  <c r="C24" i="1"/>
  <c r="G23" i="1"/>
  <c r="E23" i="1"/>
  <c r="C23" i="1"/>
  <c r="G22" i="1"/>
  <c r="E22" i="1"/>
  <c r="C22" i="1"/>
  <c r="G21" i="1"/>
  <c r="E21" i="1"/>
  <c r="C21" i="1"/>
  <c r="G20" i="1"/>
  <c r="E20" i="1"/>
  <c r="C20" i="1"/>
  <c r="G19" i="1"/>
  <c r="E19" i="1"/>
  <c r="C19" i="1"/>
  <c r="G18" i="1"/>
  <c r="E18" i="1"/>
  <c r="C18" i="1"/>
  <c r="G17" i="1"/>
  <c r="E17" i="1"/>
  <c r="C17" i="1"/>
  <c r="G16" i="1"/>
  <c r="E16" i="1"/>
  <c r="G15" i="1"/>
  <c r="E15" i="1"/>
  <c r="G14" i="1"/>
  <c r="E14" i="1"/>
  <c r="C14" i="1"/>
  <c r="G13" i="1"/>
  <c r="E13" i="1"/>
  <c r="C13" i="1"/>
  <c r="G12" i="1"/>
  <c r="C11" i="1"/>
  <c r="G27" i="11"/>
  <c r="E27" i="11"/>
  <c r="C27" i="11"/>
  <c r="G26" i="11"/>
  <c r="E26" i="11"/>
  <c r="C26" i="11"/>
  <c r="G25" i="11"/>
  <c r="E25" i="11"/>
  <c r="C25" i="11"/>
  <c r="G24" i="11"/>
  <c r="E24" i="11"/>
  <c r="C24" i="11"/>
  <c r="G23" i="11"/>
  <c r="E23" i="11"/>
  <c r="C23" i="11"/>
  <c r="G22" i="11"/>
  <c r="E22" i="11"/>
  <c r="C22" i="11"/>
  <c r="G21" i="11"/>
  <c r="E21" i="11"/>
  <c r="C21" i="11"/>
  <c r="G20" i="11"/>
  <c r="E20" i="11"/>
  <c r="C20" i="11"/>
  <c r="G19" i="11"/>
  <c r="E19" i="11"/>
  <c r="C19" i="11"/>
  <c r="G18" i="11"/>
  <c r="E18" i="11"/>
  <c r="C18" i="11"/>
  <c r="G17" i="11"/>
  <c r="E17" i="11"/>
  <c r="C17" i="11"/>
  <c r="G16" i="11"/>
  <c r="E16" i="11"/>
  <c r="C16" i="11"/>
  <c r="G15" i="11"/>
  <c r="E15" i="11"/>
  <c r="C15" i="11"/>
  <c r="G14" i="11"/>
  <c r="E14" i="11"/>
  <c r="G13" i="11"/>
  <c r="E13" i="11"/>
  <c r="C13" i="11"/>
  <c r="G12" i="11"/>
  <c r="E12" i="11"/>
  <c r="C12" i="11"/>
  <c r="G11" i="11"/>
  <c r="E11" i="11"/>
  <c r="C11" i="11"/>
  <c r="G10" i="11"/>
  <c r="E10" i="11"/>
  <c r="C10" i="11"/>
  <c r="J10" i="11" s="1"/>
  <c r="O10" i="11" s="1"/>
  <c r="K26" i="11" l="1"/>
  <c r="J27" i="14"/>
  <c r="L27" i="14"/>
  <c r="Q27" i="14" s="1"/>
  <c r="J27" i="16"/>
  <c r="L27" i="16"/>
  <c r="Q27" i="16" s="1"/>
  <c r="K26" i="1"/>
  <c r="J27" i="1"/>
  <c r="L27" i="1"/>
  <c r="Q27" i="1" s="1"/>
  <c r="J26" i="11"/>
  <c r="O26" i="11" s="1"/>
  <c r="L26" i="11"/>
  <c r="Q26" i="11" s="1"/>
  <c r="J27" i="11"/>
  <c r="L27" i="11"/>
  <c r="Q27" i="11" s="1"/>
  <c r="L10" i="11"/>
  <c r="Q10" i="11" s="1"/>
  <c r="K26" i="14"/>
  <c r="K10" i="14"/>
  <c r="P10" i="14" s="1"/>
  <c r="K14" i="14"/>
  <c r="K26" i="16"/>
  <c r="K10" i="16"/>
  <c r="K26" i="15"/>
  <c r="J27" i="15"/>
  <c r="L27" i="15"/>
  <c r="Q27" i="15" s="1"/>
  <c r="J10" i="16"/>
  <c r="L10" i="16"/>
  <c r="P10" i="16"/>
  <c r="K11" i="16"/>
  <c r="P11" i="16" s="1"/>
  <c r="J12" i="16"/>
  <c r="L12" i="16"/>
  <c r="K13" i="16"/>
  <c r="J14" i="16"/>
  <c r="L14" i="16"/>
  <c r="K15" i="16"/>
  <c r="J16" i="16"/>
  <c r="L16" i="16"/>
  <c r="K17" i="16"/>
  <c r="J18" i="16"/>
  <c r="L18" i="16"/>
  <c r="K19" i="16"/>
  <c r="J20" i="16"/>
  <c r="L20" i="16"/>
  <c r="K21" i="16"/>
  <c r="J22" i="16"/>
  <c r="L22" i="16"/>
  <c r="Q22" i="16" s="1"/>
  <c r="K23" i="16"/>
  <c r="J24" i="16"/>
  <c r="O24" i="16" s="1"/>
  <c r="L24" i="16"/>
  <c r="K25" i="16"/>
  <c r="J26" i="16"/>
  <c r="O26" i="16" s="1"/>
  <c r="L26" i="16"/>
  <c r="Q26" i="16" s="1"/>
  <c r="K27" i="16"/>
  <c r="J11" i="16"/>
  <c r="L11" i="16"/>
  <c r="K12" i="16"/>
  <c r="J13" i="16"/>
  <c r="L13" i="16"/>
  <c r="K14" i="16"/>
  <c r="J15" i="16"/>
  <c r="L15" i="16"/>
  <c r="K16" i="16"/>
  <c r="J17" i="16"/>
  <c r="L17" i="16"/>
  <c r="K18" i="16"/>
  <c r="J19" i="16"/>
  <c r="L19" i="16"/>
  <c r="K20" i="16"/>
  <c r="J21" i="16"/>
  <c r="L21" i="16"/>
  <c r="K22" i="16"/>
  <c r="J23" i="16"/>
  <c r="L23" i="16"/>
  <c r="K24" i="16"/>
  <c r="J25" i="16"/>
  <c r="L25" i="16"/>
  <c r="Q25" i="16" s="1"/>
  <c r="J10" i="15"/>
  <c r="L10" i="15"/>
  <c r="K11" i="15"/>
  <c r="P11" i="15" s="1"/>
  <c r="J12" i="15"/>
  <c r="L12" i="15"/>
  <c r="K13" i="15"/>
  <c r="J14" i="15"/>
  <c r="L14" i="15"/>
  <c r="K15" i="15"/>
  <c r="J16" i="15"/>
  <c r="L16" i="15"/>
  <c r="K17" i="15"/>
  <c r="J18" i="15"/>
  <c r="L18" i="15"/>
  <c r="K19" i="15"/>
  <c r="J20" i="15"/>
  <c r="L20" i="15"/>
  <c r="K21" i="15"/>
  <c r="J22" i="15"/>
  <c r="L22" i="15"/>
  <c r="Q22" i="15" s="1"/>
  <c r="K23" i="15"/>
  <c r="J24" i="15"/>
  <c r="O24" i="15" s="1"/>
  <c r="L24" i="15"/>
  <c r="K25" i="15"/>
  <c r="O27" i="15" s="1"/>
  <c r="J26" i="15"/>
  <c r="O26" i="15" s="1"/>
  <c r="L26" i="15"/>
  <c r="Q26" i="15" s="1"/>
  <c r="K27" i="15"/>
  <c r="K10" i="15"/>
  <c r="J11" i="15"/>
  <c r="L11" i="15"/>
  <c r="K12" i="15"/>
  <c r="J13" i="15"/>
  <c r="L13" i="15"/>
  <c r="K14" i="15"/>
  <c r="J15" i="15"/>
  <c r="L15" i="15"/>
  <c r="K16" i="15"/>
  <c r="J17" i="15"/>
  <c r="L17" i="15"/>
  <c r="K18" i="15"/>
  <c r="J19" i="15"/>
  <c r="L19" i="15"/>
  <c r="K20" i="15"/>
  <c r="J21" i="15"/>
  <c r="L21" i="15"/>
  <c r="K22" i="15"/>
  <c r="J23" i="15"/>
  <c r="L23" i="15"/>
  <c r="K24" i="15"/>
  <c r="J25" i="15"/>
  <c r="L25" i="15"/>
  <c r="Q25" i="15" s="1"/>
  <c r="J11" i="14"/>
  <c r="L11" i="14"/>
  <c r="K12" i="14"/>
  <c r="J13" i="14"/>
  <c r="L13" i="14"/>
  <c r="J15" i="14"/>
  <c r="L15" i="14"/>
  <c r="J10" i="14"/>
  <c r="L10" i="14"/>
  <c r="K11" i="14"/>
  <c r="P11" i="14" s="1"/>
  <c r="J12" i="14"/>
  <c r="L12" i="14"/>
  <c r="K13" i="14"/>
  <c r="J14" i="14"/>
  <c r="L14" i="14"/>
  <c r="K15" i="14"/>
  <c r="J16" i="14"/>
  <c r="L16" i="14"/>
  <c r="K17" i="14"/>
  <c r="J18" i="14"/>
  <c r="L18" i="14"/>
  <c r="K19" i="14"/>
  <c r="J20" i="14"/>
  <c r="L20" i="14"/>
  <c r="K21" i="14"/>
  <c r="J22" i="14"/>
  <c r="L22" i="14"/>
  <c r="Q22" i="14" s="1"/>
  <c r="K23" i="14"/>
  <c r="J24" i="14"/>
  <c r="O24" i="14" s="1"/>
  <c r="L24" i="14"/>
  <c r="K25" i="14"/>
  <c r="J26" i="14"/>
  <c r="O26" i="14" s="1"/>
  <c r="L26" i="14"/>
  <c r="Q26" i="14" s="1"/>
  <c r="K27" i="14"/>
  <c r="K16" i="14"/>
  <c r="J17" i="14"/>
  <c r="L17" i="14"/>
  <c r="K18" i="14"/>
  <c r="J19" i="14"/>
  <c r="L19" i="14"/>
  <c r="K20" i="14"/>
  <c r="J21" i="14"/>
  <c r="L21" i="14"/>
  <c r="K22" i="14"/>
  <c r="J23" i="14"/>
  <c r="L23" i="14"/>
  <c r="K24" i="14"/>
  <c r="J25" i="14"/>
  <c r="L25" i="14"/>
  <c r="Q25" i="14" s="1"/>
  <c r="J10" i="1"/>
  <c r="O10" i="1" s="1"/>
  <c r="L10" i="1"/>
  <c r="K11" i="1"/>
  <c r="J12" i="1"/>
  <c r="L12" i="1"/>
  <c r="K13" i="1"/>
  <c r="J14" i="1"/>
  <c r="L14" i="1"/>
  <c r="K15" i="1"/>
  <c r="J16" i="1"/>
  <c r="L16" i="1"/>
  <c r="K17" i="1"/>
  <c r="J18" i="1"/>
  <c r="L18" i="1"/>
  <c r="K19" i="1"/>
  <c r="J20" i="1"/>
  <c r="L20" i="1"/>
  <c r="K21" i="1"/>
  <c r="J22" i="1"/>
  <c r="L22" i="1"/>
  <c r="Q22" i="1" s="1"/>
  <c r="K23" i="1"/>
  <c r="J24" i="1"/>
  <c r="O24" i="1" s="1"/>
  <c r="L24" i="1"/>
  <c r="K25" i="1"/>
  <c r="J26" i="1"/>
  <c r="O26" i="1" s="1"/>
  <c r="L26" i="1"/>
  <c r="Q26" i="1" s="1"/>
  <c r="K27" i="1"/>
  <c r="K10" i="1"/>
  <c r="J11" i="1"/>
  <c r="L11" i="1"/>
  <c r="K12" i="1"/>
  <c r="J13" i="1"/>
  <c r="L13" i="1"/>
  <c r="K14" i="1"/>
  <c r="J15" i="1"/>
  <c r="L15" i="1"/>
  <c r="K16" i="1"/>
  <c r="J17" i="1"/>
  <c r="L17" i="1"/>
  <c r="K18" i="1"/>
  <c r="J19" i="1"/>
  <c r="L19" i="1"/>
  <c r="K20" i="1"/>
  <c r="J21" i="1"/>
  <c r="L21" i="1"/>
  <c r="K22" i="1"/>
  <c r="J23" i="1"/>
  <c r="L23" i="1"/>
  <c r="K24" i="1"/>
  <c r="J25" i="1"/>
  <c r="L25" i="1"/>
  <c r="Q25" i="1" s="1"/>
  <c r="K11" i="11"/>
  <c r="P11" i="11" s="1"/>
  <c r="J12" i="11"/>
  <c r="L12" i="11"/>
  <c r="K13" i="11"/>
  <c r="J14" i="11"/>
  <c r="L14" i="11"/>
  <c r="K15" i="11"/>
  <c r="J16" i="11"/>
  <c r="L16" i="11"/>
  <c r="K17" i="11"/>
  <c r="J18" i="11"/>
  <c r="L18" i="11"/>
  <c r="K19" i="11"/>
  <c r="J20" i="11"/>
  <c r="L20" i="11"/>
  <c r="K21" i="11"/>
  <c r="J22" i="11"/>
  <c r="L22" i="11"/>
  <c r="Q22" i="11" s="1"/>
  <c r="K23" i="11"/>
  <c r="J24" i="11"/>
  <c r="O24" i="11" s="1"/>
  <c r="L24" i="11"/>
  <c r="K25" i="11"/>
  <c r="O27" i="11" s="1"/>
  <c r="R27" i="11" s="1"/>
  <c r="K27" i="11"/>
  <c r="K10" i="11"/>
  <c r="J11" i="11"/>
  <c r="L11" i="11"/>
  <c r="K12" i="11"/>
  <c r="J13" i="11"/>
  <c r="L13" i="11"/>
  <c r="K14" i="11"/>
  <c r="J15" i="11"/>
  <c r="L15" i="11"/>
  <c r="K16" i="11"/>
  <c r="J17" i="11"/>
  <c r="L17" i="11"/>
  <c r="K18" i="11"/>
  <c r="J19" i="11"/>
  <c r="L19" i="11"/>
  <c r="K20" i="11"/>
  <c r="J21" i="11"/>
  <c r="L21" i="11"/>
  <c r="K22" i="11"/>
  <c r="J23" i="11"/>
  <c r="R22" i="11" s="1"/>
  <c r="L23" i="11"/>
  <c r="K24" i="11"/>
  <c r="J25" i="11"/>
  <c r="R24" i="11" s="1"/>
  <c r="L25" i="11"/>
  <c r="Q25" i="11" s="1"/>
  <c r="R12" i="1" l="1"/>
  <c r="U11" i="1" s="1"/>
  <c r="P10" i="1"/>
  <c r="Q10" i="1"/>
  <c r="P14" i="14"/>
  <c r="P11" i="1"/>
  <c r="O27" i="1"/>
  <c r="O27" i="14"/>
  <c r="P27" i="14"/>
  <c r="P27" i="15"/>
  <c r="S12" i="14"/>
  <c r="P27" i="1"/>
  <c r="S25" i="1" s="1"/>
  <c r="O27" i="16"/>
  <c r="Q24" i="1"/>
  <c r="P26" i="1"/>
  <c r="T24" i="1"/>
  <c r="T25" i="1"/>
  <c r="R24" i="1"/>
  <c r="P25" i="1"/>
  <c r="O25" i="1"/>
  <c r="R25" i="1" s="1"/>
  <c r="U24" i="1" s="1"/>
  <c r="T23" i="1"/>
  <c r="S24" i="1"/>
  <c r="Q23" i="1"/>
  <c r="P24" i="1"/>
  <c r="T22" i="1"/>
  <c r="P23" i="1"/>
  <c r="Q21" i="1"/>
  <c r="O23" i="1"/>
  <c r="P22" i="1"/>
  <c r="S23" i="1" s="1"/>
  <c r="Q20" i="1"/>
  <c r="R26" i="11"/>
  <c r="P27" i="11"/>
  <c r="S25" i="11" s="1"/>
  <c r="Q24" i="11"/>
  <c r="P26" i="11"/>
  <c r="T24" i="11"/>
  <c r="T25" i="11"/>
  <c r="P25" i="11"/>
  <c r="O25" i="11"/>
  <c r="R25" i="11" s="1"/>
  <c r="Q23" i="11"/>
  <c r="P24" i="11"/>
  <c r="T23" i="11"/>
  <c r="S24" i="11"/>
  <c r="T20" i="11"/>
  <c r="T22" i="11"/>
  <c r="P23" i="11"/>
  <c r="Q21" i="11"/>
  <c r="O23" i="11"/>
  <c r="R23" i="11" s="1"/>
  <c r="P22" i="11"/>
  <c r="Q20" i="11"/>
  <c r="T19" i="11"/>
  <c r="Q24" i="14"/>
  <c r="P26" i="14"/>
  <c r="T24" i="14"/>
  <c r="T25" i="14"/>
  <c r="P25" i="14"/>
  <c r="R24" i="14"/>
  <c r="O25" i="14"/>
  <c r="R25" i="14" s="1"/>
  <c r="S25" i="14"/>
  <c r="Q23" i="14"/>
  <c r="P24" i="14"/>
  <c r="T20" i="14" s="1"/>
  <c r="T23" i="14"/>
  <c r="S24" i="14"/>
  <c r="T22" i="14"/>
  <c r="O23" i="14"/>
  <c r="R23" i="14" s="1"/>
  <c r="P23" i="14"/>
  <c r="S22" i="14" s="1"/>
  <c r="Q21" i="14"/>
  <c r="P22" i="14"/>
  <c r="Q20" i="14"/>
  <c r="P27" i="16"/>
  <c r="T22" i="16" s="1"/>
  <c r="Q24" i="16"/>
  <c r="P26" i="16"/>
  <c r="T24" i="16"/>
  <c r="T25" i="16"/>
  <c r="O23" i="16"/>
  <c r="R23" i="16" s="1"/>
  <c r="R24" i="16"/>
  <c r="O25" i="16"/>
  <c r="R25" i="16" s="1"/>
  <c r="S25" i="16"/>
  <c r="P25" i="16"/>
  <c r="Q23" i="16"/>
  <c r="P24" i="16"/>
  <c r="T23" i="16"/>
  <c r="S24" i="16"/>
  <c r="T20" i="16"/>
  <c r="P23" i="16"/>
  <c r="Q21" i="16"/>
  <c r="P22" i="16"/>
  <c r="Q20" i="16"/>
  <c r="Q24" i="15"/>
  <c r="P26" i="15"/>
  <c r="T24" i="15"/>
  <c r="T25" i="15"/>
  <c r="R24" i="15"/>
  <c r="P25" i="15"/>
  <c r="O25" i="15"/>
  <c r="R25" i="15" s="1"/>
  <c r="S25" i="15"/>
  <c r="T23" i="15"/>
  <c r="S24" i="15"/>
  <c r="Q23" i="15"/>
  <c r="P24" i="15"/>
  <c r="T20" i="15" s="1"/>
  <c r="T22" i="15"/>
  <c r="P23" i="15"/>
  <c r="Q21" i="15"/>
  <c r="O23" i="15"/>
  <c r="R23" i="15" s="1"/>
  <c r="P22" i="15"/>
  <c r="Q20" i="15"/>
  <c r="P20" i="16"/>
  <c r="O19" i="16"/>
  <c r="R18" i="16"/>
  <c r="Q17" i="16"/>
  <c r="P16" i="16"/>
  <c r="O15" i="16"/>
  <c r="R14" i="16"/>
  <c r="Q13" i="16"/>
  <c r="P12" i="16"/>
  <c r="O11" i="16"/>
  <c r="P21" i="16"/>
  <c r="S20" i="16" s="1"/>
  <c r="O20" i="16"/>
  <c r="R19" i="16"/>
  <c r="Q18" i="16"/>
  <c r="P17" i="16"/>
  <c r="T14" i="16" s="1"/>
  <c r="O16" i="16"/>
  <c r="Q14" i="16"/>
  <c r="P13" i="16"/>
  <c r="S11" i="16" s="1"/>
  <c r="O12" i="16"/>
  <c r="R11" i="16"/>
  <c r="O10" i="16"/>
  <c r="R22" i="16"/>
  <c r="O21" i="16"/>
  <c r="R20" i="16"/>
  <c r="Q19" i="16"/>
  <c r="T16" i="16"/>
  <c r="P18" i="16"/>
  <c r="S16" i="16" s="1"/>
  <c r="O17" i="16"/>
  <c r="R16" i="16"/>
  <c r="Q15" i="16"/>
  <c r="S12" i="16"/>
  <c r="P14" i="16"/>
  <c r="S15" i="16" s="1"/>
  <c r="O13" i="16"/>
  <c r="R12" i="16" s="1"/>
  <c r="S22" i="16"/>
  <c r="Q11" i="16"/>
  <c r="O22" i="16"/>
  <c r="R21" i="16"/>
  <c r="P19" i="16"/>
  <c r="S19" i="16" s="1"/>
  <c r="S17" i="16"/>
  <c r="O18" i="16"/>
  <c r="R17" i="16"/>
  <c r="Q16" i="16"/>
  <c r="T13" i="16"/>
  <c r="P15" i="16"/>
  <c r="T11" i="16" s="1"/>
  <c r="O14" i="16"/>
  <c r="R13" i="16"/>
  <c r="Q12" i="16"/>
  <c r="S23" i="16"/>
  <c r="T19" i="16"/>
  <c r="Q10" i="16"/>
  <c r="S13" i="16" s="1"/>
  <c r="P20" i="15"/>
  <c r="O19" i="15"/>
  <c r="R18" i="15" s="1"/>
  <c r="Q17" i="15"/>
  <c r="P16" i="15"/>
  <c r="O15" i="15"/>
  <c r="R14" i="15"/>
  <c r="Q13" i="15"/>
  <c r="P12" i="15"/>
  <c r="O11" i="15"/>
  <c r="O22" i="15"/>
  <c r="P19" i="15"/>
  <c r="S17" i="15"/>
  <c r="O18" i="15"/>
  <c r="Q16" i="15"/>
  <c r="T13" i="15"/>
  <c r="P15" i="15"/>
  <c r="O14" i="15"/>
  <c r="Q12" i="15"/>
  <c r="S23" i="15"/>
  <c r="O10" i="15"/>
  <c r="R26" i="15" s="1"/>
  <c r="R22" i="15"/>
  <c r="O21" i="15"/>
  <c r="R21" i="15" s="1"/>
  <c r="R20" i="15"/>
  <c r="Q19" i="15"/>
  <c r="P18" i="15"/>
  <c r="S16" i="15" s="1"/>
  <c r="O17" i="15"/>
  <c r="R17" i="15" s="1"/>
  <c r="R16" i="15"/>
  <c r="Q15" i="15"/>
  <c r="T12" i="15"/>
  <c r="P14" i="15"/>
  <c r="O13" i="15"/>
  <c r="R10" i="15" s="1"/>
  <c r="Q11" i="15"/>
  <c r="S21" i="15"/>
  <c r="P10" i="15"/>
  <c r="S22" i="15" s="1"/>
  <c r="P21" i="15"/>
  <c r="S20" i="15" s="1"/>
  <c r="S19" i="15"/>
  <c r="O20" i="15"/>
  <c r="R19" i="15"/>
  <c r="Q18" i="15"/>
  <c r="T15" i="15"/>
  <c r="P17" i="15"/>
  <c r="T14" i="15" s="1"/>
  <c r="S15" i="15"/>
  <c r="O16" i="15"/>
  <c r="R15" i="15"/>
  <c r="Q14" i="15"/>
  <c r="P13" i="15"/>
  <c r="S11" i="15"/>
  <c r="O12" i="15"/>
  <c r="R13" i="15" s="1"/>
  <c r="R11" i="15"/>
  <c r="T19" i="15"/>
  <c r="Q10" i="15"/>
  <c r="S13" i="15" s="1"/>
  <c r="P20" i="14"/>
  <c r="O19" i="14"/>
  <c r="R18" i="14" s="1"/>
  <c r="Q17" i="14"/>
  <c r="P16" i="14"/>
  <c r="S14" i="14"/>
  <c r="P21" i="14"/>
  <c r="S20" i="14" s="1"/>
  <c r="O20" i="14"/>
  <c r="R19" i="14"/>
  <c r="Q18" i="14"/>
  <c r="P17" i="14"/>
  <c r="T14" i="14" s="1"/>
  <c r="O16" i="14"/>
  <c r="Q14" i="14"/>
  <c r="P13" i="14"/>
  <c r="S11" i="14" s="1"/>
  <c r="O12" i="14"/>
  <c r="R22" i="14"/>
  <c r="O10" i="14"/>
  <c r="O15" i="14"/>
  <c r="S15" i="14" s="1"/>
  <c r="R14" i="14"/>
  <c r="O13" i="14"/>
  <c r="Q11" i="14"/>
  <c r="O21" i="14"/>
  <c r="R20" i="14"/>
  <c r="Q19" i="14"/>
  <c r="P18" i="14"/>
  <c r="S16" i="14" s="1"/>
  <c r="O17" i="14"/>
  <c r="R16" i="14"/>
  <c r="O22" i="14"/>
  <c r="R21" i="14"/>
  <c r="P19" i="14"/>
  <c r="S19" i="14" s="1"/>
  <c r="S17" i="14"/>
  <c r="O18" i="14"/>
  <c r="R17" i="14"/>
  <c r="Q16" i="14"/>
  <c r="T13" i="14"/>
  <c r="P15" i="14"/>
  <c r="T11" i="14" s="1"/>
  <c r="O14" i="14"/>
  <c r="R13" i="14"/>
  <c r="S23" i="14"/>
  <c r="Q12" i="14"/>
  <c r="T19" i="14"/>
  <c r="Q10" i="14"/>
  <c r="Q15" i="14"/>
  <c r="Q13" i="14"/>
  <c r="T10" i="14"/>
  <c r="P12" i="14"/>
  <c r="S10" i="14"/>
  <c r="O11" i="14"/>
  <c r="R10" i="14"/>
  <c r="P20" i="1"/>
  <c r="O19" i="1"/>
  <c r="Q17" i="1"/>
  <c r="P16" i="1"/>
  <c r="O15" i="1"/>
  <c r="Q13" i="1"/>
  <c r="P12" i="1"/>
  <c r="O11" i="1"/>
  <c r="O22" i="1"/>
  <c r="P19" i="1"/>
  <c r="O18" i="1"/>
  <c r="Q16" i="1"/>
  <c r="P15" i="1"/>
  <c r="O14" i="1"/>
  <c r="Q12" i="1"/>
  <c r="R22" i="1"/>
  <c r="U21" i="1" s="1"/>
  <c r="O21" i="1"/>
  <c r="R20" i="1"/>
  <c r="U19" i="1" s="1"/>
  <c r="Q19" i="1"/>
  <c r="P18" i="1"/>
  <c r="S16" i="1" s="1"/>
  <c r="O17" i="1"/>
  <c r="R16" i="1"/>
  <c r="U15" i="1" s="1"/>
  <c r="Q15" i="1"/>
  <c r="P14" i="1"/>
  <c r="O13" i="1"/>
  <c r="Q11" i="1"/>
  <c r="P21" i="1"/>
  <c r="S20" i="1" s="1"/>
  <c r="O20" i="1"/>
  <c r="R19" i="1"/>
  <c r="U18" i="1" s="1"/>
  <c r="Q18" i="1"/>
  <c r="P17" i="1"/>
  <c r="O16" i="1"/>
  <c r="Q14" i="1"/>
  <c r="P13" i="1"/>
  <c r="O12" i="1"/>
  <c r="T19" i="1"/>
  <c r="P20" i="11"/>
  <c r="O19" i="11"/>
  <c r="R18" i="11"/>
  <c r="Q17" i="11"/>
  <c r="P16" i="11"/>
  <c r="O15" i="11"/>
  <c r="R14" i="11"/>
  <c r="Q13" i="11"/>
  <c r="P12" i="11"/>
  <c r="O11" i="11"/>
  <c r="P10" i="11"/>
  <c r="O22" i="11"/>
  <c r="P19" i="11"/>
  <c r="S17" i="11"/>
  <c r="O18" i="11"/>
  <c r="Q16" i="11"/>
  <c r="T13" i="11"/>
  <c r="P15" i="11"/>
  <c r="S13" i="11"/>
  <c r="O14" i="11"/>
  <c r="Q12" i="11"/>
  <c r="S23" i="11"/>
  <c r="O21" i="11"/>
  <c r="R21" i="11" s="1"/>
  <c r="R20" i="11"/>
  <c r="Q19" i="11"/>
  <c r="P18" i="11"/>
  <c r="S21" i="11" s="1"/>
  <c r="O17" i="11"/>
  <c r="R17" i="11" s="1"/>
  <c r="R16" i="11"/>
  <c r="Q15" i="11"/>
  <c r="T12" i="11"/>
  <c r="S12" i="11"/>
  <c r="P14" i="11"/>
  <c r="O13" i="11"/>
  <c r="R12" i="11" s="1"/>
  <c r="S22" i="11"/>
  <c r="Q11" i="11"/>
  <c r="P21" i="11"/>
  <c r="S20" i="11" s="1"/>
  <c r="O20" i="11"/>
  <c r="R19" i="11"/>
  <c r="Q18" i="11"/>
  <c r="T15" i="11"/>
  <c r="P17" i="11"/>
  <c r="T14" i="11" s="1"/>
  <c r="S15" i="11"/>
  <c r="O16" i="11"/>
  <c r="R15" i="11" s="1"/>
  <c r="Q14" i="11"/>
  <c r="T11" i="11"/>
  <c r="P13" i="11"/>
  <c r="S11" i="11" s="1"/>
  <c r="O12" i="11"/>
  <c r="R13" i="11" s="1"/>
  <c r="R11" i="11"/>
  <c r="R23" i="1" l="1"/>
  <c r="U22" i="1" s="1"/>
  <c r="R21" i="1"/>
  <c r="U20" i="1" s="1"/>
  <c r="S17" i="1"/>
  <c r="S15" i="1"/>
  <c r="S11" i="1"/>
  <c r="S14" i="1"/>
  <c r="S10" i="1"/>
  <c r="S12" i="1"/>
  <c r="V10" i="1" s="1"/>
  <c r="T15" i="1"/>
  <c r="T16" i="1"/>
  <c r="T20" i="1"/>
  <c r="T17" i="1"/>
  <c r="T18" i="1"/>
  <c r="T14" i="1"/>
  <c r="T13" i="1"/>
  <c r="T12" i="1"/>
  <c r="S13" i="1"/>
  <c r="R18" i="1"/>
  <c r="U17" i="1" s="1"/>
  <c r="S19" i="1"/>
  <c r="R10" i="1"/>
  <c r="R11" i="1"/>
  <c r="U10" i="1" s="1"/>
  <c r="R13" i="1"/>
  <c r="U12" i="1" s="1"/>
  <c r="R15" i="1"/>
  <c r="U14" i="1" s="1"/>
  <c r="R14" i="1"/>
  <c r="U13" i="1" s="1"/>
  <c r="T11" i="1"/>
  <c r="T10" i="1"/>
  <c r="W21" i="1" s="1"/>
  <c r="R17" i="1"/>
  <c r="U16" i="1" s="1"/>
  <c r="S21" i="1"/>
  <c r="V19" i="1" s="1"/>
  <c r="R26" i="16"/>
  <c r="R26" i="14"/>
  <c r="S13" i="14"/>
  <c r="R15" i="16"/>
  <c r="T16" i="11"/>
  <c r="S19" i="11"/>
  <c r="S22" i="1"/>
  <c r="R26" i="1"/>
  <c r="U25" i="1" s="1"/>
  <c r="R10" i="16"/>
  <c r="U10" i="16" s="1"/>
  <c r="S14" i="16"/>
  <c r="V12" i="16" s="1"/>
  <c r="T10" i="16"/>
  <c r="S10" i="16"/>
  <c r="V11" i="16" s="1"/>
  <c r="V14" i="16"/>
  <c r="T15" i="16"/>
  <c r="W13" i="16" s="1"/>
  <c r="T12" i="16"/>
  <c r="W27" i="16" s="1"/>
  <c r="T17" i="16"/>
  <c r="V10" i="16"/>
  <c r="S21" i="16"/>
  <c r="U21" i="16" s="1"/>
  <c r="S18" i="16"/>
  <c r="V16" i="16" s="1"/>
  <c r="V13" i="16"/>
  <c r="V17" i="16"/>
  <c r="W11" i="16"/>
  <c r="T18" i="16"/>
  <c r="W15" i="16" s="1"/>
  <c r="S12" i="15"/>
  <c r="S14" i="15"/>
  <c r="V13" i="15" s="1"/>
  <c r="S10" i="15"/>
  <c r="T11" i="15"/>
  <c r="T10" i="15"/>
  <c r="W12" i="15" s="1"/>
  <c r="T16" i="15"/>
  <c r="T17" i="15"/>
  <c r="W13" i="15"/>
  <c r="S18" i="15"/>
  <c r="V17" i="15" s="1"/>
  <c r="W11" i="15"/>
  <c r="V11" i="15"/>
  <c r="W10" i="15"/>
  <c r="V15" i="15"/>
  <c r="U15" i="15"/>
  <c r="V14" i="15"/>
  <c r="U16" i="15"/>
  <c r="T18" i="15"/>
  <c r="W14" i="15" s="1"/>
  <c r="R11" i="14"/>
  <c r="U10" i="14" s="1"/>
  <c r="R12" i="14"/>
  <c r="R15" i="14"/>
  <c r="T16" i="14"/>
  <c r="T21" i="14"/>
  <c r="R10" i="11"/>
  <c r="U26" i="11" s="1"/>
  <c r="T12" i="14"/>
  <c r="W27" i="14" s="1"/>
  <c r="V14" i="14"/>
  <c r="V20" i="15"/>
  <c r="U17" i="15"/>
  <c r="T15" i="14"/>
  <c r="W13" i="14" s="1"/>
  <c r="T17" i="14"/>
  <c r="V11" i="14"/>
  <c r="S18" i="14"/>
  <c r="W10" i="14"/>
  <c r="V16" i="14"/>
  <c r="S21" i="14"/>
  <c r="V15" i="14" s="1"/>
  <c r="U17" i="14"/>
  <c r="V10" i="14"/>
  <c r="V13" i="14"/>
  <c r="V12" i="14"/>
  <c r="W11" i="14"/>
  <c r="T18" i="14"/>
  <c r="T10" i="11"/>
  <c r="V19" i="11" s="1"/>
  <c r="S14" i="11"/>
  <c r="S10" i="11"/>
  <c r="V11" i="11" s="1"/>
  <c r="T17" i="11"/>
  <c r="S16" i="11"/>
  <c r="W13" i="11"/>
  <c r="S18" i="11"/>
  <c r="V16" i="11" s="1"/>
  <c r="U15" i="11"/>
  <c r="V14" i="11"/>
  <c r="U12" i="11"/>
  <c r="U16" i="11"/>
  <c r="U13" i="11"/>
  <c r="U17" i="11"/>
  <c r="W10" i="11"/>
  <c r="W11" i="11"/>
  <c r="T18" i="11"/>
  <c r="S18" i="1"/>
  <c r="W17" i="16"/>
  <c r="U20" i="16"/>
  <c r="U19" i="16"/>
  <c r="U18" i="16"/>
  <c r="W26" i="1"/>
  <c r="T26" i="1"/>
  <c r="T27" i="1"/>
  <c r="R27" i="1"/>
  <c r="S26" i="1"/>
  <c r="V27" i="1" s="1"/>
  <c r="T21" i="1"/>
  <c r="S27" i="1"/>
  <c r="W26" i="11"/>
  <c r="W27" i="11"/>
  <c r="T26" i="11"/>
  <c r="T27" i="11"/>
  <c r="U11" i="11"/>
  <c r="U27" i="11"/>
  <c r="S26" i="11"/>
  <c r="V27" i="11" s="1"/>
  <c r="T21" i="11"/>
  <c r="W18" i="11" s="1"/>
  <c r="S27" i="11"/>
  <c r="V26" i="11" s="1"/>
  <c r="U14" i="11"/>
  <c r="W24" i="11"/>
  <c r="W25" i="11"/>
  <c r="V25" i="11"/>
  <c r="U25" i="11"/>
  <c r="V24" i="11"/>
  <c r="U22" i="11"/>
  <c r="U24" i="11"/>
  <c r="W22" i="11"/>
  <c r="W23" i="11"/>
  <c r="U21" i="11"/>
  <c r="V21" i="11"/>
  <c r="U23" i="11"/>
  <c r="V23" i="11"/>
  <c r="W21" i="11"/>
  <c r="W16" i="11"/>
  <c r="U18" i="11"/>
  <c r="V22" i="11"/>
  <c r="U19" i="11"/>
  <c r="U20" i="11"/>
  <c r="V18" i="11"/>
  <c r="T26" i="14"/>
  <c r="W23" i="14" s="1"/>
  <c r="T27" i="14"/>
  <c r="W24" i="14" s="1"/>
  <c r="W25" i="14"/>
  <c r="W26" i="14"/>
  <c r="R27" i="14"/>
  <c r="U27" i="14" s="1"/>
  <c r="S27" i="14"/>
  <c r="V26" i="14" s="1"/>
  <c r="S26" i="14"/>
  <c r="V27" i="14" s="1"/>
  <c r="U12" i="14"/>
  <c r="U15" i="14"/>
  <c r="U13" i="14"/>
  <c r="U14" i="14"/>
  <c r="V21" i="14"/>
  <c r="U20" i="14"/>
  <c r="U19" i="14"/>
  <c r="U25" i="14"/>
  <c r="V25" i="14"/>
  <c r="U22" i="14"/>
  <c r="U24" i="14"/>
  <c r="U18" i="14"/>
  <c r="U11" i="14"/>
  <c r="W21" i="14"/>
  <c r="V22" i="14"/>
  <c r="W22" i="14"/>
  <c r="V20" i="14"/>
  <c r="U23" i="14"/>
  <c r="W18" i="14"/>
  <c r="U16" i="14"/>
  <c r="U21" i="14"/>
  <c r="V18" i="14"/>
  <c r="W20" i="14"/>
  <c r="V23" i="14"/>
  <c r="W15" i="14"/>
  <c r="T26" i="16"/>
  <c r="W23" i="16" s="1"/>
  <c r="T27" i="16"/>
  <c r="W26" i="16"/>
  <c r="R27" i="16"/>
  <c r="S26" i="16"/>
  <c r="V27" i="16" s="1"/>
  <c r="T21" i="16"/>
  <c r="W18" i="16" s="1"/>
  <c r="S27" i="16"/>
  <c r="U12" i="16"/>
  <c r="U15" i="16"/>
  <c r="U14" i="16"/>
  <c r="U13" i="16"/>
  <c r="W21" i="16"/>
  <c r="U22" i="16"/>
  <c r="U24" i="16"/>
  <c r="U11" i="16"/>
  <c r="V21" i="16"/>
  <c r="V22" i="16"/>
  <c r="V20" i="16"/>
  <c r="U23" i="16"/>
  <c r="U17" i="16"/>
  <c r="W19" i="16"/>
  <c r="V23" i="16"/>
  <c r="V18" i="16"/>
  <c r="U16" i="16"/>
  <c r="T26" i="15"/>
  <c r="T27" i="15"/>
  <c r="W26" i="15"/>
  <c r="W27" i="15"/>
  <c r="R12" i="15"/>
  <c r="U11" i="15" s="1"/>
  <c r="R27" i="15"/>
  <c r="U27" i="15" s="1"/>
  <c r="S26" i="15"/>
  <c r="V27" i="15" s="1"/>
  <c r="U14" i="15"/>
  <c r="T21" i="15"/>
  <c r="S27" i="15"/>
  <c r="V26" i="15" s="1"/>
  <c r="W24" i="15"/>
  <c r="W25" i="15"/>
  <c r="U25" i="15"/>
  <c r="V19" i="15"/>
  <c r="U22" i="15"/>
  <c r="U24" i="15"/>
  <c r="W23" i="15"/>
  <c r="V21" i="15"/>
  <c r="U23" i="15"/>
  <c r="V23" i="15"/>
  <c r="W21" i="15"/>
  <c r="W19" i="15"/>
  <c r="W20" i="15"/>
  <c r="U18" i="15"/>
  <c r="V22" i="15"/>
  <c r="U19" i="15"/>
  <c r="U21" i="15"/>
  <c r="W18" i="15"/>
  <c r="U20" i="15"/>
  <c r="V18" i="15"/>
  <c r="W15" i="11" l="1"/>
  <c r="W19" i="14"/>
  <c r="W22" i="15"/>
  <c r="W19" i="11"/>
  <c r="W23" i="1"/>
  <c r="W22" i="1"/>
  <c r="U23" i="1"/>
  <c r="V23" i="1"/>
  <c r="W17" i="1"/>
  <c r="W18" i="1"/>
  <c r="V13" i="1"/>
  <c r="W12" i="1"/>
  <c r="V20" i="1"/>
  <c r="W11" i="1"/>
  <c r="W10" i="1"/>
  <c r="W14" i="1"/>
  <c r="V12" i="1"/>
  <c r="V14" i="1"/>
  <c r="V15" i="1"/>
  <c r="W16" i="1"/>
  <c r="V11" i="1"/>
  <c r="V24" i="1"/>
  <c r="W15" i="1"/>
  <c r="V16" i="1"/>
  <c r="V17" i="1"/>
  <c r="W13" i="1"/>
  <c r="V22" i="1"/>
  <c r="W19" i="1"/>
  <c r="V25" i="1"/>
  <c r="V21" i="1"/>
  <c r="W20" i="1"/>
  <c r="V18" i="1"/>
  <c r="AE23" i="1"/>
  <c r="AE19" i="1"/>
  <c r="AE20" i="1"/>
  <c r="U27" i="1"/>
  <c r="V12" i="15"/>
  <c r="U25" i="16"/>
  <c r="W25" i="16"/>
  <c r="V15" i="11"/>
  <c r="V12" i="11"/>
  <c r="W20" i="11"/>
  <c r="V24" i="14"/>
  <c r="W24" i="16"/>
  <c r="V26" i="16"/>
  <c r="V19" i="16"/>
  <c r="W12" i="16"/>
  <c r="U27" i="16"/>
  <c r="W15" i="15"/>
  <c r="V16" i="15"/>
  <c r="W16" i="15"/>
  <c r="W14" i="16"/>
  <c r="W14" i="11"/>
  <c r="U10" i="11"/>
  <c r="V13" i="11"/>
  <c r="W27" i="1"/>
  <c r="W25" i="1"/>
  <c r="W24" i="1"/>
  <c r="W10" i="16"/>
  <c r="V15" i="16"/>
  <c r="W16" i="16"/>
  <c r="W20" i="16"/>
  <c r="V10" i="15"/>
  <c r="U10" i="15"/>
  <c r="U12" i="15"/>
  <c r="U13" i="15"/>
  <c r="W17" i="15"/>
  <c r="W12" i="14"/>
  <c r="V19" i="14"/>
  <c r="V24" i="15"/>
  <c r="V10" i="11"/>
  <c r="W16" i="14"/>
  <c r="W14" i="14"/>
  <c r="V25" i="15"/>
  <c r="V17" i="14"/>
  <c r="W17" i="14"/>
  <c r="W12" i="11"/>
  <c r="V17" i="11"/>
  <c r="W17" i="11"/>
  <c r="V20" i="11"/>
  <c r="W22" i="16"/>
  <c r="V25" i="16"/>
  <c r="V24" i="16"/>
  <c r="U26" i="15"/>
  <c r="U26" i="14"/>
  <c r="U26" i="16"/>
  <c r="AM79" i="16" l="1"/>
  <c r="AL79" i="16"/>
  <c r="AH79" i="16"/>
  <c r="AG79" i="16"/>
  <c r="AC79" i="16"/>
  <c r="AB79" i="16"/>
  <c r="AM75" i="16"/>
  <c r="AL75" i="16"/>
  <c r="AH75" i="16"/>
  <c r="AG75" i="16"/>
  <c r="AC75" i="16"/>
  <c r="AB75" i="16"/>
  <c r="AM71" i="16"/>
  <c r="AL71" i="16"/>
  <c r="AH71" i="16"/>
  <c r="AG71" i="16"/>
  <c r="AC71" i="16"/>
  <c r="AB71" i="16"/>
  <c r="AM67" i="16"/>
  <c r="AL67" i="16"/>
  <c r="AH67" i="16"/>
  <c r="AG67" i="16"/>
  <c r="AC67" i="16"/>
  <c r="AB67" i="16"/>
  <c r="AM63" i="16"/>
  <c r="AL63" i="16"/>
  <c r="AH63" i="16"/>
  <c r="AG63" i="16"/>
  <c r="AC63" i="16"/>
  <c r="AB63" i="16"/>
  <c r="AM59" i="16"/>
  <c r="AL59" i="16"/>
  <c r="AH59" i="16"/>
  <c r="AG59" i="16"/>
  <c r="AC59" i="16"/>
  <c r="AB59" i="16"/>
  <c r="AM55" i="16"/>
  <c r="AL55" i="16"/>
  <c r="AH55" i="16"/>
  <c r="AG55" i="16"/>
  <c r="AC55" i="16"/>
  <c r="AB55" i="16"/>
  <c r="AM51" i="16"/>
  <c r="AL51" i="16"/>
  <c r="AH51" i="16"/>
  <c r="AG51" i="16"/>
  <c r="AC51" i="16"/>
  <c r="AB51" i="16"/>
  <c r="AM47" i="16"/>
  <c r="AL47" i="16"/>
  <c r="AH47" i="16"/>
  <c r="AG47" i="16"/>
  <c r="AC47" i="16"/>
  <c r="AB47" i="16"/>
  <c r="AM43" i="16"/>
  <c r="AL43" i="16"/>
  <c r="AH43" i="16"/>
  <c r="AG43" i="16"/>
  <c r="AC43" i="16"/>
  <c r="AB43" i="16"/>
  <c r="AM39" i="16"/>
  <c r="AL39" i="16"/>
  <c r="AH39" i="16"/>
  <c r="AG39" i="16"/>
  <c r="AC39" i="16"/>
  <c r="AB39" i="16"/>
  <c r="AM35" i="16"/>
  <c r="AL35" i="16"/>
  <c r="AH35" i="16"/>
  <c r="AG35" i="16"/>
  <c r="AC35" i="16"/>
  <c r="AB35" i="16"/>
  <c r="AM31" i="16"/>
  <c r="AL31" i="16"/>
  <c r="AH31" i="16"/>
  <c r="AG31" i="16"/>
  <c r="AC31" i="16"/>
  <c r="AB31" i="16"/>
  <c r="AM27" i="16"/>
  <c r="AL27" i="16"/>
  <c r="AH27" i="16"/>
  <c r="AG27" i="16"/>
  <c r="AC27" i="16"/>
  <c r="AB27" i="16"/>
  <c r="AJ81" i="16"/>
  <c r="AJ80" i="16"/>
  <c r="AJ79" i="16"/>
  <c r="AE81" i="16"/>
  <c r="AE80" i="16"/>
  <c r="AE79" i="16"/>
  <c r="Z81" i="16"/>
  <c r="Z80" i="16"/>
  <c r="Z79" i="16"/>
  <c r="AJ77" i="16"/>
  <c r="AJ76" i="16"/>
  <c r="AJ75" i="16"/>
  <c r="AE77" i="16"/>
  <c r="AE76" i="16"/>
  <c r="AE75" i="16"/>
  <c r="Z77" i="16"/>
  <c r="Z76" i="16"/>
  <c r="Z75" i="16"/>
  <c r="AJ73" i="16"/>
  <c r="AJ72" i="16"/>
  <c r="AJ71" i="16"/>
  <c r="AE73" i="16"/>
  <c r="AE72" i="16"/>
  <c r="AE71" i="16"/>
  <c r="Z73" i="16"/>
  <c r="Z72" i="16"/>
  <c r="Z71" i="16"/>
  <c r="AJ69" i="16"/>
  <c r="AJ68" i="16"/>
  <c r="AJ67" i="16"/>
  <c r="AE69" i="16"/>
  <c r="AE68" i="16"/>
  <c r="AE67" i="16"/>
  <c r="Z69" i="16"/>
  <c r="Z68" i="16"/>
  <c r="Z67" i="16"/>
  <c r="AM23" i="16"/>
  <c r="AL23" i="16"/>
  <c r="AH23" i="16"/>
  <c r="AG23" i="16"/>
  <c r="AC23" i="16"/>
  <c r="AB23" i="16"/>
  <c r="AJ65" i="16"/>
  <c r="AE65" i="16"/>
  <c r="Z65" i="16"/>
  <c r="AJ61" i="16"/>
  <c r="AE61" i="16"/>
  <c r="Z61" i="16"/>
  <c r="AJ57" i="16"/>
  <c r="AE57" i="16"/>
  <c r="Z57" i="16"/>
  <c r="AJ53" i="16"/>
  <c r="AE53" i="16"/>
  <c r="Z53" i="16"/>
  <c r="AM19" i="16"/>
  <c r="AL19" i="16"/>
  <c r="AH19" i="16"/>
  <c r="AG19" i="16"/>
  <c r="AC19" i="16"/>
  <c r="AB19" i="16"/>
  <c r="AM15" i="16"/>
  <c r="AL15" i="16"/>
  <c r="AH15" i="16"/>
  <c r="AG15" i="16"/>
  <c r="AC15" i="16"/>
  <c r="AB15" i="16"/>
  <c r="AM11" i="16"/>
  <c r="AL11" i="16"/>
  <c r="AH11" i="16"/>
  <c r="AG11" i="16"/>
  <c r="AC11" i="16"/>
  <c r="AB11" i="16"/>
  <c r="Z12" i="16"/>
  <c r="S5" i="16"/>
  <c r="A5" i="16"/>
  <c r="AM79" i="15"/>
  <c r="AL79" i="15"/>
  <c r="AH79" i="15"/>
  <c r="AG79" i="15"/>
  <c r="AC79" i="15"/>
  <c r="AB79" i="15"/>
  <c r="AM75" i="15"/>
  <c r="AL75" i="15"/>
  <c r="AH75" i="15"/>
  <c r="AG75" i="15"/>
  <c r="AC75" i="15"/>
  <c r="AB75" i="15"/>
  <c r="AM71" i="15"/>
  <c r="AL71" i="15"/>
  <c r="AH71" i="15"/>
  <c r="AG71" i="15"/>
  <c r="AC71" i="15"/>
  <c r="AB71" i="15"/>
  <c r="AM67" i="15"/>
  <c r="AL67" i="15"/>
  <c r="AH67" i="15"/>
  <c r="AG67" i="15"/>
  <c r="AC67" i="15"/>
  <c r="AB67" i="15"/>
  <c r="AM63" i="15"/>
  <c r="AL63" i="15"/>
  <c r="AH63" i="15"/>
  <c r="AG63" i="15"/>
  <c r="AC63" i="15"/>
  <c r="AB63" i="15"/>
  <c r="AM59" i="15"/>
  <c r="AL59" i="15"/>
  <c r="AH59" i="15"/>
  <c r="AG59" i="15"/>
  <c r="AC59" i="15"/>
  <c r="AB59" i="15"/>
  <c r="AM55" i="15"/>
  <c r="AL55" i="15"/>
  <c r="AH55" i="15"/>
  <c r="AG55" i="15"/>
  <c r="AC55" i="15"/>
  <c r="AB55" i="15"/>
  <c r="AM51" i="15"/>
  <c r="AL51" i="15"/>
  <c r="AH51" i="15"/>
  <c r="AG51" i="15"/>
  <c r="AC51" i="15"/>
  <c r="AB51" i="15"/>
  <c r="AM47" i="15"/>
  <c r="AL47" i="15"/>
  <c r="AH47" i="15"/>
  <c r="AG47" i="15"/>
  <c r="AC47" i="15"/>
  <c r="AB47" i="15"/>
  <c r="AM43" i="15"/>
  <c r="AL43" i="15"/>
  <c r="AH43" i="15"/>
  <c r="AG43" i="15"/>
  <c r="AC43" i="15"/>
  <c r="AB43" i="15"/>
  <c r="AM39" i="15"/>
  <c r="AL39" i="15"/>
  <c r="AH39" i="15"/>
  <c r="AG39" i="15"/>
  <c r="AC39" i="15"/>
  <c r="AB39" i="15"/>
  <c r="AM35" i="15"/>
  <c r="AL35" i="15"/>
  <c r="AH35" i="15"/>
  <c r="AG35" i="15"/>
  <c r="AC35" i="15"/>
  <c r="AB35" i="15"/>
  <c r="AM31" i="15"/>
  <c r="AL31" i="15"/>
  <c r="AH31" i="15"/>
  <c r="AG31" i="15"/>
  <c r="AC31" i="15"/>
  <c r="AB31" i="15"/>
  <c r="AM27" i="15"/>
  <c r="AL27" i="15"/>
  <c r="AH27" i="15"/>
  <c r="AG27" i="15"/>
  <c r="AC27" i="15"/>
  <c r="AB27" i="15"/>
  <c r="AJ81" i="15"/>
  <c r="AJ80" i="15"/>
  <c r="AJ79" i="15"/>
  <c r="AE81" i="15"/>
  <c r="AE80" i="15"/>
  <c r="AE79" i="15"/>
  <c r="Z81" i="15"/>
  <c r="Z80" i="15"/>
  <c r="Z79" i="15"/>
  <c r="AJ77" i="15"/>
  <c r="AJ76" i="15"/>
  <c r="AJ75" i="15"/>
  <c r="AE77" i="15"/>
  <c r="AE76" i="15"/>
  <c r="AE75" i="15"/>
  <c r="Z77" i="15"/>
  <c r="Z76" i="15"/>
  <c r="Z75" i="15"/>
  <c r="AJ73" i="15"/>
  <c r="AJ72" i="15"/>
  <c r="AJ71" i="15"/>
  <c r="AE73" i="15"/>
  <c r="AE72" i="15"/>
  <c r="AE71" i="15"/>
  <c r="Z73" i="15"/>
  <c r="Z72" i="15"/>
  <c r="Z71" i="15"/>
  <c r="AJ69" i="15"/>
  <c r="AJ68" i="15"/>
  <c r="AJ67" i="15"/>
  <c r="AE69" i="15"/>
  <c r="AE68" i="15"/>
  <c r="AE67" i="15"/>
  <c r="Z69" i="15"/>
  <c r="Z68" i="15"/>
  <c r="Z67" i="15"/>
  <c r="AM23" i="15"/>
  <c r="AL23" i="15"/>
  <c r="AH23" i="15"/>
  <c r="AG23" i="15"/>
  <c r="AC23" i="15"/>
  <c r="AB23" i="15"/>
  <c r="AJ65" i="15"/>
  <c r="AE65" i="15"/>
  <c r="Z65" i="15"/>
  <c r="AJ61" i="15"/>
  <c r="AE61" i="15"/>
  <c r="Z61" i="15"/>
  <c r="AJ57" i="15"/>
  <c r="AE57" i="15"/>
  <c r="Z57" i="15"/>
  <c r="AJ53" i="15"/>
  <c r="AE53" i="15"/>
  <c r="Z53" i="15"/>
  <c r="AM19" i="15"/>
  <c r="AL19" i="15"/>
  <c r="AH19" i="15"/>
  <c r="AG19" i="15"/>
  <c r="AC19" i="15"/>
  <c r="AB19" i="15"/>
  <c r="AM15" i="15"/>
  <c r="AL15" i="15"/>
  <c r="AH15" i="15"/>
  <c r="AG15" i="15"/>
  <c r="AC15" i="15"/>
  <c r="AB15" i="15"/>
  <c r="AM11" i="15"/>
  <c r="AL11" i="15"/>
  <c r="AH11" i="15"/>
  <c r="AG11" i="15"/>
  <c r="AC11" i="15"/>
  <c r="AB11" i="15"/>
  <c r="Z12" i="15"/>
  <c r="S5" i="15"/>
  <c r="A5" i="15"/>
  <c r="AM79" i="14"/>
  <c r="AL79" i="14"/>
  <c r="AH79" i="14"/>
  <c r="AG79" i="14"/>
  <c r="AC79" i="14"/>
  <c r="AB79" i="14"/>
  <c r="AM75" i="14"/>
  <c r="AL75" i="14"/>
  <c r="AH75" i="14"/>
  <c r="AG75" i="14"/>
  <c r="AC75" i="14"/>
  <c r="AB75" i="14"/>
  <c r="AM71" i="14"/>
  <c r="AL71" i="14"/>
  <c r="AH71" i="14"/>
  <c r="AG71" i="14"/>
  <c r="AC71" i="14"/>
  <c r="AB71" i="14"/>
  <c r="AM67" i="14"/>
  <c r="AL67" i="14"/>
  <c r="AH67" i="14"/>
  <c r="AG67" i="14"/>
  <c r="AC67" i="14"/>
  <c r="AB67" i="14"/>
  <c r="AM63" i="14"/>
  <c r="AL63" i="14"/>
  <c r="AH63" i="14"/>
  <c r="AG63" i="14"/>
  <c r="AC63" i="14"/>
  <c r="AB63" i="14"/>
  <c r="AM59" i="14"/>
  <c r="AL59" i="14"/>
  <c r="AH59" i="14"/>
  <c r="AG59" i="14"/>
  <c r="AC59" i="14"/>
  <c r="AB59" i="14"/>
  <c r="AM55" i="14"/>
  <c r="AL55" i="14"/>
  <c r="AH55" i="14"/>
  <c r="AG55" i="14"/>
  <c r="AC55" i="14"/>
  <c r="AB55" i="14"/>
  <c r="AM51" i="14"/>
  <c r="AL51" i="14"/>
  <c r="AH51" i="14"/>
  <c r="AG51" i="14"/>
  <c r="AC51" i="14"/>
  <c r="AB51" i="14"/>
  <c r="AM47" i="14"/>
  <c r="AL47" i="14"/>
  <c r="AH47" i="14"/>
  <c r="AG47" i="14"/>
  <c r="AC47" i="14"/>
  <c r="AB47" i="14"/>
  <c r="AM43" i="14"/>
  <c r="AL43" i="14"/>
  <c r="AH43" i="14"/>
  <c r="AG43" i="14"/>
  <c r="AC43" i="14"/>
  <c r="AB43" i="14"/>
  <c r="AM39" i="14"/>
  <c r="AL39" i="14"/>
  <c r="AH39" i="14"/>
  <c r="AG39" i="14"/>
  <c r="AC39" i="14"/>
  <c r="AB39" i="14"/>
  <c r="AM35" i="14"/>
  <c r="AL35" i="14"/>
  <c r="AH35" i="14"/>
  <c r="AG35" i="14"/>
  <c r="AC35" i="14"/>
  <c r="AB35" i="14"/>
  <c r="AM31" i="14"/>
  <c r="AL31" i="14"/>
  <c r="AH31" i="14"/>
  <c r="AG31" i="14"/>
  <c r="AC31" i="14"/>
  <c r="AB31" i="14"/>
  <c r="AM27" i="14"/>
  <c r="AL27" i="14"/>
  <c r="AH27" i="14"/>
  <c r="AG27" i="14"/>
  <c r="AC27" i="14"/>
  <c r="AB27" i="14"/>
  <c r="AJ81" i="14"/>
  <c r="AJ80" i="14"/>
  <c r="AJ79" i="14"/>
  <c r="AE81" i="14"/>
  <c r="AE80" i="14"/>
  <c r="AE79" i="14"/>
  <c r="Z81" i="14"/>
  <c r="Z80" i="14"/>
  <c r="Z79" i="14"/>
  <c r="AJ77" i="14"/>
  <c r="AJ76" i="14"/>
  <c r="AJ75" i="14"/>
  <c r="AE77" i="14"/>
  <c r="AE76" i="14"/>
  <c r="AE75" i="14"/>
  <c r="Z77" i="14"/>
  <c r="Z76" i="14"/>
  <c r="Z75" i="14"/>
  <c r="AJ73" i="14"/>
  <c r="AJ72" i="14"/>
  <c r="AJ71" i="14"/>
  <c r="AE73" i="14"/>
  <c r="AE72" i="14"/>
  <c r="AE71" i="14"/>
  <c r="Z73" i="14"/>
  <c r="Z72" i="14"/>
  <c r="Z71" i="14"/>
  <c r="AJ69" i="14"/>
  <c r="AJ68" i="14"/>
  <c r="AJ67" i="14"/>
  <c r="AE69" i="14"/>
  <c r="AE68" i="14"/>
  <c r="AE67" i="14"/>
  <c r="Z69" i="14"/>
  <c r="Z68" i="14"/>
  <c r="Z67" i="14"/>
  <c r="AM23" i="14"/>
  <c r="AL23" i="14"/>
  <c r="AH23" i="14"/>
  <c r="AG23" i="14"/>
  <c r="AC23" i="14"/>
  <c r="AB23" i="14"/>
  <c r="AJ65" i="14"/>
  <c r="AE65" i="14"/>
  <c r="Z65" i="14"/>
  <c r="AJ61" i="14"/>
  <c r="AE61" i="14"/>
  <c r="Z61" i="14"/>
  <c r="AJ57" i="14"/>
  <c r="AE57" i="14"/>
  <c r="Z57" i="14"/>
  <c r="AJ53" i="14"/>
  <c r="AE53" i="14"/>
  <c r="Z53" i="14"/>
  <c r="AM19" i="14"/>
  <c r="AL19" i="14"/>
  <c r="AH19" i="14"/>
  <c r="AG19" i="14"/>
  <c r="AC19" i="14"/>
  <c r="AB19" i="14"/>
  <c r="AM15" i="14"/>
  <c r="AL15" i="14"/>
  <c r="AH15" i="14"/>
  <c r="AG15" i="14"/>
  <c r="AC15" i="14"/>
  <c r="AB15" i="14"/>
  <c r="AM11" i="14"/>
  <c r="AL11" i="14"/>
  <c r="AH11" i="14"/>
  <c r="AG11" i="14"/>
  <c r="AC11" i="14"/>
  <c r="AB11" i="14"/>
  <c r="S5" i="14"/>
  <c r="A5" i="14"/>
  <c r="AM79" i="13"/>
  <c r="AL79" i="13"/>
  <c r="AH79" i="13"/>
  <c r="AG79" i="13"/>
  <c r="AC79" i="13"/>
  <c r="AB79" i="13"/>
  <c r="AM75" i="13"/>
  <c r="AL75" i="13"/>
  <c r="AH75" i="13"/>
  <c r="AG75" i="13"/>
  <c r="AC75" i="13"/>
  <c r="AB75" i="13"/>
  <c r="AM71" i="13"/>
  <c r="AL71" i="13"/>
  <c r="AH71" i="13"/>
  <c r="AG71" i="13"/>
  <c r="AC71" i="13"/>
  <c r="AB71" i="13"/>
  <c r="AM67" i="13"/>
  <c r="AL67" i="13"/>
  <c r="AH67" i="13"/>
  <c r="AG67" i="13"/>
  <c r="AC67" i="13"/>
  <c r="AB67" i="13"/>
  <c r="AM63" i="13"/>
  <c r="AL63" i="13"/>
  <c r="AH63" i="13"/>
  <c r="AG63" i="13"/>
  <c r="AC63" i="13"/>
  <c r="AB63" i="13"/>
  <c r="AM59" i="13"/>
  <c r="AL59" i="13"/>
  <c r="AH59" i="13"/>
  <c r="AG59" i="13"/>
  <c r="AC59" i="13"/>
  <c r="AB59" i="13"/>
  <c r="AM55" i="13"/>
  <c r="AL55" i="13"/>
  <c r="AH55" i="13"/>
  <c r="AG55" i="13"/>
  <c r="AC55" i="13"/>
  <c r="AB55" i="13"/>
  <c r="AM51" i="13"/>
  <c r="AL51" i="13"/>
  <c r="AH51" i="13"/>
  <c r="AG51" i="13"/>
  <c r="AC51" i="13"/>
  <c r="AB51" i="13"/>
  <c r="AM47" i="13"/>
  <c r="AL47" i="13"/>
  <c r="AH47" i="13"/>
  <c r="AG47" i="13"/>
  <c r="AC47" i="13"/>
  <c r="AB47" i="13"/>
  <c r="AM43" i="13"/>
  <c r="AL43" i="13"/>
  <c r="AH43" i="13"/>
  <c r="AG43" i="13"/>
  <c r="AC43" i="13"/>
  <c r="AB43" i="13"/>
  <c r="AM39" i="13"/>
  <c r="AL39" i="13"/>
  <c r="AH39" i="13"/>
  <c r="AG39" i="13"/>
  <c r="AC39" i="13"/>
  <c r="AB39" i="13"/>
  <c r="AM35" i="13"/>
  <c r="AL35" i="13"/>
  <c r="AH35" i="13"/>
  <c r="AG35" i="13"/>
  <c r="AC35" i="13"/>
  <c r="AB35" i="13"/>
  <c r="AM31" i="13"/>
  <c r="AL31" i="13"/>
  <c r="AH31" i="13"/>
  <c r="AG31" i="13"/>
  <c r="AC31" i="13"/>
  <c r="AB31" i="13"/>
  <c r="AM27" i="13"/>
  <c r="AL27" i="13"/>
  <c r="AH27" i="13"/>
  <c r="AG27" i="13"/>
  <c r="AC27" i="13"/>
  <c r="AB27" i="13"/>
  <c r="G27" i="13"/>
  <c r="E27" i="13"/>
  <c r="C27" i="13"/>
  <c r="G26" i="13"/>
  <c r="E26" i="13"/>
  <c r="C26" i="13"/>
  <c r="G25" i="13"/>
  <c r="E25" i="13"/>
  <c r="C25" i="13"/>
  <c r="G24" i="13"/>
  <c r="E24" i="13"/>
  <c r="C24" i="13"/>
  <c r="AM23" i="13"/>
  <c r="AL23" i="13"/>
  <c r="AH23" i="13"/>
  <c r="AG23" i="13"/>
  <c r="AC23" i="13"/>
  <c r="AB23" i="13"/>
  <c r="G23" i="13"/>
  <c r="E23" i="13"/>
  <c r="C23" i="13"/>
  <c r="G22" i="13"/>
  <c r="E22" i="13"/>
  <c r="C22" i="13"/>
  <c r="G21" i="13"/>
  <c r="E21" i="13"/>
  <c r="C21" i="13"/>
  <c r="G20" i="13"/>
  <c r="E20" i="13"/>
  <c r="C20" i="13"/>
  <c r="AM19" i="13"/>
  <c r="AL19" i="13"/>
  <c r="AH19" i="13"/>
  <c r="AG19" i="13"/>
  <c r="AC19" i="13"/>
  <c r="AB19" i="13"/>
  <c r="G19" i="13"/>
  <c r="E19" i="13"/>
  <c r="C19" i="13"/>
  <c r="G18" i="13"/>
  <c r="E18" i="13"/>
  <c r="G17" i="13"/>
  <c r="E17" i="13"/>
  <c r="C17" i="13"/>
  <c r="G16" i="13"/>
  <c r="E16" i="13"/>
  <c r="AM15" i="13"/>
  <c r="AL15" i="13"/>
  <c r="AH15" i="13"/>
  <c r="AG15" i="13"/>
  <c r="AC15" i="13"/>
  <c r="AB15" i="13"/>
  <c r="G15" i="13"/>
  <c r="E15" i="13"/>
  <c r="C15" i="13"/>
  <c r="G14" i="13"/>
  <c r="E14" i="13"/>
  <c r="C14" i="13"/>
  <c r="G13" i="13"/>
  <c r="E13" i="13"/>
  <c r="C13" i="13"/>
  <c r="G12" i="13"/>
  <c r="E12" i="13"/>
  <c r="C12" i="13"/>
  <c r="AM11" i="13"/>
  <c r="AL11" i="13"/>
  <c r="AH11" i="13"/>
  <c r="AG11" i="13"/>
  <c r="AC11" i="13"/>
  <c r="AB11" i="13"/>
  <c r="G11" i="13"/>
  <c r="E11" i="13"/>
  <c r="C11" i="13"/>
  <c r="G10" i="13"/>
  <c r="E10" i="13"/>
  <c r="C10" i="13"/>
  <c r="S5" i="13"/>
  <c r="A5" i="13"/>
  <c r="AM79" i="11"/>
  <c r="AL79" i="11"/>
  <c r="AH79" i="11"/>
  <c r="AG79" i="11"/>
  <c r="AC79" i="11"/>
  <c r="AB79" i="11"/>
  <c r="AM75" i="11"/>
  <c r="AL75" i="11"/>
  <c r="AH75" i="11"/>
  <c r="AG75" i="11"/>
  <c r="AC75" i="11"/>
  <c r="AB75" i="11"/>
  <c r="AM71" i="11"/>
  <c r="AL71" i="11"/>
  <c r="AH71" i="11"/>
  <c r="AG71" i="11"/>
  <c r="AC71" i="11"/>
  <c r="AB71" i="11"/>
  <c r="AM67" i="11"/>
  <c r="AL67" i="11"/>
  <c r="AH67" i="11"/>
  <c r="AG67" i="11"/>
  <c r="AC67" i="11"/>
  <c r="AB67" i="11"/>
  <c r="AM63" i="11"/>
  <c r="AL63" i="11"/>
  <c r="AH63" i="11"/>
  <c r="AG63" i="11"/>
  <c r="AC63" i="11"/>
  <c r="AB63" i="11"/>
  <c r="AM59" i="11"/>
  <c r="AL59" i="11"/>
  <c r="AH59" i="11"/>
  <c r="AG59" i="11"/>
  <c r="AC59" i="11"/>
  <c r="AB59" i="11"/>
  <c r="AM55" i="11"/>
  <c r="AL55" i="11"/>
  <c r="AH55" i="11"/>
  <c r="AG55" i="11"/>
  <c r="AC55" i="11"/>
  <c r="AB55" i="11"/>
  <c r="AM51" i="11"/>
  <c r="AL51" i="11"/>
  <c r="AH51" i="11"/>
  <c r="AG51" i="11"/>
  <c r="AC51" i="11"/>
  <c r="AB51" i="11"/>
  <c r="AM47" i="11"/>
  <c r="AL47" i="11"/>
  <c r="AH47" i="11"/>
  <c r="AG47" i="11"/>
  <c r="AC47" i="11"/>
  <c r="AB47" i="11"/>
  <c r="AM43" i="11"/>
  <c r="AL43" i="11"/>
  <c r="AH43" i="11"/>
  <c r="AG43" i="11"/>
  <c r="AC43" i="11"/>
  <c r="AB43" i="11"/>
  <c r="AM39" i="11"/>
  <c r="AL39" i="11"/>
  <c r="AH39" i="11"/>
  <c r="AG39" i="11"/>
  <c r="AC39" i="11"/>
  <c r="AB39" i="11"/>
  <c r="AM35" i="11"/>
  <c r="AL35" i="11"/>
  <c r="AH35" i="11"/>
  <c r="AG35" i="11"/>
  <c r="AC35" i="11"/>
  <c r="AB35" i="11"/>
  <c r="AM31" i="11"/>
  <c r="AL31" i="11"/>
  <c r="AH31" i="11"/>
  <c r="AG31" i="11"/>
  <c r="AC31" i="11"/>
  <c r="AB31" i="11"/>
  <c r="AM27" i="11"/>
  <c r="AL27" i="11"/>
  <c r="AH27" i="11"/>
  <c r="AG27" i="11"/>
  <c r="AC27" i="11"/>
  <c r="AB27" i="11"/>
  <c r="AJ81" i="11"/>
  <c r="AJ80" i="11"/>
  <c r="AJ79" i="11"/>
  <c r="AE81" i="11"/>
  <c r="AE80" i="11"/>
  <c r="AE79" i="11"/>
  <c r="Z81" i="11"/>
  <c r="Z80" i="11"/>
  <c r="Z79" i="11"/>
  <c r="AJ77" i="11"/>
  <c r="AJ76" i="11"/>
  <c r="AJ75" i="11"/>
  <c r="AE77" i="11"/>
  <c r="AE76" i="11"/>
  <c r="AE75" i="11"/>
  <c r="Z77" i="11"/>
  <c r="Z76" i="11"/>
  <c r="Z75" i="11"/>
  <c r="AJ73" i="11"/>
  <c r="AJ72" i="11"/>
  <c r="AJ71" i="11"/>
  <c r="AE73" i="11"/>
  <c r="AE72" i="11"/>
  <c r="AE71" i="11"/>
  <c r="Z73" i="11"/>
  <c r="Z72" i="11"/>
  <c r="Z71" i="11"/>
  <c r="AJ69" i="11"/>
  <c r="AJ68" i="11"/>
  <c r="AJ67" i="11"/>
  <c r="AE69" i="11"/>
  <c r="AE68" i="11"/>
  <c r="AE67" i="11"/>
  <c r="Z69" i="11"/>
  <c r="Z68" i="11"/>
  <c r="Z67" i="11"/>
  <c r="AM23" i="11"/>
  <c r="AL23" i="11"/>
  <c r="AH23" i="11"/>
  <c r="AG23" i="11"/>
  <c r="AC23" i="11"/>
  <c r="AB23" i="11"/>
  <c r="AJ65" i="11"/>
  <c r="AE65" i="11"/>
  <c r="Z65" i="11"/>
  <c r="AJ61" i="11"/>
  <c r="AE61" i="11"/>
  <c r="Z61" i="11"/>
  <c r="AJ57" i="11"/>
  <c r="AE57" i="11"/>
  <c r="Z57" i="11"/>
  <c r="AJ53" i="11"/>
  <c r="AE53" i="11"/>
  <c r="Z53" i="11"/>
  <c r="AM19" i="11"/>
  <c r="AL19" i="11"/>
  <c r="AH19" i="11"/>
  <c r="AG19" i="11"/>
  <c r="AC19" i="11"/>
  <c r="AB19" i="11"/>
  <c r="AM15" i="11"/>
  <c r="AL15" i="11"/>
  <c r="AH15" i="11"/>
  <c r="AG15" i="11"/>
  <c r="AC15" i="11"/>
  <c r="AB15" i="11"/>
  <c r="AM11" i="11"/>
  <c r="AL11" i="11"/>
  <c r="AH11" i="11"/>
  <c r="AG11" i="11"/>
  <c r="AC11" i="11"/>
  <c r="AB11" i="11"/>
  <c r="S5" i="11"/>
  <c r="A5" i="11"/>
  <c r="J27" i="13" l="1"/>
  <c r="L27" i="13"/>
  <c r="Q27" i="13" s="1"/>
  <c r="Z81" i="13" s="1"/>
  <c r="AA81" i="13" s="1"/>
  <c r="K26" i="13"/>
  <c r="L10" i="13"/>
  <c r="J10" i="13"/>
  <c r="AC12" i="16"/>
  <c r="AA12" i="16"/>
  <c r="AB12" i="16"/>
  <c r="AH53" i="16"/>
  <c r="AF53" i="16"/>
  <c r="AG53" i="16"/>
  <c r="AB57" i="16"/>
  <c r="AC57" i="16"/>
  <c r="AA57" i="16"/>
  <c r="AL57" i="16"/>
  <c r="AM57" i="16"/>
  <c r="AK57" i="16"/>
  <c r="AH61" i="16"/>
  <c r="AF61" i="16"/>
  <c r="AG61" i="16"/>
  <c r="AB65" i="16"/>
  <c r="AC65" i="16"/>
  <c r="AA65" i="16"/>
  <c r="AL65" i="16"/>
  <c r="AM65" i="16"/>
  <c r="AK65" i="16"/>
  <c r="AB69" i="16"/>
  <c r="AC69" i="16"/>
  <c r="AA69" i="16"/>
  <c r="AG68" i="16"/>
  <c r="AH68" i="16"/>
  <c r="AF68" i="16"/>
  <c r="AL69" i="16"/>
  <c r="AM69" i="16"/>
  <c r="AK69" i="16"/>
  <c r="AC72" i="16"/>
  <c r="AA72" i="16"/>
  <c r="AB72" i="16"/>
  <c r="AH73" i="16"/>
  <c r="AF73" i="16"/>
  <c r="AG73" i="16"/>
  <c r="AM72" i="16"/>
  <c r="AK72" i="16"/>
  <c r="AL72" i="16"/>
  <c r="AB77" i="16"/>
  <c r="AC77" i="16"/>
  <c r="AA77" i="16"/>
  <c r="AG76" i="16"/>
  <c r="AH76" i="16"/>
  <c r="AF76" i="16"/>
  <c r="AL77" i="16"/>
  <c r="AM77" i="16"/>
  <c r="AK77" i="16"/>
  <c r="AC80" i="16"/>
  <c r="AA80" i="16"/>
  <c r="AB80" i="16"/>
  <c r="AH81" i="16"/>
  <c r="AF81" i="16"/>
  <c r="AG81" i="16"/>
  <c r="AM80" i="16"/>
  <c r="AK80" i="16"/>
  <c r="AL80" i="16"/>
  <c r="AC53" i="16"/>
  <c r="AA53" i="16"/>
  <c r="AB53" i="16"/>
  <c r="AM53" i="16"/>
  <c r="AK53" i="16"/>
  <c r="AL53" i="16"/>
  <c r="AG57" i="16"/>
  <c r="AH57" i="16"/>
  <c r="AF57" i="16"/>
  <c r="AC61" i="16"/>
  <c r="AA61" i="16"/>
  <c r="AB61" i="16"/>
  <c r="AM61" i="16"/>
  <c r="AK61" i="16"/>
  <c r="AL61" i="16"/>
  <c r="AG65" i="16"/>
  <c r="AH65" i="16"/>
  <c r="AF65" i="16"/>
  <c r="AB68" i="16"/>
  <c r="AC68" i="16"/>
  <c r="AA68" i="16"/>
  <c r="AG69" i="16"/>
  <c r="AH69" i="16"/>
  <c r="AF69" i="16"/>
  <c r="AL68" i="16"/>
  <c r="AM68" i="16"/>
  <c r="AK68" i="16"/>
  <c r="AC73" i="16"/>
  <c r="AA73" i="16"/>
  <c r="AB73" i="16"/>
  <c r="AH72" i="16"/>
  <c r="AF72" i="16"/>
  <c r="AG72" i="16"/>
  <c r="AM73" i="16"/>
  <c r="AK73" i="16"/>
  <c r="AL73" i="16"/>
  <c r="AB76" i="16"/>
  <c r="AC76" i="16"/>
  <c r="AA76" i="16"/>
  <c r="AG77" i="16"/>
  <c r="AH77" i="16"/>
  <c r="AF77" i="16"/>
  <c r="AL76" i="16"/>
  <c r="AM76" i="16"/>
  <c r="AK76" i="16"/>
  <c r="AC81" i="16"/>
  <c r="AA81" i="16"/>
  <c r="AB81" i="16"/>
  <c r="AH80" i="16"/>
  <c r="AF80" i="16"/>
  <c r="AG80" i="16"/>
  <c r="AM81" i="16"/>
  <c r="AK81" i="16"/>
  <c r="AL81" i="16"/>
  <c r="AC12" i="15"/>
  <c r="AA12" i="15"/>
  <c r="AB12" i="15"/>
  <c r="AH53" i="15"/>
  <c r="AF53" i="15"/>
  <c r="AG53" i="15"/>
  <c r="AB57" i="15"/>
  <c r="AC57" i="15"/>
  <c r="AA57" i="15"/>
  <c r="AL57" i="15"/>
  <c r="AM57" i="15"/>
  <c r="AK57" i="15"/>
  <c r="AH61" i="15"/>
  <c r="AF61" i="15"/>
  <c r="AG61" i="15"/>
  <c r="AB65" i="15"/>
  <c r="AC65" i="15"/>
  <c r="AA65" i="15"/>
  <c r="AL65" i="15"/>
  <c r="AM65" i="15"/>
  <c r="AK65" i="15"/>
  <c r="AB69" i="15"/>
  <c r="AC69" i="15"/>
  <c r="AA69" i="15"/>
  <c r="AG68" i="15"/>
  <c r="AH68" i="15"/>
  <c r="AF68" i="15"/>
  <c r="AL69" i="15"/>
  <c r="AM69" i="15"/>
  <c r="AK69" i="15"/>
  <c r="AC72" i="15"/>
  <c r="AA72" i="15"/>
  <c r="AB72" i="15"/>
  <c r="AH73" i="15"/>
  <c r="AF73" i="15"/>
  <c r="AG73" i="15"/>
  <c r="AM72" i="15"/>
  <c r="AK72" i="15"/>
  <c r="AL72" i="15"/>
  <c r="AB77" i="15"/>
  <c r="AC77" i="15"/>
  <c r="AA77" i="15"/>
  <c r="AG76" i="15"/>
  <c r="AH76" i="15"/>
  <c r="AF76" i="15"/>
  <c r="AL77" i="15"/>
  <c r="AM77" i="15"/>
  <c r="AK77" i="15"/>
  <c r="AC80" i="15"/>
  <c r="AA80" i="15"/>
  <c r="AB80" i="15"/>
  <c r="AH81" i="15"/>
  <c r="AF81" i="15"/>
  <c r="AG81" i="15"/>
  <c r="AM80" i="15"/>
  <c r="AK80" i="15"/>
  <c r="AL80" i="15"/>
  <c r="AC53" i="15"/>
  <c r="AA53" i="15"/>
  <c r="AB53" i="15"/>
  <c r="AM53" i="15"/>
  <c r="AK53" i="15"/>
  <c r="AL53" i="15"/>
  <c r="AG57" i="15"/>
  <c r="AH57" i="15"/>
  <c r="AF57" i="15"/>
  <c r="AC61" i="15"/>
  <c r="AA61" i="15"/>
  <c r="AB61" i="15"/>
  <c r="AM61" i="15"/>
  <c r="AK61" i="15"/>
  <c r="AL61" i="15"/>
  <c r="AG65" i="15"/>
  <c r="AH65" i="15"/>
  <c r="AF65" i="15"/>
  <c r="AB68" i="15"/>
  <c r="AC68" i="15"/>
  <c r="AA68" i="15"/>
  <c r="AG69" i="15"/>
  <c r="AH69" i="15"/>
  <c r="AF69" i="15"/>
  <c r="AL68" i="15"/>
  <c r="AM68" i="15"/>
  <c r="AK68" i="15"/>
  <c r="AC73" i="15"/>
  <c r="AA73" i="15"/>
  <c r="AB73" i="15"/>
  <c r="AH72" i="15"/>
  <c r="AF72" i="15"/>
  <c r="AG72" i="15"/>
  <c r="AM73" i="15"/>
  <c r="AK73" i="15"/>
  <c r="AL73" i="15"/>
  <c r="AB76" i="15"/>
  <c r="AC76" i="15"/>
  <c r="AA76" i="15"/>
  <c r="AG77" i="15"/>
  <c r="AH77" i="15"/>
  <c r="AF77" i="15"/>
  <c r="AL76" i="15"/>
  <c r="AM76" i="15"/>
  <c r="AK76" i="15"/>
  <c r="AC81" i="15"/>
  <c r="AA81" i="15"/>
  <c r="AB81" i="15"/>
  <c r="AH80" i="15"/>
  <c r="AF80" i="15"/>
  <c r="AG80" i="15"/>
  <c r="AM81" i="15"/>
  <c r="AK81" i="15"/>
  <c r="AL81" i="15"/>
  <c r="AE49" i="14"/>
  <c r="AJ37" i="14"/>
  <c r="AE59" i="14"/>
  <c r="AJ55" i="14"/>
  <c r="AC53" i="14"/>
  <c r="AA53" i="14"/>
  <c r="AB53" i="14"/>
  <c r="AM53" i="14"/>
  <c r="AK53" i="14"/>
  <c r="AL53" i="14"/>
  <c r="AG57" i="14"/>
  <c r="AH57" i="14"/>
  <c r="AF57" i="14"/>
  <c r="AC61" i="14"/>
  <c r="AA61" i="14"/>
  <c r="AB61" i="14"/>
  <c r="AM61" i="14"/>
  <c r="AK61" i="14"/>
  <c r="AL61" i="14"/>
  <c r="AG65" i="14"/>
  <c r="AH65" i="14"/>
  <c r="AF65" i="14"/>
  <c r="AB68" i="14"/>
  <c r="AC68" i="14"/>
  <c r="AA68" i="14"/>
  <c r="AG69" i="14"/>
  <c r="AH69" i="14"/>
  <c r="AF69" i="14"/>
  <c r="AL68" i="14"/>
  <c r="AM68" i="14"/>
  <c r="AK68" i="14"/>
  <c r="AC73" i="14"/>
  <c r="AA73" i="14"/>
  <c r="AB73" i="14"/>
  <c r="AH72" i="14"/>
  <c r="AF72" i="14"/>
  <c r="AG72" i="14"/>
  <c r="AM73" i="14"/>
  <c r="AK73" i="14"/>
  <c r="AL73" i="14"/>
  <c r="AB76" i="14"/>
  <c r="AC76" i="14"/>
  <c r="AA76" i="14"/>
  <c r="AG77" i="14"/>
  <c r="AH77" i="14"/>
  <c r="AF77" i="14"/>
  <c r="AL76" i="14"/>
  <c r="AM76" i="14"/>
  <c r="AK76" i="14"/>
  <c r="AC81" i="14"/>
  <c r="AA81" i="14"/>
  <c r="AB81" i="14"/>
  <c r="AH80" i="14"/>
  <c r="AF80" i="14"/>
  <c r="AG80" i="14"/>
  <c r="AM81" i="14"/>
  <c r="AK81" i="14"/>
  <c r="AL81" i="14"/>
  <c r="AH53" i="14"/>
  <c r="AF53" i="14"/>
  <c r="AG53" i="14"/>
  <c r="AB57" i="14"/>
  <c r="AC57" i="14"/>
  <c r="AA57" i="14"/>
  <c r="AL57" i="14"/>
  <c r="AM57" i="14"/>
  <c r="AK57" i="14"/>
  <c r="AH61" i="14"/>
  <c r="AF61" i="14"/>
  <c r="AG61" i="14"/>
  <c r="AB65" i="14"/>
  <c r="AC65" i="14"/>
  <c r="AA65" i="14"/>
  <c r="AL65" i="14"/>
  <c r="AM65" i="14"/>
  <c r="AK65" i="14"/>
  <c r="AB69" i="14"/>
  <c r="AC69" i="14"/>
  <c r="AA69" i="14"/>
  <c r="AG68" i="14"/>
  <c r="AH68" i="14"/>
  <c r="AF68" i="14"/>
  <c r="AL69" i="14"/>
  <c r="AM69" i="14"/>
  <c r="AK69" i="14"/>
  <c r="AC72" i="14"/>
  <c r="AA72" i="14"/>
  <c r="AB72" i="14"/>
  <c r="AH73" i="14"/>
  <c r="AF73" i="14"/>
  <c r="AG73" i="14"/>
  <c r="AM72" i="14"/>
  <c r="AK72" i="14"/>
  <c r="AL72" i="14"/>
  <c r="AB77" i="14"/>
  <c r="AC77" i="14"/>
  <c r="AA77" i="14"/>
  <c r="AG76" i="14"/>
  <c r="AH76" i="14"/>
  <c r="AF76" i="14"/>
  <c r="AL77" i="14"/>
  <c r="AM77" i="14"/>
  <c r="AK77" i="14"/>
  <c r="AC80" i="14"/>
  <c r="AA80" i="14"/>
  <c r="AB80" i="14"/>
  <c r="AH81" i="14"/>
  <c r="AF81" i="14"/>
  <c r="AG81" i="14"/>
  <c r="AM80" i="14"/>
  <c r="AK80" i="14"/>
  <c r="AL80" i="14"/>
  <c r="Z11" i="14"/>
  <c r="Z13" i="14"/>
  <c r="AC81" i="13"/>
  <c r="K11" i="13"/>
  <c r="K12" i="13"/>
  <c r="J13" i="13"/>
  <c r="L13" i="13"/>
  <c r="K14" i="13"/>
  <c r="J15" i="13"/>
  <c r="L15" i="13"/>
  <c r="J16" i="13"/>
  <c r="L16" i="13"/>
  <c r="K17" i="13"/>
  <c r="J18" i="13"/>
  <c r="L18" i="13"/>
  <c r="K19" i="13"/>
  <c r="K20" i="13"/>
  <c r="J21" i="13"/>
  <c r="L21" i="13"/>
  <c r="K22" i="13"/>
  <c r="J23" i="13"/>
  <c r="L23" i="13"/>
  <c r="J24" i="13"/>
  <c r="O24" i="13" s="1"/>
  <c r="Z67" i="13" s="1"/>
  <c r="L24" i="13"/>
  <c r="K25" i="13"/>
  <c r="J26" i="13"/>
  <c r="O26" i="13" s="1"/>
  <c r="Z75" i="13" s="1"/>
  <c r="L26" i="13"/>
  <c r="Q26" i="13" s="1"/>
  <c r="Z77" i="13" s="1"/>
  <c r="AC77" i="13" s="1"/>
  <c r="K27" i="13"/>
  <c r="AB77" i="13"/>
  <c r="K10" i="13"/>
  <c r="J11" i="13"/>
  <c r="L11" i="13"/>
  <c r="J12" i="13"/>
  <c r="L12" i="13"/>
  <c r="T25" i="13" s="1"/>
  <c r="AE73" i="13" s="1"/>
  <c r="AH73" i="13" s="1"/>
  <c r="K13" i="13"/>
  <c r="J14" i="13"/>
  <c r="L14" i="13"/>
  <c r="K15" i="13"/>
  <c r="K16" i="13"/>
  <c r="J17" i="13"/>
  <c r="L17" i="13"/>
  <c r="K18" i="13"/>
  <c r="J19" i="13"/>
  <c r="L19" i="13"/>
  <c r="J20" i="13"/>
  <c r="L20" i="13"/>
  <c r="K21" i="13"/>
  <c r="J22" i="13"/>
  <c r="L22" i="13"/>
  <c r="Q22" i="13" s="1"/>
  <c r="Z61" i="13" s="1"/>
  <c r="AA61" i="13" s="1"/>
  <c r="K23" i="13"/>
  <c r="K24" i="13"/>
  <c r="J25" i="13"/>
  <c r="L25" i="13"/>
  <c r="Q25" i="13" s="1"/>
  <c r="Z73" i="13" s="1"/>
  <c r="AC73" i="13" s="1"/>
  <c r="AE49" i="11"/>
  <c r="AJ37" i="11"/>
  <c r="AE59" i="11"/>
  <c r="AJ55" i="11"/>
  <c r="AC53" i="11"/>
  <c r="AA53" i="11"/>
  <c r="AB53" i="11"/>
  <c r="AM53" i="11"/>
  <c r="AK53" i="11"/>
  <c r="AL53" i="11"/>
  <c r="AG57" i="11"/>
  <c r="AH57" i="11"/>
  <c r="AF57" i="11"/>
  <c r="AC61" i="11"/>
  <c r="AA61" i="11"/>
  <c r="AB61" i="11"/>
  <c r="AM61" i="11"/>
  <c r="AK61" i="11"/>
  <c r="AL61" i="11"/>
  <c r="AG65" i="11"/>
  <c r="AH65" i="11"/>
  <c r="AF65" i="11"/>
  <c r="AB68" i="11"/>
  <c r="AC68" i="11"/>
  <c r="AA68" i="11"/>
  <c r="AG69" i="11"/>
  <c r="AH69" i="11"/>
  <c r="AF69" i="11"/>
  <c r="AL68" i="11"/>
  <c r="AM68" i="11"/>
  <c r="AK68" i="11"/>
  <c r="AC73" i="11"/>
  <c r="AA73" i="11"/>
  <c r="AB73" i="11"/>
  <c r="AH72" i="11"/>
  <c r="AF72" i="11"/>
  <c r="AG72" i="11"/>
  <c r="AM73" i="11"/>
  <c r="AK73" i="11"/>
  <c r="AL73" i="11"/>
  <c r="AB76" i="11"/>
  <c r="AC76" i="11"/>
  <c r="AA76" i="11"/>
  <c r="AG77" i="11"/>
  <c r="AH77" i="11"/>
  <c r="AF77" i="11"/>
  <c r="AL76" i="11"/>
  <c r="AM76" i="11"/>
  <c r="AK76" i="11"/>
  <c r="AC81" i="11"/>
  <c r="AA81" i="11"/>
  <c r="AB81" i="11"/>
  <c r="AH80" i="11"/>
  <c r="AF80" i="11"/>
  <c r="AG80" i="11"/>
  <c r="AM81" i="11"/>
  <c r="AK81" i="11"/>
  <c r="AL81" i="11"/>
  <c r="AH53" i="11"/>
  <c r="AF53" i="11"/>
  <c r="AG53" i="11"/>
  <c r="AB57" i="11"/>
  <c r="AC57" i="11"/>
  <c r="AA57" i="11"/>
  <c r="AL57" i="11"/>
  <c r="AM57" i="11"/>
  <c r="AK57" i="11"/>
  <c r="AH61" i="11"/>
  <c r="AF61" i="11"/>
  <c r="AG61" i="11"/>
  <c r="AB65" i="11"/>
  <c r="AC65" i="11"/>
  <c r="AA65" i="11"/>
  <c r="AL65" i="11"/>
  <c r="AM65" i="11"/>
  <c r="AK65" i="11"/>
  <c r="AB69" i="11"/>
  <c r="AC69" i="11"/>
  <c r="AA69" i="11"/>
  <c r="AG68" i="11"/>
  <c r="AH68" i="11"/>
  <c r="AF68" i="11"/>
  <c r="AL69" i="11"/>
  <c r="AM69" i="11"/>
  <c r="AK69" i="11"/>
  <c r="AC72" i="11"/>
  <c r="AA72" i="11"/>
  <c r="AB72" i="11"/>
  <c r="AH73" i="11"/>
  <c r="AF73" i="11"/>
  <c r="AG73" i="11"/>
  <c r="AM72" i="11"/>
  <c r="AK72" i="11"/>
  <c r="AL72" i="11"/>
  <c r="AB77" i="11"/>
  <c r="AC77" i="11"/>
  <c r="AA77" i="11"/>
  <c r="AG76" i="11"/>
  <c r="AH76" i="11"/>
  <c r="AF76" i="11"/>
  <c r="AL77" i="11"/>
  <c r="AM77" i="11"/>
  <c r="AK77" i="11"/>
  <c r="AC80" i="11"/>
  <c r="AA80" i="11"/>
  <c r="AB80" i="11"/>
  <c r="AH81" i="11"/>
  <c r="AF81" i="11"/>
  <c r="AG81" i="11"/>
  <c r="AM80" i="11"/>
  <c r="AK80" i="11"/>
  <c r="AL80" i="11"/>
  <c r="Z11" i="11"/>
  <c r="Z13" i="11"/>
  <c r="AB81" i="13" l="1"/>
  <c r="AA77" i="13"/>
  <c r="P27" i="13"/>
  <c r="Z80" i="13" s="1"/>
  <c r="O27" i="13"/>
  <c r="Q24" i="13"/>
  <c r="Z69" i="13" s="1"/>
  <c r="P26" i="13"/>
  <c r="AF73" i="13"/>
  <c r="AA73" i="13"/>
  <c r="AG73" i="13"/>
  <c r="AB73" i="13"/>
  <c r="T24" i="13"/>
  <c r="AE69" i="13" s="1"/>
  <c r="O25" i="13"/>
  <c r="R25" i="13" s="1"/>
  <c r="AE71" i="13" s="1"/>
  <c r="O21" i="13"/>
  <c r="Z55" i="13" s="1"/>
  <c r="P19" i="13"/>
  <c r="Z48" i="13" s="1"/>
  <c r="O15" i="13"/>
  <c r="P10" i="13"/>
  <c r="S12" i="13" s="1"/>
  <c r="O13" i="13"/>
  <c r="R24" i="13"/>
  <c r="AE67" i="13" s="1"/>
  <c r="R10" i="13"/>
  <c r="O10" i="13"/>
  <c r="T23" i="13"/>
  <c r="AE65" i="13" s="1"/>
  <c r="S24" i="13"/>
  <c r="Q21" i="13"/>
  <c r="Z57" i="13" s="1"/>
  <c r="P25" i="13"/>
  <c r="Q23" i="13"/>
  <c r="Z65" i="13" s="1"/>
  <c r="P24" i="13"/>
  <c r="Z68" i="13" s="1"/>
  <c r="Q10" i="13"/>
  <c r="Z13" i="13" s="1"/>
  <c r="AA13" i="13" s="1"/>
  <c r="S25" i="13"/>
  <c r="AE72" i="13" s="1"/>
  <c r="T20" i="13"/>
  <c r="AE53" i="13" s="1"/>
  <c r="AH53" i="13" s="1"/>
  <c r="T22" i="13"/>
  <c r="AE61" i="13" s="1"/>
  <c r="AB61" i="13"/>
  <c r="AC61" i="13"/>
  <c r="O23" i="13"/>
  <c r="R22" i="13"/>
  <c r="AE59" i="13" s="1"/>
  <c r="P22" i="13"/>
  <c r="Z60" i="13" s="1"/>
  <c r="Q20" i="13"/>
  <c r="Z53" i="13" s="1"/>
  <c r="AF53" i="13"/>
  <c r="P23" i="13"/>
  <c r="T19" i="13" s="1"/>
  <c r="AE49" i="13" s="1"/>
  <c r="Z63" i="16"/>
  <c r="Z55" i="16"/>
  <c r="Z52" i="16"/>
  <c r="Z45" i="16"/>
  <c r="Z37" i="16"/>
  <c r="AE27" i="16"/>
  <c r="Z28" i="16"/>
  <c r="AE19" i="16"/>
  <c r="Z20" i="16"/>
  <c r="Z16" i="16"/>
  <c r="Z11" i="16"/>
  <c r="Z59" i="16"/>
  <c r="Z56" i="16"/>
  <c r="Z60" i="16"/>
  <c r="Z49" i="16"/>
  <c r="AE35" i="16"/>
  <c r="Z36" i="16"/>
  <c r="Z32" i="16"/>
  <c r="Z29" i="16"/>
  <c r="Z24" i="16"/>
  <c r="Z21" i="16"/>
  <c r="Z15" i="16"/>
  <c r="Z64" i="16"/>
  <c r="Z48" i="16"/>
  <c r="AE39" i="16"/>
  <c r="Z40" i="16"/>
  <c r="AE31" i="16"/>
  <c r="Z33" i="16"/>
  <c r="Z25" i="16"/>
  <c r="Z13" i="16"/>
  <c r="AE56" i="16"/>
  <c r="AJ48" i="16"/>
  <c r="Z51" i="16"/>
  <c r="AE43" i="16"/>
  <c r="Z44" i="16"/>
  <c r="Z41" i="16"/>
  <c r="AE23" i="16"/>
  <c r="Z19" i="16"/>
  <c r="Z17" i="16"/>
  <c r="Z64" i="15"/>
  <c r="Z48" i="15"/>
  <c r="AE39" i="15"/>
  <c r="Z40" i="15"/>
  <c r="AE31" i="15"/>
  <c r="Z33" i="15"/>
  <c r="Z25" i="15"/>
  <c r="Z13" i="15"/>
  <c r="AE56" i="15"/>
  <c r="AJ48" i="15"/>
  <c r="Z51" i="15"/>
  <c r="AE43" i="15"/>
  <c r="AE35" i="15"/>
  <c r="AE23" i="15"/>
  <c r="Z19" i="15"/>
  <c r="Z17" i="15"/>
  <c r="Z63" i="15"/>
  <c r="Z55" i="15"/>
  <c r="Z52" i="15"/>
  <c r="Z45" i="15"/>
  <c r="Z37" i="15"/>
  <c r="AE27" i="15"/>
  <c r="Z28" i="15"/>
  <c r="AE19" i="15"/>
  <c r="Z20" i="15"/>
  <c r="Z16" i="15"/>
  <c r="Z11" i="15"/>
  <c r="Z59" i="15"/>
  <c r="Z56" i="15"/>
  <c r="Z60" i="15"/>
  <c r="Z49" i="15"/>
  <c r="Z44" i="15"/>
  <c r="Z41" i="15"/>
  <c r="Z36" i="15"/>
  <c r="Z32" i="15"/>
  <c r="Z29" i="15"/>
  <c r="Z24" i="15"/>
  <c r="Z21" i="15"/>
  <c r="Z15" i="15"/>
  <c r="Z59" i="14"/>
  <c r="Z60" i="14"/>
  <c r="AE43" i="14"/>
  <c r="Z44" i="14"/>
  <c r="AE35" i="14"/>
  <c r="Z36" i="14"/>
  <c r="Z29" i="14"/>
  <c r="Z21" i="14"/>
  <c r="Z17" i="14"/>
  <c r="Z63" i="14"/>
  <c r="Z64" i="14"/>
  <c r="Z52" i="14"/>
  <c r="Z48" i="14"/>
  <c r="Z45" i="14"/>
  <c r="AE31" i="14"/>
  <c r="AE27" i="14"/>
  <c r="AE19" i="14"/>
  <c r="Z16" i="14"/>
  <c r="AH49" i="14"/>
  <c r="AF49" i="14"/>
  <c r="AG49" i="14"/>
  <c r="Z56" i="14"/>
  <c r="Z51" i="14"/>
  <c r="Z49" i="14"/>
  <c r="Z41" i="14"/>
  <c r="Z32" i="14"/>
  <c r="AE23" i="14"/>
  <c r="Z24" i="14"/>
  <c r="Z19" i="14"/>
  <c r="Z15" i="14"/>
  <c r="AC13" i="14"/>
  <c r="AA13" i="14"/>
  <c r="AB13" i="14"/>
  <c r="Z12" i="14"/>
  <c r="Z55" i="14"/>
  <c r="AE39" i="14"/>
  <c r="Z40" i="14"/>
  <c r="Z37" i="14"/>
  <c r="Z33" i="14"/>
  <c r="Z28" i="14"/>
  <c r="Z25" i="14"/>
  <c r="Z20" i="14"/>
  <c r="AL37" i="14"/>
  <c r="AM37" i="14"/>
  <c r="AK37" i="14"/>
  <c r="O22" i="13"/>
  <c r="Z59" i="13" s="1"/>
  <c r="Q19" i="13"/>
  <c r="Z49" i="13" s="1"/>
  <c r="Q17" i="13"/>
  <c r="Z41" i="13" s="1"/>
  <c r="P15" i="13"/>
  <c r="Z32" i="13" s="1"/>
  <c r="O14" i="13"/>
  <c r="P13" i="13"/>
  <c r="Z24" i="13" s="1"/>
  <c r="O12" i="13"/>
  <c r="Z19" i="13" s="1"/>
  <c r="O11" i="13"/>
  <c r="Z15" i="13" s="1"/>
  <c r="P20" i="13"/>
  <c r="Z52" i="13" s="1"/>
  <c r="Q18" i="13"/>
  <c r="Z45" i="13" s="1"/>
  <c r="P17" i="13"/>
  <c r="Z40" i="13" s="1"/>
  <c r="Q16" i="13"/>
  <c r="Z37" i="13" s="1"/>
  <c r="R14" i="13"/>
  <c r="AE27" i="13" s="1"/>
  <c r="P12" i="13"/>
  <c r="Z20" i="13" s="1"/>
  <c r="P21" i="13"/>
  <c r="Z56" i="13" s="1"/>
  <c r="R19" i="13"/>
  <c r="O20" i="13"/>
  <c r="Z51" i="13" s="1"/>
  <c r="O19" i="13"/>
  <c r="R18" i="13" s="1"/>
  <c r="P18" i="13"/>
  <c r="O17" i="13"/>
  <c r="R17" i="13" s="1"/>
  <c r="AE39" i="13" s="1"/>
  <c r="R16" i="13"/>
  <c r="P16" i="13"/>
  <c r="Z36" i="13" s="1"/>
  <c r="T11" i="13"/>
  <c r="Q14" i="13"/>
  <c r="Z29" i="13" s="1"/>
  <c r="Q12" i="13"/>
  <c r="T27" i="13" s="1"/>
  <c r="AE81" i="13" s="1"/>
  <c r="Q11" i="13"/>
  <c r="Z17" i="13" s="1"/>
  <c r="R20" i="13"/>
  <c r="O18" i="13"/>
  <c r="O16" i="13"/>
  <c r="R15" i="13" s="1"/>
  <c r="Q15" i="13"/>
  <c r="Z33" i="13" s="1"/>
  <c r="T12" i="13"/>
  <c r="W27" i="13" s="1"/>
  <c r="AJ81" i="13" s="1"/>
  <c r="P14" i="13"/>
  <c r="Q13" i="13"/>
  <c r="Z25" i="13" s="1"/>
  <c r="P11" i="13"/>
  <c r="S23" i="13" s="1"/>
  <c r="Z60" i="11"/>
  <c r="AE43" i="11"/>
  <c r="Z44" i="11"/>
  <c r="AE35" i="11"/>
  <c r="Z36" i="11"/>
  <c r="Z29" i="11"/>
  <c r="Z21" i="11"/>
  <c r="Z17" i="11"/>
  <c r="Z55" i="11"/>
  <c r="AE39" i="11"/>
  <c r="Z40" i="11"/>
  <c r="Z37" i="11"/>
  <c r="AE27" i="11"/>
  <c r="AE19" i="11"/>
  <c r="Z16" i="11"/>
  <c r="AH49" i="11"/>
  <c r="AF49" i="11"/>
  <c r="AG49" i="11"/>
  <c r="Z59" i="11"/>
  <c r="Z56" i="11"/>
  <c r="Z51" i="11"/>
  <c r="Z49" i="11"/>
  <c r="Z41" i="11"/>
  <c r="Z32" i="11"/>
  <c r="AE23" i="11"/>
  <c r="Z24" i="11"/>
  <c r="Z19" i="11"/>
  <c r="Z15" i="11"/>
  <c r="AC13" i="11"/>
  <c r="AA13" i="11"/>
  <c r="AB13" i="11"/>
  <c r="Z12" i="11"/>
  <c r="Z63" i="11"/>
  <c r="Z64" i="11"/>
  <c r="Z52" i="11"/>
  <c r="Z48" i="11"/>
  <c r="Z45" i="11"/>
  <c r="AE31" i="11"/>
  <c r="Z33" i="11"/>
  <c r="Z28" i="11"/>
  <c r="Z25" i="11"/>
  <c r="Z20" i="11"/>
  <c r="AL37" i="11"/>
  <c r="AM37" i="11"/>
  <c r="AK37" i="11"/>
  <c r="Z12" i="13" l="1"/>
  <c r="S15" i="13"/>
  <c r="AE32" i="13" s="1"/>
  <c r="S13" i="13"/>
  <c r="S16" i="13"/>
  <c r="AE36" i="13" s="1"/>
  <c r="T10" i="13"/>
  <c r="AE13" i="13" s="1"/>
  <c r="S14" i="13"/>
  <c r="AE28" i="13" s="1"/>
  <c r="S19" i="13"/>
  <c r="S21" i="13"/>
  <c r="AE56" i="13" s="1"/>
  <c r="S22" i="13"/>
  <c r="AE60" i="13" s="1"/>
  <c r="T21" i="13"/>
  <c r="AE57" i="13" s="1"/>
  <c r="AG57" i="13" s="1"/>
  <c r="AK81" i="13"/>
  <c r="AM81" i="13"/>
  <c r="AL81" i="13"/>
  <c r="AH81" i="13"/>
  <c r="AG81" i="13"/>
  <c r="AF81" i="13"/>
  <c r="W26" i="13"/>
  <c r="AJ77" i="13" s="1"/>
  <c r="Z21" i="13"/>
  <c r="AC21" i="13" s="1"/>
  <c r="T26" i="13"/>
  <c r="AE77" i="13" s="1"/>
  <c r="U24" i="13"/>
  <c r="AJ67" i="13" s="1"/>
  <c r="AC80" i="13"/>
  <c r="AB80" i="13"/>
  <c r="AA80" i="13"/>
  <c r="Z79" i="13"/>
  <c r="R27" i="13"/>
  <c r="U26" i="13" s="1"/>
  <c r="AJ75" i="13" s="1"/>
  <c r="Z16" i="13"/>
  <c r="AA16" i="13" s="1"/>
  <c r="AE79" i="13"/>
  <c r="Z72" i="13"/>
  <c r="AA72" i="13" s="1"/>
  <c r="S27" i="13"/>
  <c r="W22" i="13" s="1"/>
  <c r="AJ61" i="13" s="1"/>
  <c r="AM61" i="13" s="1"/>
  <c r="Z11" i="13"/>
  <c r="R26" i="13"/>
  <c r="AE75" i="13" s="1"/>
  <c r="Z76" i="13"/>
  <c r="S26" i="13"/>
  <c r="AB69" i="13"/>
  <c r="AA69" i="13"/>
  <c r="AC69" i="13"/>
  <c r="W24" i="13"/>
  <c r="AJ69" i="13" s="1"/>
  <c r="AL69" i="13" s="1"/>
  <c r="W25" i="13"/>
  <c r="AJ73" i="13" s="1"/>
  <c r="AG69" i="13"/>
  <c r="AF69" i="13"/>
  <c r="AH69" i="13"/>
  <c r="AE68" i="13"/>
  <c r="AH68" i="13" s="1"/>
  <c r="Z71" i="13"/>
  <c r="S20" i="13"/>
  <c r="Z63" i="13"/>
  <c r="R23" i="13"/>
  <c r="AE63" i="13" s="1"/>
  <c r="U19" i="13"/>
  <c r="Z44" i="13"/>
  <c r="AC44" i="13" s="1"/>
  <c r="S17" i="13"/>
  <c r="AE40" i="13" s="1"/>
  <c r="AE43" i="13"/>
  <c r="U15" i="13"/>
  <c r="AJ31" i="13" s="1"/>
  <c r="AE35" i="13"/>
  <c r="U17" i="13"/>
  <c r="AJ39" i="13" s="1"/>
  <c r="S10" i="13"/>
  <c r="AE12" i="13" s="1"/>
  <c r="AE31" i="13"/>
  <c r="AC13" i="13"/>
  <c r="S11" i="13"/>
  <c r="Z28" i="13"/>
  <c r="AA28" i="13" s="1"/>
  <c r="R11" i="13"/>
  <c r="R13" i="13"/>
  <c r="AE23" i="13" s="1"/>
  <c r="R12" i="13"/>
  <c r="AE19" i="13" s="1"/>
  <c r="AB13" i="13"/>
  <c r="T13" i="13"/>
  <c r="AE25" i="13" s="1"/>
  <c r="T14" i="13"/>
  <c r="AE29" i="13" s="1"/>
  <c r="T15" i="13"/>
  <c r="AE33" i="13" s="1"/>
  <c r="T16" i="13"/>
  <c r="AE37" i="13" s="1"/>
  <c r="T17" i="13"/>
  <c r="AE41" i="13" s="1"/>
  <c r="S18" i="13"/>
  <c r="AE44" i="13" s="1"/>
  <c r="R21" i="13"/>
  <c r="U21" i="13" s="1"/>
  <c r="AJ55" i="13" s="1"/>
  <c r="T18" i="13"/>
  <c r="W20" i="13" s="1"/>
  <c r="AJ53" i="13" s="1"/>
  <c r="AC65" i="13"/>
  <c r="AB65" i="13"/>
  <c r="AA65" i="13"/>
  <c r="AC57" i="13"/>
  <c r="AA57" i="13"/>
  <c r="AB57" i="13"/>
  <c r="AH65" i="13"/>
  <c r="AG65" i="13"/>
  <c r="AF65" i="13"/>
  <c r="AH72" i="13"/>
  <c r="AG72" i="13"/>
  <c r="AF72" i="13"/>
  <c r="AB68" i="13"/>
  <c r="AA68" i="13"/>
  <c r="AC68" i="13"/>
  <c r="W21" i="13"/>
  <c r="AJ57" i="13" s="1"/>
  <c r="AK57" i="13" s="1"/>
  <c r="Z64" i="13"/>
  <c r="AB64" i="13" s="1"/>
  <c r="AG53" i="13"/>
  <c r="AH61" i="13"/>
  <c r="AG61" i="13"/>
  <c r="AF61" i="13"/>
  <c r="AH49" i="13"/>
  <c r="AG49" i="13"/>
  <c r="AF49" i="13"/>
  <c r="AA53" i="13"/>
  <c r="AC53" i="13"/>
  <c r="AB53" i="13"/>
  <c r="AE60" i="16"/>
  <c r="AJ41" i="16"/>
  <c r="AJ19" i="16"/>
  <c r="Z27" i="16"/>
  <c r="AC41" i="16"/>
  <c r="AA41" i="16"/>
  <c r="AB41" i="16"/>
  <c r="AB44" i="16"/>
  <c r="AC44" i="16"/>
  <c r="AA44" i="16"/>
  <c r="Z47" i="16"/>
  <c r="AJ39" i="16"/>
  <c r="AG56" i="16"/>
  <c r="AH56" i="16"/>
  <c r="AF56" i="16"/>
  <c r="AE49" i="16"/>
  <c r="AJ37" i="16"/>
  <c r="AJ49" i="16"/>
  <c r="AE13" i="16"/>
  <c r="AC33" i="16"/>
  <c r="AA33" i="16"/>
  <c r="AB33" i="16"/>
  <c r="AC40" i="16"/>
  <c r="AA40" i="16"/>
  <c r="AB40" i="16"/>
  <c r="Z43" i="16"/>
  <c r="AJ35" i="16"/>
  <c r="AE40" i="16"/>
  <c r="AJ32" i="16"/>
  <c r="AB64" i="16"/>
  <c r="AC64" i="16"/>
  <c r="AA64" i="16"/>
  <c r="AB21" i="16"/>
  <c r="AC21" i="16"/>
  <c r="AA21" i="16"/>
  <c r="AB24" i="16"/>
  <c r="AC24" i="16"/>
  <c r="AA24" i="16"/>
  <c r="AB29" i="16"/>
  <c r="AC29" i="16"/>
  <c r="AA29" i="16"/>
  <c r="AC32" i="16"/>
  <c r="AA32" i="16"/>
  <c r="AB32" i="16"/>
  <c r="AC36" i="16"/>
  <c r="AA36" i="16"/>
  <c r="AB36" i="16"/>
  <c r="Z39" i="16"/>
  <c r="AJ31" i="16"/>
  <c r="AC49" i="16"/>
  <c r="AA49" i="16"/>
  <c r="AB49" i="16"/>
  <c r="AB60" i="16"/>
  <c r="AC60" i="16"/>
  <c r="AA60" i="16"/>
  <c r="AB56" i="16"/>
  <c r="AC56" i="16"/>
  <c r="AA56" i="16"/>
  <c r="AE59" i="16"/>
  <c r="AJ55" i="16"/>
  <c r="AE63" i="16"/>
  <c r="AJ52" i="16"/>
  <c r="AC20" i="16"/>
  <c r="AA20" i="16"/>
  <c r="AB20" i="16"/>
  <c r="Z23" i="16"/>
  <c r="AJ15" i="16"/>
  <c r="AJ12" i="16"/>
  <c r="AE20" i="16"/>
  <c r="Z31" i="16"/>
  <c r="AJ23" i="16"/>
  <c r="AE25" i="16"/>
  <c r="AJ13" i="16"/>
  <c r="AJ21" i="16"/>
  <c r="AE33" i="16"/>
  <c r="AC52" i="16"/>
  <c r="AA52" i="16"/>
  <c r="AB52" i="16"/>
  <c r="AC17" i="16"/>
  <c r="AA17" i="16"/>
  <c r="AS46" i="16" s="1"/>
  <c r="AB17" i="16"/>
  <c r="AE15" i="16"/>
  <c r="AJ11" i="16"/>
  <c r="AE29" i="16"/>
  <c r="AJ17" i="16"/>
  <c r="AE36" i="16"/>
  <c r="AJ28" i="16"/>
  <c r="AE47" i="16"/>
  <c r="AJ43" i="16"/>
  <c r="AM48" i="16"/>
  <c r="AK48" i="16"/>
  <c r="AL48" i="16"/>
  <c r="AB13" i="16"/>
  <c r="AC13" i="16"/>
  <c r="AA13" i="16"/>
  <c r="AC25" i="16"/>
  <c r="AA25" i="16"/>
  <c r="AB25" i="16"/>
  <c r="AE21" i="16"/>
  <c r="AJ60" i="16"/>
  <c r="Z35" i="16"/>
  <c r="AJ27" i="16"/>
  <c r="AJ24" i="16"/>
  <c r="AE32" i="16"/>
  <c r="AC48" i="16"/>
  <c r="AA48" i="16"/>
  <c r="AB48" i="16"/>
  <c r="AE45" i="16"/>
  <c r="AJ33" i="16"/>
  <c r="AJ59" i="16"/>
  <c r="AE11" i="16"/>
  <c r="AE64" i="16"/>
  <c r="AJ45" i="16"/>
  <c r="AE16" i="16"/>
  <c r="AJ63" i="16"/>
  <c r="AJ64" i="16"/>
  <c r="AE17" i="16"/>
  <c r="AE24" i="16"/>
  <c r="AJ16" i="16"/>
  <c r="AE28" i="16"/>
  <c r="AJ20" i="16"/>
  <c r="AE37" i="16"/>
  <c r="AJ25" i="16"/>
  <c r="AE41" i="16"/>
  <c r="AJ29" i="16"/>
  <c r="AE48" i="16"/>
  <c r="AJ40" i="16"/>
  <c r="AE55" i="16"/>
  <c r="AJ51" i="16"/>
  <c r="AB16" i="16"/>
  <c r="AQ28" i="16" s="1"/>
  <c r="AC16" i="16"/>
  <c r="AA16" i="16"/>
  <c r="AJ56" i="16"/>
  <c r="AE12" i="16"/>
  <c r="AB28" i="16"/>
  <c r="AC28" i="16"/>
  <c r="AA28" i="16"/>
  <c r="AC37" i="16"/>
  <c r="AA37" i="16"/>
  <c r="AB37" i="16"/>
  <c r="AB45" i="16"/>
  <c r="AC45" i="16"/>
  <c r="AA45" i="16"/>
  <c r="AE44" i="16"/>
  <c r="AJ36" i="16"/>
  <c r="AE51" i="16"/>
  <c r="AJ47" i="16"/>
  <c r="AE52" i="16"/>
  <c r="AJ44" i="16"/>
  <c r="AB21" i="15"/>
  <c r="AC21" i="15"/>
  <c r="AA21" i="15"/>
  <c r="AB24" i="15"/>
  <c r="AC24" i="15"/>
  <c r="AA24" i="15"/>
  <c r="AB29" i="15"/>
  <c r="AC29" i="15"/>
  <c r="AA29" i="15"/>
  <c r="AC32" i="15"/>
  <c r="AA32" i="15"/>
  <c r="AB32" i="15"/>
  <c r="AC36" i="15"/>
  <c r="AA36" i="15"/>
  <c r="AB36" i="15"/>
  <c r="AC41" i="15"/>
  <c r="AA41" i="15"/>
  <c r="AB41" i="15"/>
  <c r="AB44" i="15"/>
  <c r="AC44" i="15"/>
  <c r="AA44" i="15"/>
  <c r="AC49" i="15"/>
  <c r="AA49" i="15"/>
  <c r="AB49" i="15"/>
  <c r="AB60" i="15"/>
  <c r="AC60" i="15"/>
  <c r="AA60" i="15"/>
  <c r="AB56" i="15"/>
  <c r="AC56" i="15"/>
  <c r="AA56" i="15"/>
  <c r="AE59" i="15"/>
  <c r="AJ55" i="15"/>
  <c r="AE63" i="15"/>
  <c r="AJ52" i="15"/>
  <c r="AC20" i="15"/>
  <c r="AA20" i="15"/>
  <c r="AB20" i="15"/>
  <c r="Z23" i="15"/>
  <c r="AJ15" i="15"/>
  <c r="AJ12" i="15"/>
  <c r="AE20" i="15"/>
  <c r="Z31" i="15"/>
  <c r="AJ23" i="15"/>
  <c r="AE25" i="15"/>
  <c r="AJ13" i="15"/>
  <c r="AJ21" i="15"/>
  <c r="AE33" i="15"/>
  <c r="AC52" i="15"/>
  <c r="AA52" i="15"/>
  <c r="AB52" i="15"/>
  <c r="AE60" i="15"/>
  <c r="AJ41" i="15"/>
  <c r="AJ19" i="15"/>
  <c r="Z27" i="15"/>
  <c r="Z39" i="15"/>
  <c r="AJ31" i="15"/>
  <c r="Z47" i="15"/>
  <c r="AJ39" i="15"/>
  <c r="AG56" i="15"/>
  <c r="AH56" i="15"/>
  <c r="AF56" i="15"/>
  <c r="AE49" i="15"/>
  <c r="AJ37" i="15"/>
  <c r="AJ49" i="15"/>
  <c r="AE13" i="15"/>
  <c r="AC33" i="15"/>
  <c r="AA33" i="15"/>
  <c r="AB33" i="15"/>
  <c r="AC40" i="15"/>
  <c r="AA40" i="15"/>
  <c r="AB40" i="15"/>
  <c r="Z43" i="15"/>
  <c r="AJ35" i="15"/>
  <c r="AE40" i="15"/>
  <c r="AJ32" i="15"/>
  <c r="AB64" i="15"/>
  <c r="AC64" i="15"/>
  <c r="AA64" i="15"/>
  <c r="AJ59" i="15"/>
  <c r="AE11" i="15"/>
  <c r="AE64" i="15"/>
  <c r="AJ45" i="15"/>
  <c r="AE16" i="15"/>
  <c r="AJ63" i="15"/>
  <c r="AJ64" i="15"/>
  <c r="AE17" i="15"/>
  <c r="AE24" i="15"/>
  <c r="AJ16" i="15"/>
  <c r="AE28" i="15"/>
  <c r="AJ20" i="15"/>
  <c r="AE29" i="15"/>
  <c r="AJ17" i="15"/>
  <c r="AE36" i="15"/>
  <c r="AJ28" i="15"/>
  <c r="AE37" i="15"/>
  <c r="AJ25" i="15"/>
  <c r="AE41" i="15"/>
  <c r="AJ29" i="15"/>
  <c r="AE48" i="15"/>
  <c r="AJ40" i="15"/>
  <c r="AE55" i="15"/>
  <c r="AJ51" i="15"/>
  <c r="AB16" i="15"/>
  <c r="AC16" i="15"/>
  <c r="AR28" i="15" s="1"/>
  <c r="AA16" i="15"/>
  <c r="AJ56" i="15"/>
  <c r="AE12" i="15"/>
  <c r="AB28" i="15"/>
  <c r="AC28" i="15"/>
  <c r="AA28" i="15"/>
  <c r="AB37" i="15"/>
  <c r="AC37" i="15"/>
  <c r="AA37" i="15"/>
  <c r="AB45" i="15"/>
  <c r="AC45" i="15"/>
  <c r="AA45" i="15"/>
  <c r="AE44" i="15"/>
  <c r="AJ36" i="15"/>
  <c r="AE51" i="15"/>
  <c r="AJ47" i="15"/>
  <c r="AE52" i="15"/>
  <c r="AJ44" i="15"/>
  <c r="AC17" i="15"/>
  <c r="AA17" i="15"/>
  <c r="AB17" i="15"/>
  <c r="AE15" i="15"/>
  <c r="AJ11" i="15"/>
  <c r="AE47" i="15"/>
  <c r="AJ43" i="15"/>
  <c r="AM48" i="15"/>
  <c r="AK48" i="15"/>
  <c r="AL48" i="15"/>
  <c r="AB13" i="15"/>
  <c r="AC13" i="15"/>
  <c r="AA13" i="15"/>
  <c r="AC25" i="15"/>
  <c r="AA25" i="15"/>
  <c r="AB25" i="15"/>
  <c r="AE21" i="15"/>
  <c r="AJ60" i="15"/>
  <c r="Z35" i="15"/>
  <c r="AJ27" i="15"/>
  <c r="AJ24" i="15"/>
  <c r="AE32" i="15"/>
  <c r="AC48" i="15"/>
  <c r="AA48" i="15"/>
  <c r="AB48" i="15"/>
  <c r="AE45" i="15"/>
  <c r="AJ33" i="15"/>
  <c r="AB20" i="14"/>
  <c r="AC20" i="14"/>
  <c r="AA20" i="14"/>
  <c r="AB25" i="14"/>
  <c r="AC25" i="14"/>
  <c r="AA25" i="14"/>
  <c r="AC28" i="14"/>
  <c r="AA28" i="14"/>
  <c r="AB28" i="14"/>
  <c r="AB33" i="14"/>
  <c r="AC33" i="14"/>
  <c r="AA33" i="14"/>
  <c r="AB37" i="14"/>
  <c r="AC37" i="14"/>
  <c r="AA37" i="14"/>
  <c r="AC40" i="14"/>
  <c r="AA40" i="14"/>
  <c r="AB40" i="14"/>
  <c r="Z43" i="14"/>
  <c r="AJ35" i="14"/>
  <c r="AE56" i="14"/>
  <c r="AJ48" i="14"/>
  <c r="AJ59" i="14"/>
  <c r="AE11" i="14"/>
  <c r="AJ63" i="14"/>
  <c r="AE16" i="14"/>
  <c r="AB32" i="14"/>
  <c r="AC32" i="14"/>
  <c r="AA32" i="14"/>
  <c r="AC41" i="14"/>
  <c r="AA41" i="14"/>
  <c r="AB41" i="14"/>
  <c r="AE37" i="14"/>
  <c r="AJ25" i="14"/>
  <c r="AE48" i="14"/>
  <c r="AJ40" i="14"/>
  <c r="AE63" i="14"/>
  <c r="AJ52" i="14"/>
  <c r="AE33" i="14"/>
  <c r="AJ21" i="14"/>
  <c r="AE40" i="14"/>
  <c r="AJ32" i="14"/>
  <c r="AE44" i="14"/>
  <c r="AJ36" i="14"/>
  <c r="AE45" i="14"/>
  <c r="AJ33" i="14"/>
  <c r="AE52" i="14"/>
  <c r="AJ44" i="14"/>
  <c r="AE60" i="14"/>
  <c r="AJ41" i="14"/>
  <c r="AE64" i="14"/>
  <c r="AJ45" i="14"/>
  <c r="AE17" i="14"/>
  <c r="AJ64" i="14"/>
  <c r="AB36" i="14"/>
  <c r="AC36" i="14"/>
  <c r="AA36" i="14"/>
  <c r="Z39" i="14"/>
  <c r="AJ31" i="14"/>
  <c r="AE36" i="14"/>
  <c r="AJ28" i="14"/>
  <c r="Z47" i="14"/>
  <c r="AJ39" i="14"/>
  <c r="AB60" i="14"/>
  <c r="AC60" i="14"/>
  <c r="AA60" i="14"/>
  <c r="AE12" i="14"/>
  <c r="AJ56" i="14"/>
  <c r="AJ49" i="14"/>
  <c r="AE13" i="14"/>
  <c r="AE20" i="14"/>
  <c r="AJ12" i="14"/>
  <c r="AJ60" i="14"/>
  <c r="AE21" i="14"/>
  <c r="AE25" i="14"/>
  <c r="AJ13" i="14"/>
  <c r="AE32" i="14"/>
  <c r="AJ24" i="14"/>
  <c r="AE51" i="14"/>
  <c r="AJ47" i="14"/>
  <c r="AB12" i="14"/>
  <c r="AC12" i="14"/>
  <c r="AA12" i="14"/>
  <c r="AE15" i="14"/>
  <c r="AJ11" i="14"/>
  <c r="AC24" i="14"/>
  <c r="AA24" i="14"/>
  <c r="AB24" i="14"/>
  <c r="Z27" i="14"/>
  <c r="AJ19" i="14"/>
  <c r="AJ16" i="14"/>
  <c r="AE24" i="14"/>
  <c r="AE29" i="14"/>
  <c r="AJ17" i="14"/>
  <c r="AC49" i="14"/>
  <c r="AA49" i="14"/>
  <c r="AB49" i="14"/>
  <c r="AE47" i="14"/>
  <c r="AJ43" i="14"/>
  <c r="AB56" i="14"/>
  <c r="AC56" i="14"/>
  <c r="AA56" i="14"/>
  <c r="AC16" i="14"/>
  <c r="AA16" i="14"/>
  <c r="AB16" i="14"/>
  <c r="Z23" i="14"/>
  <c r="AJ15" i="14"/>
  <c r="AJ23" i="14"/>
  <c r="Z31" i="14"/>
  <c r="Z35" i="14"/>
  <c r="AJ27" i="14"/>
  <c r="AB45" i="14"/>
  <c r="AC45" i="14"/>
  <c r="AA45" i="14"/>
  <c r="AC48" i="14"/>
  <c r="AA48" i="14"/>
  <c r="AB48" i="14"/>
  <c r="AC52" i="14"/>
  <c r="AA52" i="14"/>
  <c r="AB52" i="14"/>
  <c r="AB64" i="14"/>
  <c r="AC64" i="14"/>
  <c r="AA64" i="14"/>
  <c r="AB17" i="14"/>
  <c r="AC17" i="14"/>
  <c r="AA17" i="14"/>
  <c r="AC21" i="14"/>
  <c r="AA21" i="14"/>
  <c r="AB21" i="14"/>
  <c r="AC29" i="14"/>
  <c r="AA29" i="14"/>
  <c r="AB29" i="14"/>
  <c r="AJ20" i="14"/>
  <c r="AE28" i="14"/>
  <c r="AB44" i="14"/>
  <c r="AC44" i="14"/>
  <c r="AA44" i="14"/>
  <c r="AE41" i="14"/>
  <c r="AJ29" i="14"/>
  <c r="AE55" i="14"/>
  <c r="AJ51" i="14"/>
  <c r="AB25" i="13"/>
  <c r="AC25" i="13"/>
  <c r="AA25" i="13"/>
  <c r="AB33" i="13"/>
  <c r="AC33" i="13"/>
  <c r="AA33" i="13"/>
  <c r="Z43" i="13"/>
  <c r="U16" i="13"/>
  <c r="AJ35" i="13" s="1"/>
  <c r="AE20" i="13"/>
  <c r="AE21" i="13"/>
  <c r="AE51" i="13"/>
  <c r="AB17" i="13"/>
  <c r="AC17" i="13"/>
  <c r="AA17" i="13"/>
  <c r="AA21" i="13"/>
  <c r="AC29" i="13"/>
  <c r="AA29" i="13"/>
  <c r="AB29" i="13"/>
  <c r="AB20" i="13"/>
  <c r="AC20" i="13"/>
  <c r="AA20" i="13"/>
  <c r="Z23" i="13"/>
  <c r="Z31" i="13"/>
  <c r="AC37" i="13"/>
  <c r="AA37" i="13"/>
  <c r="AB37" i="13"/>
  <c r="AB40" i="13"/>
  <c r="AC40" i="13"/>
  <c r="AA40" i="13"/>
  <c r="AC45" i="13"/>
  <c r="AA45" i="13"/>
  <c r="AB45" i="13"/>
  <c r="AB48" i="13"/>
  <c r="AC48" i="13"/>
  <c r="AA48" i="13"/>
  <c r="AC52" i="13"/>
  <c r="AA52" i="13"/>
  <c r="AB52" i="13"/>
  <c r="AE11" i="13"/>
  <c r="AB32" i="13"/>
  <c r="AC32" i="13"/>
  <c r="AA32" i="13"/>
  <c r="AB41" i="13"/>
  <c r="AC41" i="13"/>
  <c r="AA41" i="13"/>
  <c r="U20" i="13"/>
  <c r="AJ51" i="13" s="1"/>
  <c r="Z35" i="13"/>
  <c r="U14" i="13"/>
  <c r="AJ27" i="13" s="1"/>
  <c r="AE64" i="13"/>
  <c r="W18" i="13"/>
  <c r="AJ45" i="13" s="1"/>
  <c r="AE17" i="13"/>
  <c r="AC36" i="13"/>
  <c r="AA36" i="13"/>
  <c r="AB36" i="13"/>
  <c r="Z39" i="13"/>
  <c r="Z47" i="13"/>
  <c r="AE47" i="13"/>
  <c r="U18" i="13"/>
  <c r="AJ43" i="13" s="1"/>
  <c r="AB56" i="13"/>
  <c r="AC56" i="13"/>
  <c r="AA56" i="13"/>
  <c r="AB12" i="13"/>
  <c r="AC12" i="13"/>
  <c r="AA12" i="13"/>
  <c r="AC24" i="13"/>
  <c r="AA24" i="13"/>
  <c r="AB24" i="13"/>
  <c r="Z27" i="13"/>
  <c r="AB49" i="13"/>
  <c r="AC49" i="13"/>
  <c r="AA49" i="13"/>
  <c r="AB60" i="13"/>
  <c r="AC60" i="13"/>
  <c r="AA60" i="13"/>
  <c r="AE12" i="11"/>
  <c r="AJ56" i="11"/>
  <c r="AJ49" i="11"/>
  <c r="AE13" i="11"/>
  <c r="AE20" i="11"/>
  <c r="AJ12" i="11"/>
  <c r="AJ60" i="11"/>
  <c r="AE21" i="11"/>
  <c r="AE33" i="11"/>
  <c r="AJ21" i="11"/>
  <c r="AE40" i="11"/>
  <c r="AJ32" i="11"/>
  <c r="AE44" i="11"/>
  <c r="AJ36" i="11"/>
  <c r="AE45" i="11"/>
  <c r="AJ33" i="11"/>
  <c r="AE52" i="11"/>
  <c r="AJ44" i="11"/>
  <c r="AK44" i="11" s="1"/>
  <c r="AB12" i="11"/>
  <c r="AC12" i="11"/>
  <c r="AA12" i="11"/>
  <c r="AE15" i="11"/>
  <c r="AJ11" i="11"/>
  <c r="AC24" i="11"/>
  <c r="AA24" i="11"/>
  <c r="AB24" i="11"/>
  <c r="Z27" i="11"/>
  <c r="AJ19" i="11"/>
  <c r="AJ16" i="11"/>
  <c r="AE24" i="11"/>
  <c r="AE29" i="11"/>
  <c r="AJ17" i="11"/>
  <c r="AC49" i="11"/>
  <c r="AA49" i="11"/>
  <c r="AB49" i="11"/>
  <c r="AE47" i="11"/>
  <c r="AJ43" i="11"/>
  <c r="AB56" i="11"/>
  <c r="AC56" i="11"/>
  <c r="AA56" i="11"/>
  <c r="AC16" i="11"/>
  <c r="AA16" i="11"/>
  <c r="AB16" i="11"/>
  <c r="Z23" i="11"/>
  <c r="AJ15" i="11"/>
  <c r="AJ23" i="11"/>
  <c r="Z31" i="11"/>
  <c r="AB37" i="11"/>
  <c r="AC37" i="11"/>
  <c r="AA37" i="11"/>
  <c r="AC40" i="11"/>
  <c r="AA40" i="11"/>
  <c r="AB40" i="11"/>
  <c r="Z43" i="11"/>
  <c r="AJ35" i="11"/>
  <c r="AE60" i="11"/>
  <c r="AJ41" i="11"/>
  <c r="AE64" i="11"/>
  <c r="AJ45" i="11"/>
  <c r="AE17" i="11"/>
  <c r="AJ64" i="11"/>
  <c r="AB36" i="11"/>
  <c r="AC36" i="11"/>
  <c r="AA36" i="11"/>
  <c r="Z39" i="11"/>
  <c r="AJ31" i="11"/>
  <c r="AE36" i="11"/>
  <c r="AJ28" i="11"/>
  <c r="Z47" i="11"/>
  <c r="AJ39" i="11"/>
  <c r="AB60" i="11"/>
  <c r="AC60" i="11"/>
  <c r="AA60" i="11"/>
  <c r="AB20" i="11"/>
  <c r="AC20" i="11"/>
  <c r="AR29" i="11" s="1"/>
  <c r="AA20" i="11"/>
  <c r="AB25" i="11"/>
  <c r="AC25" i="11"/>
  <c r="AA25" i="11"/>
  <c r="AC28" i="11"/>
  <c r="AA28" i="11"/>
  <c r="AB28" i="11"/>
  <c r="AB33" i="11"/>
  <c r="AC33" i="11"/>
  <c r="AA33" i="11"/>
  <c r="Z35" i="11"/>
  <c r="AJ27" i="11"/>
  <c r="AB45" i="11"/>
  <c r="AC45" i="11"/>
  <c r="AA45" i="11"/>
  <c r="AC48" i="11"/>
  <c r="AA48" i="11"/>
  <c r="AB48" i="11"/>
  <c r="AC52" i="11"/>
  <c r="AA52" i="11"/>
  <c r="AB52" i="11"/>
  <c r="AB64" i="11"/>
  <c r="AC64" i="11"/>
  <c r="AA64" i="11"/>
  <c r="AE56" i="11"/>
  <c r="AJ48" i="11"/>
  <c r="AJ59" i="11"/>
  <c r="AE11" i="11"/>
  <c r="AJ63" i="11"/>
  <c r="AE16" i="11"/>
  <c r="AB32" i="11"/>
  <c r="AC32" i="11"/>
  <c r="AA32" i="11"/>
  <c r="AC41" i="11"/>
  <c r="AA41" i="11"/>
  <c r="AB41" i="11"/>
  <c r="AE37" i="11"/>
  <c r="AJ25" i="11"/>
  <c r="AE48" i="11"/>
  <c r="AJ40" i="11"/>
  <c r="AE55" i="11"/>
  <c r="AJ51" i="11"/>
  <c r="AE63" i="11"/>
  <c r="AJ52" i="11"/>
  <c r="AE25" i="11"/>
  <c r="AJ13" i="11"/>
  <c r="AE32" i="11"/>
  <c r="AJ24" i="11"/>
  <c r="AE51" i="11"/>
  <c r="AJ47" i="11"/>
  <c r="AB17" i="11"/>
  <c r="AQ46" i="11" s="1"/>
  <c r="AC17" i="11"/>
  <c r="AR46" i="11" s="1"/>
  <c r="AA17" i="11"/>
  <c r="AS46" i="11" s="1"/>
  <c r="AC21" i="11"/>
  <c r="AR47" i="11" s="1"/>
  <c r="AA21" i="11"/>
  <c r="AS47" i="11" s="1"/>
  <c r="AB21" i="11"/>
  <c r="AQ47" i="11" s="1"/>
  <c r="AC29" i="11"/>
  <c r="AA29" i="11"/>
  <c r="AB29" i="11"/>
  <c r="AJ20" i="11"/>
  <c r="AE28" i="11"/>
  <c r="AB44" i="11"/>
  <c r="AC44" i="11"/>
  <c r="AA44" i="11"/>
  <c r="AE41" i="11"/>
  <c r="AJ29" i="11"/>
  <c r="AM69" i="13" l="1"/>
  <c r="AR11" i="16"/>
  <c r="AR10" i="16"/>
  <c r="AS10" i="16"/>
  <c r="AS11" i="16"/>
  <c r="AQ10" i="16"/>
  <c r="AQ11" i="16"/>
  <c r="AQ27" i="15"/>
  <c r="AR47" i="15"/>
  <c r="AS11" i="15"/>
  <c r="AQ11" i="15"/>
  <c r="AR27" i="15"/>
  <c r="AR10" i="15"/>
  <c r="AR46" i="15"/>
  <c r="AR29" i="15"/>
  <c r="AQ10" i="15"/>
  <c r="AS10" i="15"/>
  <c r="AR11" i="15"/>
  <c r="W19" i="13"/>
  <c r="AJ49" i="13" s="1"/>
  <c r="W16" i="13"/>
  <c r="AJ37" i="13" s="1"/>
  <c r="AK37" i="13" s="1"/>
  <c r="AS10" i="14"/>
  <c r="AS11" i="14"/>
  <c r="AR11" i="14"/>
  <c r="AR10" i="14"/>
  <c r="AQ11" i="14"/>
  <c r="AQ10" i="14"/>
  <c r="AS29" i="11"/>
  <c r="AS27" i="11"/>
  <c r="AC83" i="16" a="1"/>
  <c r="AC83" i="16" s="1"/>
  <c r="AC84" i="16" s="1"/>
  <c r="AB83" i="16" a="1"/>
  <c r="AB83" i="16" s="1"/>
  <c r="AC83" i="15" a="1"/>
  <c r="AC83" i="15" s="1"/>
  <c r="AC84" i="15" s="1"/>
  <c r="AR56" i="15"/>
  <c r="AR48" i="15"/>
  <c r="AR39" i="15"/>
  <c r="AR31" i="15"/>
  <c r="AR23" i="15"/>
  <c r="AR15" i="15"/>
  <c r="AR59" i="15"/>
  <c r="AR51" i="15"/>
  <c r="AR44" i="15"/>
  <c r="AR36" i="15"/>
  <c r="AR20" i="15"/>
  <c r="AR12" i="15"/>
  <c r="AR58" i="15"/>
  <c r="AR50" i="15"/>
  <c r="AR41" i="15"/>
  <c r="AR33" i="15"/>
  <c r="AR25" i="15"/>
  <c r="AR17" i="15"/>
  <c r="AR61" i="15"/>
  <c r="AR53" i="15"/>
  <c r="AR45" i="15"/>
  <c r="AR38" i="15"/>
  <c r="AR30" i="15"/>
  <c r="AR22" i="15"/>
  <c r="AR14" i="15"/>
  <c r="AB83" i="15" a="1"/>
  <c r="AB83" i="15" s="1"/>
  <c r="AR60" i="15"/>
  <c r="AR52" i="15"/>
  <c r="AR43" i="15"/>
  <c r="AR35" i="15"/>
  <c r="AR19" i="15"/>
  <c r="AR55" i="15"/>
  <c r="AR40" i="15"/>
  <c r="AR32" i="15"/>
  <c r="AR24" i="15"/>
  <c r="AR16" i="15"/>
  <c r="AR62" i="15"/>
  <c r="AR54" i="15"/>
  <c r="AR37" i="15"/>
  <c r="AR21" i="15"/>
  <c r="AR13" i="15"/>
  <c r="AR57" i="15"/>
  <c r="AR49" i="15"/>
  <c r="AR42" i="15"/>
  <c r="AR34" i="15"/>
  <c r="AR26" i="15"/>
  <c r="AR18" i="15"/>
  <c r="AB83" i="14" a="1"/>
  <c r="AB83" i="14" s="1"/>
  <c r="AC83" i="14" a="1"/>
  <c r="AC83" i="14" s="1"/>
  <c r="AC84" i="14" s="1"/>
  <c r="AQ27" i="11"/>
  <c r="AB83" i="11" a="1"/>
  <c r="AB83" i="11" s="1"/>
  <c r="AR27" i="11"/>
  <c r="AC83" i="11" a="1"/>
  <c r="AC83" i="11" s="1"/>
  <c r="AC84" i="11" s="1"/>
  <c r="AR45" i="16"/>
  <c r="W11" i="13"/>
  <c r="AJ17" i="13" s="1"/>
  <c r="AM17" i="13" s="1"/>
  <c r="U22" i="13"/>
  <c r="AJ59" i="13" s="1"/>
  <c r="V24" i="13"/>
  <c r="AJ68" i="13" s="1"/>
  <c r="AK68" i="13" s="1"/>
  <c r="AS19" i="16"/>
  <c r="AS29" i="16"/>
  <c r="AS27" i="16"/>
  <c r="AQ27" i="16"/>
  <c r="AQ29" i="16"/>
  <c r="AR29" i="16"/>
  <c r="AR27" i="16"/>
  <c r="AS46" i="15"/>
  <c r="AS29" i="15"/>
  <c r="AS27" i="15"/>
  <c r="AS45" i="15"/>
  <c r="AQ45" i="15"/>
  <c r="AQ46" i="15"/>
  <c r="AS28" i="15"/>
  <c r="AQ28" i="15"/>
  <c r="AQ29" i="15"/>
  <c r="AS47" i="15"/>
  <c r="AQ47" i="15"/>
  <c r="AU11" i="14"/>
  <c r="AU13" i="14"/>
  <c r="AU15" i="14"/>
  <c r="AU17" i="14"/>
  <c r="AU19" i="14"/>
  <c r="AU21" i="14"/>
  <c r="AU23" i="14"/>
  <c r="AU25" i="14"/>
  <c r="AU43" i="14"/>
  <c r="AT10" i="14"/>
  <c r="AT11" i="14"/>
  <c r="AT12" i="14"/>
  <c r="AT13" i="14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U44" i="14"/>
  <c r="AV26" i="14"/>
  <c r="AV43" i="14"/>
  <c r="AU58" i="14"/>
  <c r="AU60" i="14"/>
  <c r="AU62" i="14"/>
  <c r="AV57" i="14"/>
  <c r="AV58" i="14"/>
  <c r="AV59" i="14"/>
  <c r="AV60" i="14"/>
  <c r="AV61" i="14"/>
  <c r="AV62" i="14"/>
  <c r="AU10" i="14"/>
  <c r="AU14" i="14"/>
  <c r="AU18" i="14"/>
  <c r="AU22" i="14"/>
  <c r="AU26" i="14"/>
  <c r="AT26" i="14"/>
  <c r="AT43" i="14"/>
  <c r="AT44" i="14"/>
  <c r="AU59" i="14"/>
  <c r="AT57" i="14"/>
  <c r="AT58" i="14"/>
  <c r="AT59" i="14"/>
  <c r="AT60" i="14"/>
  <c r="AT61" i="14"/>
  <c r="AT62" i="14"/>
  <c r="AU12" i="14"/>
  <c r="AU16" i="14"/>
  <c r="AU20" i="14"/>
  <c r="AU24" i="14"/>
  <c r="AV44" i="14"/>
  <c r="AV10" i="14"/>
  <c r="AV11" i="14"/>
  <c r="AV12" i="14"/>
  <c r="AV13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U57" i="14"/>
  <c r="AU61" i="14"/>
  <c r="AW25" i="14"/>
  <c r="AW23" i="14"/>
  <c r="AW21" i="14"/>
  <c r="AW19" i="14"/>
  <c r="AW17" i="14"/>
  <c r="AW15" i="14"/>
  <c r="AW13" i="14"/>
  <c r="AW11" i="14"/>
  <c r="AW26" i="14"/>
  <c r="AW24" i="14"/>
  <c r="AW22" i="14"/>
  <c r="AW20" i="14"/>
  <c r="AW18" i="14"/>
  <c r="AW16" i="14"/>
  <c r="AW14" i="14"/>
  <c r="AW12" i="14"/>
  <c r="AW10" i="14"/>
  <c r="AY12" i="14"/>
  <c r="AY16" i="14"/>
  <c r="AY20" i="14"/>
  <c r="AY24" i="14"/>
  <c r="AX10" i="14"/>
  <c r="AX11" i="14"/>
  <c r="AX12" i="14"/>
  <c r="AX13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W57" i="14"/>
  <c r="AY58" i="14"/>
  <c r="AW61" i="14"/>
  <c r="AY62" i="14"/>
  <c r="AY11" i="14"/>
  <c r="AY13" i="14"/>
  <c r="AY15" i="14"/>
  <c r="AY17" i="14"/>
  <c r="AY19" i="14"/>
  <c r="AY21" i="14"/>
  <c r="AY23" i="14"/>
  <c r="AY25" i="14"/>
  <c r="AY10" i="14"/>
  <c r="AY14" i="14"/>
  <c r="AY18" i="14"/>
  <c r="AY22" i="14"/>
  <c r="AY26" i="14"/>
  <c r="AY57" i="14"/>
  <c r="AW58" i="14"/>
  <c r="AY61" i="14"/>
  <c r="AW62" i="14"/>
  <c r="AX26" i="14"/>
  <c r="AX57" i="14"/>
  <c r="AX58" i="14"/>
  <c r="AX61" i="14"/>
  <c r="AX62" i="14"/>
  <c r="AR45" i="14"/>
  <c r="AQ44" i="14"/>
  <c r="AQ40" i="14"/>
  <c r="AQ42" i="14"/>
  <c r="AQ16" i="14"/>
  <c r="AQ24" i="14"/>
  <c r="AS15" i="14"/>
  <c r="AS23" i="14"/>
  <c r="AS31" i="14"/>
  <c r="AS39" i="14"/>
  <c r="AQ48" i="14"/>
  <c r="AS45" i="14"/>
  <c r="AS53" i="14"/>
  <c r="AR29" i="14"/>
  <c r="AR33" i="14"/>
  <c r="AR37" i="14"/>
  <c r="AR41" i="14"/>
  <c r="AS55" i="14"/>
  <c r="AS59" i="14"/>
  <c r="AR58" i="14"/>
  <c r="AR62" i="14"/>
  <c r="AQ17" i="14"/>
  <c r="AQ30" i="14"/>
  <c r="AQ31" i="14"/>
  <c r="AQ39" i="14"/>
  <c r="AS16" i="14"/>
  <c r="BB16" i="14" s="1"/>
  <c r="AS32" i="14"/>
  <c r="BA11" i="14"/>
  <c r="AR15" i="14"/>
  <c r="AR19" i="14"/>
  <c r="BA19" i="14" s="1"/>
  <c r="AR23" i="14"/>
  <c r="AS48" i="14"/>
  <c r="AR46" i="14"/>
  <c r="AR54" i="14"/>
  <c r="AQ61" i="14"/>
  <c r="AS22" i="14"/>
  <c r="AS38" i="14"/>
  <c r="AQ45" i="14"/>
  <c r="AS58" i="14"/>
  <c r="AR49" i="14"/>
  <c r="AS44" i="14"/>
  <c r="AQ25" i="14"/>
  <c r="AQ34" i="14"/>
  <c r="AQ14" i="14"/>
  <c r="AQ22" i="14"/>
  <c r="AS13" i="14"/>
  <c r="AS21" i="14"/>
  <c r="AS29" i="14"/>
  <c r="AS37" i="14"/>
  <c r="AS46" i="14"/>
  <c r="AS54" i="14"/>
  <c r="AQ51" i="14"/>
  <c r="AR28" i="14"/>
  <c r="AR32" i="14"/>
  <c r="AR36" i="14"/>
  <c r="AR40" i="14"/>
  <c r="AR44" i="14"/>
  <c r="AQ58" i="14"/>
  <c r="AZ58" i="14" s="1"/>
  <c r="AQ62" i="14"/>
  <c r="AR57" i="14"/>
  <c r="AR61" i="14"/>
  <c r="AQ21" i="14"/>
  <c r="AQ19" i="14"/>
  <c r="AQ29" i="14"/>
  <c r="AQ37" i="14"/>
  <c r="AS12" i="14"/>
  <c r="BB12" i="14" s="1"/>
  <c r="AS28" i="14"/>
  <c r="BA10" i="14"/>
  <c r="AR14" i="14"/>
  <c r="AR18" i="14"/>
  <c r="AR22" i="14"/>
  <c r="AQ46" i="14"/>
  <c r="AS51" i="14"/>
  <c r="AR52" i="14"/>
  <c r="AS60" i="14"/>
  <c r="AS18" i="14"/>
  <c r="BB18" i="14" s="1"/>
  <c r="AS34" i="14"/>
  <c r="AS52" i="14"/>
  <c r="AQ55" i="14"/>
  <c r="AR47" i="14"/>
  <c r="AQ36" i="14"/>
  <c r="AQ23" i="14"/>
  <c r="AQ12" i="14"/>
  <c r="AQ20" i="14"/>
  <c r="AS19" i="14"/>
  <c r="AS27" i="14"/>
  <c r="AS35" i="14"/>
  <c r="AS43" i="14"/>
  <c r="AQ52" i="14"/>
  <c r="AS49" i="14"/>
  <c r="AR27" i="14"/>
  <c r="AR31" i="14"/>
  <c r="AR35" i="14"/>
  <c r="AR39" i="14"/>
  <c r="AR43" i="14"/>
  <c r="AS57" i="14"/>
  <c r="AS61" i="14"/>
  <c r="AR56" i="14"/>
  <c r="AR60" i="14"/>
  <c r="AQ13" i="14"/>
  <c r="AQ27" i="14"/>
  <c r="AQ35" i="14"/>
  <c r="AQ43" i="14"/>
  <c r="AS24" i="14"/>
  <c r="AS40" i="14"/>
  <c r="AR13" i="14"/>
  <c r="AR17" i="14"/>
  <c r="AR21" i="14"/>
  <c r="AR25" i="14"/>
  <c r="AQ49" i="14"/>
  <c r="AR50" i="14"/>
  <c r="AQ57" i="14"/>
  <c r="AS14" i="14"/>
  <c r="BB14" i="14" s="1"/>
  <c r="AS30" i="14"/>
  <c r="AQ50" i="14"/>
  <c r="AQ53" i="14"/>
  <c r="AS62" i="14"/>
  <c r="BB62" i="14" s="1"/>
  <c r="AR51" i="14"/>
  <c r="AQ28" i="14"/>
  <c r="AQ15" i="14"/>
  <c r="AQ18" i="14"/>
  <c r="AQ26" i="14"/>
  <c r="AS17" i="14"/>
  <c r="AS25" i="14"/>
  <c r="AS33" i="14"/>
  <c r="AS41" i="14"/>
  <c r="AS50" i="14"/>
  <c r="AQ47" i="14"/>
  <c r="AR26" i="14"/>
  <c r="AR30" i="14"/>
  <c r="AR34" i="14"/>
  <c r="AR38" i="14"/>
  <c r="AR42" i="14"/>
  <c r="AQ56" i="14"/>
  <c r="AQ60" i="14"/>
  <c r="AR55" i="14"/>
  <c r="AR59" i="14"/>
  <c r="AQ32" i="14"/>
  <c r="AQ38" i="14"/>
  <c r="AQ33" i="14"/>
  <c r="AQ41" i="14"/>
  <c r="AS20" i="14"/>
  <c r="BB20" i="14" s="1"/>
  <c r="AS36" i="14"/>
  <c r="AR12" i="14"/>
  <c r="BA12" i="14" s="1"/>
  <c r="AR16" i="14"/>
  <c r="AR20" i="14"/>
  <c r="AR24" i="14"/>
  <c r="AQ54" i="14"/>
  <c r="AR48" i="14"/>
  <c r="AS56" i="14"/>
  <c r="AS26" i="14"/>
  <c r="AS42" i="14"/>
  <c r="AS47" i="14"/>
  <c r="AQ59" i="14"/>
  <c r="AR53" i="14"/>
  <c r="AR52" i="13"/>
  <c r="AR41" i="13"/>
  <c r="AR37" i="13"/>
  <c r="AR22" i="13"/>
  <c r="AR18" i="13"/>
  <c r="AR33" i="13"/>
  <c r="AR29" i="13"/>
  <c r="AR26" i="13"/>
  <c r="AR14" i="13"/>
  <c r="AR10" i="13"/>
  <c r="AR48" i="13"/>
  <c r="AR11" i="13"/>
  <c r="AR13" i="13"/>
  <c r="AR15" i="13"/>
  <c r="AR17" i="13"/>
  <c r="AR19" i="13"/>
  <c r="AR21" i="13"/>
  <c r="AR23" i="13"/>
  <c r="AR25" i="13"/>
  <c r="AR30" i="13"/>
  <c r="AR32" i="13"/>
  <c r="AR34" i="13"/>
  <c r="AR36" i="13"/>
  <c r="AR38" i="13"/>
  <c r="AR44" i="13"/>
  <c r="AR45" i="13"/>
  <c r="AR47" i="13"/>
  <c r="AR49" i="13"/>
  <c r="AR51" i="13"/>
  <c r="AR53" i="13"/>
  <c r="AR55" i="13"/>
  <c r="AR61" i="13"/>
  <c r="AQ62" i="13"/>
  <c r="AQ53" i="13"/>
  <c r="AQ49" i="13"/>
  <c r="AS47" i="13"/>
  <c r="AQ38" i="13"/>
  <c r="AQ30" i="13"/>
  <c r="AQ15" i="13"/>
  <c r="AS10" i="13"/>
  <c r="AQ12" i="13"/>
  <c r="AS14" i="13"/>
  <c r="AQ16" i="13"/>
  <c r="AS18" i="13"/>
  <c r="AQ20" i="13"/>
  <c r="AS22" i="13"/>
  <c r="AQ24" i="13"/>
  <c r="AS26" i="13"/>
  <c r="AQ27" i="13"/>
  <c r="AS29" i="13"/>
  <c r="AS33" i="13"/>
  <c r="AS37" i="13"/>
  <c r="AQ39" i="13"/>
  <c r="AS41" i="13"/>
  <c r="AS46" i="13"/>
  <c r="AQ48" i="13"/>
  <c r="AS50" i="13"/>
  <c r="AS58" i="13"/>
  <c r="AQ45" i="13"/>
  <c r="AS44" i="13"/>
  <c r="AS13" i="13"/>
  <c r="AR62" i="13"/>
  <c r="AS61" i="13"/>
  <c r="AQ55" i="13"/>
  <c r="AS53" i="13"/>
  <c r="AR46" i="13"/>
  <c r="AS45" i="13"/>
  <c r="AQ40" i="13"/>
  <c r="AR39" i="13"/>
  <c r="AS38" i="13"/>
  <c r="AQ32" i="13"/>
  <c r="AS30" i="13"/>
  <c r="AQ25" i="13"/>
  <c r="AR24" i="13"/>
  <c r="AS23" i="13"/>
  <c r="AQ17" i="13"/>
  <c r="AR16" i="13"/>
  <c r="AS15" i="13"/>
  <c r="AS62" i="13"/>
  <c r="AQ61" i="13"/>
  <c r="AQ34" i="13"/>
  <c r="AQ23" i="13"/>
  <c r="AS21" i="13"/>
  <c r="AQ19" i="13"/>
  <c r="AS17" i="13"/>
  <c r="AQ10" i="13"/>
  <c r="AS12" i="13"/>
  <c r="AQ14" i="13"/>
  <c r="AS16" i="13"/>
  <c r="AQ18" i="13"/>
  <c r="AS20" i="13"/>
  <c r="AQ22" i="13"/>
  <c r="AS24" i="13"/>
  <c r="AQ26" i="13"/>
  <c r="AS27" i="13"/>
  <c r="AQ29" i="13"/>
  <c r="AS31" i="13"/>
  <c r="AQ33" i="13"/>
  <c r="AQ37" i="13"/>
  <c r="AS39" i="13"/>
  <c r="AQ41" i="13"/>
  <c r="AQ46" i="13"/>
  <c r="AS48" i="13"/>
  <c r="AQ50" i="13"/>
  <c r="AQ54" i="13"/>
  <c r="AQ58" i="13"/>
  <c r="AQ57" i="13"/>
  <c r="AS55" i="13"/>
  <c r="AS36" i="13"/>
  <c r="AS32" i="13"/>
  <c r="AS28" i="13"/>
  <c r="AS25" i="13"/>
  <c r="AQ11" i="13"/>
  <c r="AR58" i="13"/>
  <c r="AR50" i="13"/>
  <c r="AS49" i="13"/>
  <c r="AQ44" i="13"/>
  <c r="AS42" i="13"/>
  <c r="AQ36" i="13"/>
  <c r="AR35" i="13"/>
  <c r="AS34" i="13"/>
  <c r="AR27" i="13"/>
  <c r="AQ21" i="13"/>
  <c r="AR20" i="13"/>
  <c r="AS19" i="13"/>
  <c r="AQ13" i="13"/>
  <c r="AR12" i="13"/>
  <c r="AS11" i="13"/>
  <c r="AS45" i="11"/>
  <c r="AQ29" i="11"/>
  <c r="AS28" i="11"/>
  <c r="AR45" i="11"/>
  <c r="AQ45" i="11"/>
  <c r="AQ28" i="11"/>
  <c r="AR28" i="11"/>
  <c r="AS11" i="11"/>
  <c r="AQ11" i="11"/>
  <c r="AQ10" i="11"/>
  <c r="AR11" i="11"/>
  <c r="AR10" i="11"/>
  <c r="AS10" i="11"/>
  <c r="AQ58" i="11"/>
  <c r="AU10" i="11"/>
  <c r="AT11" i="11"/>
  <c r="AV11" i="11"/>
  <c r="AU12" i="11"/>
  <c r="AT13" i="11"/>
  <c r="AV13" i="11"/>
  <c r="AU14" i="11"/>
  <c r="AT15" i="11"/>
  <c r="AV15" i="11"/>
  <c r="AU16" i="11"/>
  <c r="AT17" i="11"/>
  <c r="AV17" i="11"/>
  <c r="AU18" i="11"/>
  <c r="AT19" i="11"/>
  <c r="AV19" i="11"/>
  <c r="AU20" i="11"/>
  <c r="AT21" i="11"/>
  <c r="AV21" i="11"/>
  <c r="AU22" i="11"/>
  <c r="AT23" i="11"/>
  <c r="AV23" i="11"/>
  <c r="AU24" i="11"/>
  <c r="AT25" i="11"/>
  <c r="AV25" i="11"/>
  <c r="AU26" i="11"/>
  <c r="AU43" i="11"/>
  <c r="AU58" i="11"/>
  <c r="AT59" i="11"/>
  <c r="AV59" i="11"/>
  <c r="AU60" i="11"/>
  <c r="AT61" i="11"/>
  <c r="AV61" i="11"/>
  <c r="AT10" i="11"/>
  <c r="AV10" i="11"/>
  <c r="AU11" i="11"/>
  <c r="AT12" i="11"/>
  <c r="AV12" i="11"/>
  <c r="AU13" i="11"/>
  <c r="AT14" i="11"/>
  <c r="AV14" i="11"/>
  <c r="AU15" i="11"/>
  <c r="AT16" i="11"/>
  <c r="AV16" i="11"/>
  <c r="AU17" i="11"/>
  <c r="AT18" i="11"/>
  <c r="AV18" i="11"/>
  <c r="AU19" i="11"/>
  <c r="AT20" i="11"/>
  <c r="AV20" i="11"/>
  <c r="AU21" i="11"/>
  <c r="AT22" i="11"/>
  <c r="AV22" i="11"/>
  <c r="AU23" i="11"/>
  <c r="AT24" i="11"/>
  <c r="AV24" i="11"/>
  <c r="AU25" i="11"/>
  <c r="AT26" i="11"/>
  <c r="AV26" i="11"/>
  <c r="AT43" i="11"/>
  <c r="AV43" i="11"/>
  <c r="AT58" i="11"/>
  <c r="AV58" i="11"/>
  <c r="AU59" i="11"/>
  <c r="AT60" i="11"/>
  <c r="AV60" i="11"/>
  <c r="AU61" i="11"/>
  <c r="AW17" i="11"/>
  <c r="AX20" i="11"/>
  <c r="AX12" i="11"/>
  <c r="AY57" i="11"/>
  <c r="AY19" i="11"/>
  <c r="AY15" i="11"/>
  <c r="AW13" i="11"/>
  <c r="AX13" i="11"/>
  <c r="AX17" i="11"/>
  <c r="AX21" i="11"/>
  <c r="AX25" i="11"/>
  <c r="AY10" i="11"/>
  <c r="AY12" i="11"/>
  <c r="AY14" i="11"/>
  <c r="AY16" i="11"/>
  <c r="AY18" i="11"/>
  <c r="AY20" i="11"/>
  <c r="AY22" i="11"/>
  <c r="AY24" i="11"/>
  <c r="AY26" i="11"/>
  <c r="AY61" i="11"/>
  <c r="AY23" i="11"/>
  <c r="AW21" i="11"/>
  <c r="AY11" i="11"/>
  <c r="AY25" i="11"/>
  <c r="AY21" i="11"/>
  <c r="AY17" i="11"/>
  <c r="AY13" i="11"/>
  <c r="AX24" i="11"/>
  <c r="AX16" i="11"/>
  <c r="AX11" i="11"/>
  <c r="AX15" i="11"/>
  <c r="AX19" i="11"/>
  <c r="AX23" i="11"/>
  <c r="AW57" i="11"/>
  <c r="AW25" i="11"/>
  <c r="AW10" i="11"/>
  <c r="AW12" i="11"/>
  <c r="AW14" i="11"/>
  <c r="AW16" i="11"/>
  <c r="AW18" i="11"/>
  <c r="AW20" i="11"/>
  <c r="AW22" i="11"/>
  <c r="AW24" i="11"/>
  <c r="AW26" i="11"/>
  <c r="AW61" i="11"/>
  <c r="AX61" i="11"/>
  <c r="AX57" i="11"/>
  <c r="AX26" i="11"/>
  <c r="AW23" i="11"/>
  <c r="AX22" i="11"/>
  <c r="AW19" i="11"/>
  <c r="AX18" i="11"/>
  <c r="AW15" i="11"/>
  <c r="AX14" i="11"/>
  <c r="AW11" i="11"/>
  <c r="AX10" i="11"/>
  <c r="AQ50" i="11"/>
  <c r="AR42" i="11"/>
  <c r="AR26" i="11"/>
  <c r="AR57" i="11"/>
  <c r="AR49" i="11"/>
  <c r="AQ41" i="11"/>
  <c r="AS25" i="11"/>
  <c r="AR60" i="11"/>
  <c r="AR43" i="11"/>
  <c r="AR23" i="11"/>
  <c r="AS57" i="11"/>
  <c r="AS18" i="11"/>
  <c r="AS26" i="11"/>
  <c r="AS33" i="11"/>
  <c r="AS58" i="11"/>
  <c r="AS50" i="11"/>
  <c r="AS38" i="11"/>
  <c r="AS30" i="11"/>
  <c r="AR20" i="11"/>
  <c r="AR12" i="11"/>
  <c r="AR50" i="11"/>
  <c r="AQ59" i="11"/>
  <c r="AQ49" i="11"/>
  <c r="AQ15" i="11"/>
  <c r="AR25" i="11"/>
  <c r="AR36" i="11"/>
  <c r="AQ14" i="11"/>
  <c r="AQ22" i="11"/>
  <c r="AQ37" i="11"/>
  <c r="AQ51" i="11"/>
  <c r="AQ42" i="11"/>
  <c r="AQ23" i="11"/>
  <c r="AS41" i="11"/>
  <c r="AQ13" i="11"/>
  <c r="AQ56" i="11"/>
  <c r="AQ48" i="11"/>
  <c r="AR37" i="11"/>
  <c r="AR22" i="11"/>
  <c r="AQ62" i="11"/>
  <c r="AR55" i="11"/>
  <c r="AQ34" i="11"/>
  <c r="AS21" i="11"/>
  <c r="AR56" i="11"/>
  <c r="AR32" i="11"/>
  <c r="AS55" i="11"/>
  <c r="AS12" i="11"/>
  <c r="AS20" i="11"/>
  <c r="AS35" i="11"/>
  <c r="AS61" i="11"/>
  <c r="AS42" i="11"/>
  <c r="AS56" i="11"/>
  <c r="AS48" i="11"/>
  <c r="AR35" i="11"/>
  <c r="AS19" i="11"/>
  <c r="AQ57" i="11"/>
  <c r="AS44" i="11"/>
  <c r="AR13" i="11"/>
  <c r="BA13" i="11" s="1"/>
  <c r="AR40" i="11"/>
  <c r="AQ16" i="11"/>
  <c r="AQ24" i="11"/>
  <c r="AQ31" i="11"/>
  <c r="AQ39" i="11"/>
  <c r="AS40" i="11"/>
  <c r="AS17" i="11"/>
  <c r="AQ40" i="11"/>
  <c r="AQ25" i="11"/>
  <c r="AQ54" i="11"/>
  <c r="AR33" i="11"/>
  <c r="AR18" i="11"/>
  <c r="AR61" i="11"/>
  <c r="AR53" i="11"/>
  <c r="AQ30" i="11"/>
  <c r="AS13" i="11"/>
  <c r="AR52" i="11"/>
  <c r="AR15" i="11"/>
  <c r="AR38" i="11"/>
  <c r="AS53" i="11"/>
  <c r="AS14" i="11"/>
  <c r="AS22" i="11"/>
  <c r="AS37" i="11"/>
  <c r="AS51" i="11"/>
  <c r="AS62" i="11"/>
  <c r="AS54" i="11"/>
  <c r="AS34" i="11"/>
  <c r="AR24" i="11"/>
  <c r="AR16" i="11"/>
  <c r="AR58" i="11"/>
  <c r="AR41" i="11"/>
  <c r="AQ55" i="11"/>
  <c r="AQ38" i="11"/>
  <c r="AR17" i="11"/>
  <c r="AR30" i="11"/>
  <c r="AQ18" i="11"/>
  <c r="AQ26" i="11"/>
  <c r="AQ33" i="11"/>
  <c r="AQ61" i="11"/>
  <c r="AS36" i="11"/>
  <c r="AQ36" i="11"/>
  <c r="AQ21" i="11"/>
  <c r="AQ60" i="11"/>
  <c r="AQ52" i="11"/>
  <c r="AR44" i="11"/>
  <c r="AR59" i="11"/>
  <c r="AR51" i="11"/>
  <c r="AQ43" i="11"/>
  <c r="AR14" i="11"/>
  <c r="AR48" i="11"/>
  <c r="AR19" i="11"/>
  <c r="AS49" i="11"/>
  <c r="AS16" i="11"/>
  <c r="AS24" i="11"/>
  <c r="AS31" i="11"/>
  <c r="AS39" i="11"/>
  <c r="AS60" i="11"/>
  <c r="AS52" i="11"/>
  <c r="AR39" i="11"/>
  <c r="AR31" i="11"/>
  <c r="AS23" i="11"/>
  <c r="AS15" i="11"/>
  <c r="AR54" i="11"/>
  <c r="AR62" i="11"/>
  <c r="AQ53" i="11"/>
  <c r="AQ19" i="11"/>
  <c r="AR21" i="11"/>
  <c r="AR34" i="11"/>
  <c r="AQ12" i="11"/>
  <c r="AQ20" i="11"/>
  <c r="AQ35" i="11"/>
  <c r="AS59" i="11"/>
  <c r="AQ44" i="11"/>
  <c r="AS32" i="11"/>
  <c r="AS43" i="11"/>
  <c r="AQ32" i="11"/>
  <c r="AQ17" i="11"/>
  <c r="AV11" i="16"/>
  <c r="AU15" i="16"/>
  <c r="AT15" i="16"/>
  <c r="AV19" i="16"/>
  <c r="AU23" i="16"/>
  <c r="AT23" i="16"/>
  <c r="AV40" i="16"/>
  <c r="AU44" i="16"/>
  <c r="AT44" i="16"/>
  <c r="AV47" i="16"/>
  <c r="AU59" i="16"/>
  <c r="AT59" i="16"/>
  <c r="AU13" i="16"/>
  <c r="AT13" i="16"/>
  <c r="AV17" i="16"/>
  <c r="AU21" i="16"/>
  <c r="AT21" i="16"/>
  <c r="AV25" i="16"/>
  <c r="AV45" i="16"/>
  <c r="AV61" i="16"/>
  <c r="AV62" i="16"/>
  <c r="AU62" i="16"/>
  <c r="AT10" i="16"/>
  <c r="AV12" i="16"/>
  <c r="AU12" i="16"/>
  <c r="AT14" i="16"/>
  <c r="AV16" i="16"/>
  <c r="AU16" i="16"/>
  <c r="AT18" i="16"/>
  <c r="AV20" i="16"/>
  <c r="AU20" i="16"/>
  <c r="AT22" i="16"/>
  <c r="AV24" i="16"/>
  <c r="AU24" i="16"/>
  <c r="AT26" i="16"/>
  <c r="AV43" i="16"/>
  <c r="AU43" i="16"/>
  <c r="AT58" i="16"/>
  <c r="AV60" i="16"/>
  <c r="AU60" i="16"/>
  <c r="AU11" i="16"/>
  <c r="AT11" i="16"/>
  <c r="AV15" i="16"/>
  <c r="AU19" i="16"/>
  <c r="AT19" i="16"/>
  <c r="AV23" i="16"/>
  <c r="AU40" i="16"/>
  <c r="AT40" i="16"/>
  <c r="AV44" i="16"/>
  <c r="AU47" i="16"/>
  <c r="AT47" i="16"/>
  <c r="AV59" i="16"/>
  <c r="AV13" i="16"/>
  <c r="AU17" i="16"/>
  <c r="AT17" i="16"/>
  <c r="AV21" i="16"/>
  <c r="AU25" i="16"/>
  <c r="AT25" i="16"/>
  <c r="AU45" i="16"/>
  <c r="AT45" i="16"/>
  <c r="AU61" i="16"/>
  <c r="AT61" i="16"/>
  <c r="AT62" i="16"/>
  <c r="AV10" i="16"/>
  <c r="AU10" i="16"/>
  <c r="AT12" i="16"/>
  <c r="AV14" i="16"/>
  <c r="AU14" i="16"/>
  <c r="AT16" i="16"/>
  <c r="AV18" i="16"/>
  <c r="AU18" i="16"/>
  <c r="AT20" i="16"/>
  <c r="AV22" i="16"/>
  <c r="AU22" i="16"/>
  <c r="AT24" i="16"/>
  <c r="AV26" i="16"/>
  <c r="AU26" i="16"/>
  <c r="AT43" i="16"/>
  <c r="AV58" i="16"/>
  <c r="AU58" i="16"/>
  <c r="AT60" i="16"/>
  <c r="AW11" i="16"/>
  <c r="AY15" i="16"/>
  <c r="AX15" i="16"/>
  <c r="AW19" i="16"/>
  <c r="AY23" i="16"/>
  <c r="AX23" i="16"/>
  <c r="AW40" i="16"/>
  <c r="AY13" i="16"/>
  <c r="AX13" i="16"/>
  <c r="AW17" i="16"/>
  <c r="AY21" i="16"/>
  <c r="AX21" i="16"/>
  <c r="AW25" i="16"/>
  <c r="AY49" i="16"/>
  <c r="AX49" i="16"/>
  <c r="AW61" i="16"/>
  <c r="AY62" i="16"/>
  <c r="AX10" i="16"/>
  <c r="AW10" i="16"/>
  <c r="AZ10" i="16" s="1"/>
  <c r="AY12" i="16"/>
  <c r="AX14" i="16"/>
  <c r="AW14" i="16"/>
  <c r="AY16" i="16"/>
  <c r="AX18" i="16"/>
  <c r="AW18" i="16"/>
  <c r="AY20" i="16"/>
  <c r="AX22" i="16"/>
  <c r="AW22" i="16"/>
  <c r="AY24" i="16"/>
  <c r="AX26" i="16"/>
  <c r="AW26" i="16"/>
  <c r="AY48" i="16"/>
  <c r="AY11" i="16"/>
  <c r="AX11" i="16"/>
  <c r="AW15" i="16"/>
  <c r="AY19" i="16"/>
  <c r="AX19" i="16"/>
  <c r="AW23" i="16"/>
  <c r="AY40" i="16"/>
  <c r="AX40" i="16"/>
  <c r="AW13" i="16"/>
  <c r="AY17" i="16"/>
  <c r="AX17" i="16"/>
  <c r="AW21" i="16"/>
  <c r="AY25" i="16"/>
  <c r="AX25" i="16"/>
  <c r="AW49" i="16"/>
  <c r="AY61" i="16"/>
  <c r="AX61" i="16"/>
  <c r="AX62" i="16"/>
  <c r="AW62" i="16"/>
  <c r="AY10" i="16"/>
  <c r="AX12" i="16"/>
  <c r="AW12" i="16"/>
  <c r="AY14" i="16"/>
  <c r="AX16" i="16"/>
  <c r="AW16" i="16"/>
  <c r="AY18" i="16"/>
  <c r="AX20" i="16"/>
  <c r="AW20" i="16"/>
  <c r="AY22" i="16"/>
  <c r="AX24" i="16"/>
  <c r="AW24" i="16"/>
  <c r="AY26" i="16"/>
  <c r="AX48" i="16"/>
  <c r="AW48" i="16"/>
  <c r="AQ58" i="16"/>
  <c r="AS56" i="16"/>
  <c r="AR54" i="16"/>
  <c r="AQ50" i="16"/>
  <c r="AS48" i="16"/>
  <c r="AR46" i="16"/>
  <c r="AQ41" i="16"/>
  <c r="AS39" i="16"/>
  <c r="AR37" i="16"/>
  <c r="AQ33" i="16"/>
  <c r="AS31" i="16"/>
  <c r="AQ26" i="16"/>
  <c r="AS24" i="16"/>
  <c r="AR22" i="16"/>
  <c r="AQ18" i="16"/>
  <c r="AS16" i="16"/>
  <c r="AR14" i="16"/>
  <c r="AS62" i="16"/>
  <c r="AR57" i="16"/>
  <c r="AQ53" i="16"/>
  <c r="AS49" i="16"/>
  <c r="AR42" i="16"/>
  <c r="AQ38" i="16"/>
  <c r="AS36" i="16"/>
  <c r="AR28" i="16"/>
  <c r="AQ25" i="16"/>
  <c r="AS21" i="16"/>
  <c r="AR13" i="16"/>
  <c r="AS59" i="16"/>
  <c r="AR51" i="16"/>
  <c r="AQ47" i="16"/>
  <c r="AS44" i="16"/>
  <c r="AR34" i="16"/>
  <c r="AQ30" i="16"/>
  <c r="AS23" i="16"/>
  <c r="AR15" i="16"/>
  <c r="AR60" i="16"/>
  <c r="AQ56" i="16"/>
  <c r="AS54" i="16"/>
  <c r="AR52" i="16"/>
  <c r="AQ48" i="16"/>
  <c r="AR43" i="16"/>
  <c r="AQ39" i="16"/>
  <c r="AS37" i="16"/>
  <c r="AR35" i="16"/>
  <c r="AQ31" i="16"/>
  <c r="AQ24" i="16"/>
  <c r="AS22" i="16"/>
  <c r="AR20" i="16"/>
  <c r="BA20" i="16" s="1"/>
  <c r="AQ16" i="16"/>
  <c r="AS14" i="16"/>
  <c r="AR12" i="16"/>
  <c r="AQ62" i="16"/>
  <c r="AR61" i="16"/>
  <c r="AQ57" i="16"/>
  <c r="AS53" i="16"/>
  <c r="AQ42" i="16"/>
  <c r="AS38" i="16"/>
  <c r="AR32" i="16"/>
  <c r="AS25" i="16"/>
  <c r="AR17" i="16"/>
  <c r="AQ13" i="16"/>
  <c r="AR55" i="16"/>
  <c r="AQ51" i="16"/>
  <c r="AS47" i="16"/>
  <c r="AR40" i="16"/>
  <c r="AQ34" i="16"/>
  <c r="AS30" i="16"/>
  <c r="AR19" i="16"/>
  <c r="AQ15" i="16"/>
  <c r="AS60" i="16"/>
  <c r="AR58" i="16"/>
  <c r="AQ54" i="16"/>
  <c r="AS52" i="16"/>
  <c r="AR50" i="16"/>
  <c r="AQ46" i="16"/>
  <c r="AS43" i="16"/>
  <c r="AR41" i="16"/>
  <c r="AQ37" i="16"/>
  <c r="AS35" i="16"/>
  <c r="AR33" i="16"/>
  <c r="AR26" i="16"/>
  <c r="AQ22" i="16"/>
  <c r="AS20" i="16"/>
  <c r="AR18" i="16"/>
  <c r="AQ14" i="16"/>
  <c r="AS12" i="16"/>
  <c r="AQ61" i="16"/>
  <c r="AS57" i="16"/>
  <c r="AR49" i="16"/>
  <c r="AQ45" i="16"/>
  <c r="AS42" i="16"/>
  <c r="AR36" i="16"/>
  <c r="AQ32" i="16"/>
  <c r="AS28" i="16"/>
  <c r="AR21" i="16"/>
  <c r="AQ17" i="16"/>
  <c r="AS13" i="16"/>
  <c r="AR59" i="16"/>
  <c r="AQ55" i="16"/>
  <c r="AS51" i="16"/>
  <c r="AR44" i="16"/>
  <c r="AQ40" i="16"/>
  <c r="AS34" i="16"/>
  <c r="AR23" i="16"/>
  <c r="AQ19" i="16"/>
  <c r="AS15" i="16"/>
  <c r="AQ60" i="16"/>
  <c r="AS58" i="16"/>
  <c r="AR56" i="16"/>
  <c r="AQ52" i="16"/>
  <c r="AS50" i="16"/>
  <c r="AR48" i="16"/>
  <c r="AQ43" i="16"/>
  <c r="AS41" i="16"/>
  <c r="AR39" i="16"/>
  <c r="AQ35" i="16"/>
  <c r="AS33" i="16"/>
  <c r="AR31" i="16"/>
  <c r="AS26" i="16"/>
  <c r="AR24" i="16"/>
  <c r="AQ20" i="16"/>
  <c r="AS18" i="16"/>
  <c r="AR16" i="16"/>
  <c r="AQ12" i="16"/>
  <c r="AR62" i="16"/>
  <c r="AS61" i="16"/>
  <c r="AR53" i="16"/>
  <c r="AQ49" i="16"/>
  <c r="AS45" i="16"/>
  <c r="AR38" i="16"/>
  <c r="AQ36" i="16"/>
  <c r="AS32" i="16"/>
  <c r="AR25" i="16"/>
  <c r="AQ21" i="16"/>
  <c r="AS17" i="16"/>
  <c r="AQ59" i="16"/>
  <c r="AS55" i="16"/>
  <c r="AR47" i="16"/>
  <c r="AQ44" i="16"/>
  <c r="AS40" i="16"/>
  <c r="AR30" i="16"/>
  <c r="AQ23" i="16"/>
  <c r="AQ31" i="15"/>
  <c r="AX19" i="15"/>
  <c r="AW40" i="15"/>
  <c r="AX11" i="15"/>
  <c r="AX12" i="15"/>
  <c r="AW10" i="15"/>
  <c r="AY11" i="15"/>
  <c r="AW12" i="15"/>
  <c r="AY13" i="15"/>
  <c r="AW14" i="15"/>
  <c r="AY15" i="15"/>
  <c r="AW16" i="15"/>
  <c r="AY17" i="15"/>
  <c r="AW18" i="15"/>
  <c r="AY19" i="15"/>
  <c r="AW20" i="15"/>
  <c r="AY21" i="15"/>
  <c r="AW22" i="15"/>
  <c r="AY23" i="15"/>
  <c r="AW24" i="15"/>
  <c r="AY25" i="15"/>
  <c r="AX26" i="15"/>
  <c r="AX14" i="15"/>
  <c r="AX15" i="15"/>
  <c r="AX16" i="15"/>
  <c r="AX17" i="15"/>
  <c r="AX18" i="15"/>
  <c r="AY26" i="15"/>
  <c r="AY48" i="15"/>
  <c r="AW61" i="15"/>
  <c r="AY62" i="15"/>
  <c r="AY40" i="15"/>
  <c r="AX10" i="15"/>
  <c r="AY10" i="15"/>
  <c r="AW11" i="15"/>
  <c r="AY12" i="15"/>
  <c r="AW13" i="15"/>
  <c r="AY14" i="15"/>
  <c r="AW15" i="15"/>
  <c r="AY16" i="15"/>
  <c r="AW17" i="15"/>
  <c r="AY18" i="15"/>
  <c r="AW19" i="15"/>
  <c r="AY20" i="15"/>
  <c r="AW21" i="15"/>
  <c r="AY22" i="15"/>
  <c r="AW23" i="15"/>
  <c r="AY24" i="15"/>
  <c r="AW25" i="15"/>
  <c r="AW26" i="15"/>
  <c r="AX13" i="15"/>
  <c r="AX20" i="15"/>
  <c r="AX21" i="15"/>
  <c r="AX22" i="15"/>
  <c r="AX23" i="15"/>
  <c r="AX24" i="15"/>
  <c r="AX25" i="15"/>
  <c r="AW48" i="15"/>
  <c r="AX48" i="15"/>
  <c r="AX40" i="15"/>
  <c r="AY61" i="15"/>
  <c r="AW62" i="15"/>
  <c r="AX61" i="15"/>
  <c r="AX62" i="15"/>
  <c r="AS62" i="15"/>
  <c r="AS60" i="15"/>
  <c r="AS58" i="15"/>
  <c r="AS56" i="15"/>
  <c r="AS51" i="15"/>
  <c r="AQ54" i="15"/>
  <c r="AQ50" i="15"/>
  <c r="AQ26" i="15"/>
  <c r="AQ24" i="15"/>
  <c r="AQ22" i="15"/>
  <c r="AQ20" i="15"/>
  <c r="AQ18" i="15"/>
  <c r="AQ16" i="15"/>
  <c r="AQ14" i="15"/>
  <c r="AQ12" i="15"/>
  <c r="AS41" i="15"/>
  <c r="AS37" i="15"/>
  <c r="AS33" i="15"/>
  <c r="AQ62" i="15"/>
  <c r="AQ60" i="15"/>
  <c r="AQ58" i="15"/>
  <c r="AQ56" i="15"/>
  <c r="AS53" i="15"/>
  <c r="AS49" i="15"/>
  <c r="AQ52" i="15"/>
  <c r="AQ48" i="15"/>
  <c r="AQ25" i="15"/>
  <c r="AQ23" i="15"/>
  <c r="AQ21" i="15"/>
  <c r="AQ19" i="15"/>
  <c r="AQ17" i="15"/>
  <c r="AQ15" i="15"/>
  <c r="AQ13" i="15"/>
  <c r="AS42" i="15"/>
  <c r="AS38" i="15"/>
  <c r="AS34" i="15"/>
  <c r="AS30" i="15"/>
  <c r="AQ44" i="15"/>
  <c r="AQ42" i="15"/>
  <c r="AQ40" i="15"/>
  <c r="AQ38" i="15"/>
  <c r="AQ36" i="15"/>
  <c r="AQ34" i="15"/>
  <c r="AQ32" i="15"/>
  <c r="AQ30" i="15"/>
  <c r="AS44" i="15"/>
  <c r="AU40" i="15"/>
  <c r="AV44" i="15"/>
  <c r="AT10" i="15"/>
  <c r="AV14" i="15"/>
  <c r="AU11" i="15"/>
  <c r="AU13" i="15"/>
  <c r="AU15" i="15"/>
  <c r="AU17" i="15"/>
  <c r="BA17" i="15" s="1"/>
  <c r="AU19" i="15"/>
  <c r="AU21" i="15"/>
  <c r="AU23" i="15"/>
  <c r="AU25" i="15"/>
  <c r="AT26" i="15"/>
  <c r="AV10" i="15"/>
  <c r="BB10" i="15" s="1"/>
  <c r="AV13" i="15"/>
  <c r="AT15" i="15"/>
  <c r="AT16" i="15"/>
  <c r="AT17" i="15"/>
  <c r="AT18" i="15"/>
  <c r="AT19" i="15"/>
  <c r="AV20" i="15"/>
  <c r="AV21" i="15"/>
  <c r="AV22" i="15"/>
  <c r="AV23" i="15"/>
  <c r="AV24" i="15"/>
  <c r="AV25" i="15"/>
  <c r="AU44" i="15"/>
  <c r="AV40" i="15"/>
  <c r="AV43" i="15"/>
  <c r="AU58" i="15"/>
  <c r="AU60" i="15"/>
  <c r="AU62" i="15"/>
  <c r="AV58" i="15"/>
  <c r="AV59" i="15"/>
  <c r="AV60" i="15"/>
  <c r="AV61" i="15"/>
  <c r="AV62" i="15"/>
  <c r="AV12" i="15"/>
  <c r="AU43" i="15"/>
  <c r="AV11" i="15"/>
  <c r="AT12" i="15"/>
  <c r="AT13" i="15"/>
  <c r="AU10" i="15"/>
  <c r="AU12" i="15"/>
  <c r="AU14" i="15"/>
  <c r="AU16" i="15"/>
  <c r="AU18" i="15"/>
  <c r="AU20" i="15"/>
  <c r="AU22" i="15"/>
  <c r="AU24" i="15"/>
  <c r="AV26" i="15"/>
  <c r="AT11" i="15"/>
  <c r="AT14" i="15"/>
  <c r="AV15" i="15"/>
  <c r="AV16" i="15"/>
  <c r="AV17" i="15"/>
  <c r="AV18" i="15"/>
  <c r="AV19" i="15"/>
  <c r="AT20" i="15"/>
  <c r="AT21" i="15"/>
  <c r="AT22" i="15"/>
  <c r="AT23" i="15"/>
  <c r="AT24" i="15"/>
  <c r="AT25" i="15"/>
  <c r="AU26" i="15"/>
  <c r="AT40" i="15"/>
  <c r="AT43" i="15"/>
  <c r="AT44" i="15"/>
  <c r="AT45" i="15"/>
  <c r="AU59" i="15"/>
  <c r="AU61" i="15"/>
  <c r="AT58" i="15"/>
  <c r="AT59" i="15"/>
  <c r="AT60" i="15"/>
  <c r="AT61" i="15"/>
  <c r="AT62" i="15"/>
  <c r="AQ61" i="15"/>
  <c r="AQ59" i="15"/>
  <c r="AQ57" i="15"/>
  <c r="AQ55" i="15"/>
  <c r="AQ53" i="15"/>
  <c r="AQ49" i="15"/>
  <c r="AS52" i="15"/>
  <c r="AS48" i="15"/>
  <c r="AS25" i="15"/>
  <c r="AS23" i="15"/>
  <c r="AS21" i="15"/>
  <c r="AS19" i="15"/>
  <c r="AS17" i="15"/>
  <c r="AS15" i="15"/>
  <c r="AS13" i="15"/>
  <c r="AS43" i="15"/>
  <c r="AS39" i="15"/>
  <c r="AS35" i="15"/>
  <c r="AS31" i="15"/>
  <c r="AS61" i="15"/>
  <c r="AS59" i="15"/>
  <c r="AS57" i="15"/>
  <c r="AS55" i="15"/>
  <c r="AQ51" i="15"/>
  <c r="AS54" i="15"/>
  <c r="AS50" i="15"/>
  <c r="AS26" i="15"/>
  <c r="AS24" i="15"/>
  <c r="AS22" i="15"/>
  <c r="AS20" i="15"/>
  <c r="AS18" i="15"/>
  <c r="AS16" i="15"/>
  <c r="AS14" i="15"/>
  <c r="AS12" i="15"/>
  <c r="AS40" i="15"/>
  <c r="AS36" i="15"/>
  <c r="AS32" i="15"/>
  <c r="AQ43" i="15"/>
  <c r="AQ41" i="15"/>
  <c r="AQ39" i="15"/>
  <c r="AQ37" i="15"/>
  <c r="AQ35" i="15"/>
  <c r="AQ33" i="15"/>
  <c r="AR9" i="15"/>
  <c r="AR9" i="16"/>
  <c r="AS9" i="16"/>
  <c r="AQ9" i="16"/>
  <c r="AS9" i="15"/>
  <c r="AQ9" i="15"/>
  <c r="AR9" i="14"/>
  <c r="AS9" i="14"/>
  <c r="AQ9" i="14"/>
  <c r="AQ9" i="13"/>
  <c r="AS9" i="13"/>
  <c r="AR9" i="13"/>
  <c r="AQ9" i="11"/>
  <c r="AS9" i="11"/>
  <c r="AR9" i="11"/>
  <c r="AA7" i="17"/>
  <c r="AA22" i="17"/>
  <c r="AA20" i="17"/>
  <c r="AA18" i="17"/>
  <c r="AA16" i="17"/>
  <c r="AA14" i="17"/>
  <c r="AA12" i="17"/>
  <c r="AA10" i="17"/>
  <c r="AA8" i="17"/>
  <c r="AA41" i="17"/>
  <c r="AA39" i="17"/>
  <c r="AA37" i="17"/>
  <c r="AA35" i="17"/>
  <c r="AA33" i="17"/>
  <c r="AA31" i="17"/>
  <c r="AA29" i="17"/>
  <c r="AA27" i="17"/>
  <c r="AA25" i="17"/>
  <c r="AA59" i="17"/>
  <c r="AA57" i="17"/>
  <c r="AA55" i="17"/>
  <c r="AA53" i="17"/>
  <c r="AA51" i="17"/>
  <c r="AA49" i="17"/>
  <c r="AA47" i="17"/>
  <c r="AA45" i="17"/>
  <c r="AA43" i="17"/>
  <c r="AA23" i="17"/>
  <c r="AA21" i="17"/>
  <c r="AA19" i="17"/>
  <c r="AA17" i="17"/>
  <c r="AA15" i="17"/>
  <c r="AA13" i="17"/>
  <c r="AA11" i="17"/>
  <c r="AA9" i="17"/>
  <c r="AA24" i="17"/>
  <c r="AA40" i="17"/>
  <c r="AA38" i="17"/>
  <c r="AA36" i="17"/>
  <c r="AA34" i="17"/>
  <c r="AA32" i="17"/>
  <c r="AA30" i="17"/>
  <c r="AA28" i="17"/>
  <c r="AA26" i="17"/>
  <c r="AA42" i="17"/>
  <c r="AA58" i="17"/>
  <c r="AA56" i="17"/>
  <c r="AA54" i="17"/>
  <c r="AA52" i="17"/>
  <c r="AA50" i="17"/>
  <c r="AA48" i="17"/>
  <c r="AA46" i="17"/>
  <c r="AA44" i="17"/>
  <c r="AA6" i="17"/>
  <c r="W23" i="13"/>
  <c r="AJ65" i="13" s="1"/>
  <c r="AM65" i="13" s="1"/>
  <c r="V26" i="13"/>
  <c r="AJ76" i="13" s="1"/>
  <c r="AH57" i="13"/>
  <c r="AC16" i="13"/>
  <c r="AR28" i="13" s="1"/>
  <c r="AF57" i="13"/>
  <c r="V14" i="13"/>
  <c r="AG68" i="13"/>
  <c r="U23" i="13"/>
  <c r="AJ63" i="13" s="1"/>
  <c r="V18" i="13"/>
  <c r="AJ44" i="13" s="1"/>
  <c r="AM44" i="13" s="1"/>
  <c r="V19" i="13"/>
  <c r="AJ48" i="13" s="1"/>
  <c r="AL48" i="13" s="1"/>
  <c r="V21" i="13"/>
  <c r="AJ56" i="13" s="1"/>
  <c r="AA44" i="13"/>
  <c r="AS35" i="13" s="1"/>
  <c r="AB16" i="13"/>
  <c r="AQ28" i="13" s="1"/>
  <c r="V23" i="13"/>
  <c r="AJ64" i="13" s="1"/>
  <c r="AL64" i="13" s="1"/>
  <c r="U27" i="13"/>
  <c r="AJ79" i="13" s="1"/>
  <c r="V22" i="13"/>
  <c r="AJ60" i="13" s="1"/>
  <c r="AB21" i="13"/>
  <c r="AQ47" i="13" s="1"/>
  <c r="V27" i="13"/>
  <c r="AJ80" i="13" s="1"/>
  <c r="AG77" i="13"/>
  <c r="AF77" i="13"/>
  <c r="AH77" i="13"/>
  <c r="AM77" i="13"/>
  <c r="AL77" i="13"/>
  <c r="AK77" i="13"/>
  <c r="W13" i="13"/>
  <c r="AJ25" i="13" s="1"/>
  <c r="AL25" i="13" s="1"/>
  <c r="AC72" i="13"/>
  <c r="AR42" i="13" s="1"/>
  <c r="W10" i="13"/>
  <c r="AJ13" i="13" s="1"/>
  <c r="AK13" i="13" s="1"/>
  <c r="W14" i="13"/>
  <c r="AJ29" i="13" s="1"/>
  <c r="AK29" i="13" s="1"/>
  <c r="AB44" i="13"/>
  <c r="AQ35" i="13" s="1"/>
  <c r="AF68" i="13"/>
  <c r="U25" i="13"/>
  <c r="AJ71" i="13" s="1"/>
  <c r="W12" i="13"/>
  <c r="AJ21" i="13" s="1"/>
  <c r="AK21" i="13" s="1"/>
  <c r="AB72" i="13"/>
  <c r="AQ42" i="13" s="1"/>
  <c r="AB76" i="13"/>
  <c r="AQ43" i="13" s="1"/>
  <c r="AA76" i="13"/>
  <c r="AS43" i="13" s="1"/>
  <c r="AC76" i="13"/>
  <c r="AR43" i="13" s="1"/>
  <c r="V25" i="13"/>
  <c r="AJ72" i="13" s="1"/>
  <c r="AK72" i="13" s="1"/>
  <c r="AE76" i="13"/>
  <c r="AE80" i="13"/>
  <c r="AK69" i="13"/>
  <c r="AK73" i="13"/>
  <c r="AM73" i="13"/>
  <c r="AL73" i="13"/>
  <c r="V20" i="13"/>
  <c r="AJ52" i="13" s="1"/>
  <c r="AM52" i="13" s="1"/>
  <c r="AE16" i="13"/>
  <c r="AF16" i="13" s="1"/>
  <c r="W15" i="13"/>
  <c r="AJ33" i="13" s="1"/>
  <c r="AM33" i="13" s="1"/>
  <c r="AE55" i="13"/>
  <c r="V16" i="13"/>
  <c r="AJ36" i="13" s="1"/>
  <c r="V17" i="13"/>
  <c r="AJ40" i="13" s="1"/>
  <c r="V13" i="13"/>
  <c r="AJ24" i="13" s="1"/>
  <c r="AK24" i="13" s="1"/>
  <c r="AB28" i="13"/>
  <c r="AQ31" i="13" s="1"/>
  <c r="AE48" i="13"/>
  <c r="AG48" i="13" s="1"/>
  <c r="AJ47" i="13"/>
  <c r="U13" i="13"/>
  <c r="AJ23" i="13" s="1"/>
  <c r="V11" i="13"/>
  <c r="AJ16" i="13" s="1"/>
  <c r="AK16" i="13" s="1"/>
  <c r="U11" i="13"/>
  <c r="AJ15" i="13" s="1"/>
  <c r="V10" i="13"/>
  <c r="AJ12" i="13" s="1"/>
  <c r="AL12" i="13" s="1"/>
  <c r="V15" i="13"/>
  <c r="AJ32" i="13" s="1"/>
  <c r="AM32" i="13" s="1"/>
  <c r="V12" i="13"/>
  <c r="AJ20" i="13" s="1"/>
  <c r="AL20" i="13" s="1"/>
  <c r="AJ28" i="13"/>
  <c r="AK28" i="13" s="1"/>
  <c r="U12" i="13"/>
  <c r="AJ19" i="13" s="1"/>
  <c r="AC28" i="13"/>
  <c r="AR31" i="13" s="1"/>
  <c r="AE52" i="13"/>
  <c r="AF52" i="13" s="1"/>
  <c r="AE45" i="13"/>
  <c r="AH45" i="13" s="1"/>
  <c r="AE24" i="13"/>
  <c r="AH24" i="13" s="1"/>
  <c r="U10" i="13"/>
  <c r="AJ11" i="13" s="1"/>
  <c r="AE15" i="13"/>
  <c r="W17" i="13"/>
  <c r="AJ41" i="13" s="1"/>
  <c r="AM41" i="13" s="1"/>
  <c r="AC64" i="13"/>
  <c r="AR40" i="13" s="1"/>
  <c r="AA64" i="13"/>
  <c r="AS40" i="13" s="1"/>
  <c r="AL53" i="13"/>
  <c r="AM53" i="13"/>
  <c r="AK53" i="13"/>
  <c r="AL57" i="13"/>
  <c r="AM57" i="13"/>
  <c r="AL61" i="13"/>
  <c r="AK61" i="13"/>
  <c r="AM37" i="13"/>
  <c r="AL44" i="16"/>
  <c r="AW39" i="16" s="1"/>
  <c r="AM44" i="16"/>
  <c r="AX39" i="16" s="1"/>
  <c r="AK44" i="16"/>
  <c r="AY39" i="16" s="1"/>
  <c r="AM36" i="16"/>
  <c r="AX37" i="16" s="1"/>
  <c r="AK36" i="16"/>
  <c r="AY37" i="16" s="1"/>
  <c r="AL36" i="16"/>
  <c r="AW37" i="16" s="1"/>
  <c r="AL56" i="16"/>
  <c r="AW42" i="16" s="1"/>
  <c r="AM56" i="16"/>
  <c r="AX42" i="16" s="1"/>
  <c r="AK56" i="16"/>
  <c r="AY42" i="16" s="1"/>
  <c r="AM40" i="16"/>
  <c r="AX38" i="16" s="1"/>
  <c r="AK40" i="16"/>
  <c r="AY38" i="16" s="1"/>
  <c r="AL40" i="16"/>
  <c r="AW38" i="16" s="1"/>
  <c r="AL29" i="16"/>
  <c r="AW55" i="16" s="1"/>
  <c r="AM29" i="16"/>
  <c r="AX55" i="16" s="1"/>
  <c r="AK29" i="16"/>
  <c r="AY55" i="16" s="1"/>
  <c r="AM25" i="16"/>
  <c r="AX54" i="16" s="1"/>
  <c r="AK25" i="16"/>
  <c r="AY54" i="16" s="1"/>
  <c r="AL25" i="16"/>
  <c r="AW54" i="16" s="1"/>
  <c r="AM20" i="16"/>
  <c r="AX33" i="16" s="1"/>
  <c r="AK20" i="16"/>
  <c r="AY33" i="16" s="1"/>
  <c r="AL20" i="16"/>
  <c r="AW33" i="16" s="1"/>
  <c r="AL16" i="16"/>
  <c r="AW32" i="16" s="1"/>
  <c r="AM16" i="16"/>
  <c r="AX32" i="16" s="1"/>
  <c r="AK16" i="16"/>
  <c r="AY32" i="16" s="1"/>
  <c r="AH17" i="16"/>
  <c r="AF17" i="16"/>
  <c r="AG17" i="16"/>
  <c r="AL45" i="16"/>
  <c r="AW59" i="16" s="1"/>
  <c r="AM45" i="16"/>
  <c r="AK45" i="16"/>
  <c r="AM33" i="16"/>
  <c r="AX56" i="16" s="1"/>
  <c r="AK33" i="16"/>
  <c r="AY56" i="16" s="1"/>
  <c r="AL33" i="16"/>
  <c r="AW56" i="16" s="1"/>
  <c r="AL24" i="16"/>
  <c r="AW34" i="16" s="1"/>
  <c r="AM24" i="16"/>
  <c r="AX34" i="16" s="1"/>
  <c r="AK24" i="16"/>
  <c r="AY34" i="16" s="1"/>
  <c r="AG21" i="16"/>
  <c r="AH21" i="16"/>
  <c r="AF21" i="16"/>
  <c r="AL28" i="16"/>
  <c r="AW35" i="16" s="1"/>
  <c r="AM28" i="16"/>
  <c r="AX35" i="16" s="1"/>
  <c r="AK28" i="16"/>
  <c r="AY35" i="16" s="1"/>
  <c r="AM17" i="16"/>
  <c r="AX52" i="16" s="1"/>
  <c r="AK17" i="16"/>
  <c r="AY52" i="16" s="1"/>
  <c r="AL17" i="16"/>
  <c r="AW52" i="16" s="1"/>
  <c r="AH33" i="16"/>
  <c r="AU9" i="16" s="1"/>
  <c r="AF33" i="16"/>
  <c r="AV9" i="16" s="1"/>
  <c r="AG33" i="16"/>
  <c r="AT9" i="16" s="1"/>
  <c r="AL13" i="16"/>
  <c r="AW51" i="16" s="1"/>
  <c r="AM13" i="16"/>
  <c r="AX51" i="16" s="1"/>
  <c r="AK13" i="16"/>
  <c r="AY51" i="16" s="1"/>
  <c r="AH20" i="16"/>
  <c r="AU31" i="16" s="1"/>
  <c r="AF20" i="16"/>
  <c r="AV31" i="16" s="1"/>
  <c r="AG20" i="16"/>
  <c r="AT31" i="16" s="1"/>
  <c r="AM32" i="16"/>
  <c r="AX36" i="16" s="1"/>
  <c r="AK32" i="16"/>
  <c r="AY36" i="16" s="1"/>
  <c r="AL32" i="16"/>
  <c r="AW36" i="16" s="1"/>
  <c r="AG13" i="16"/>
  <c r="AH13" i="16"/>
  <c r="AF13" i="16"/>
  <c r="AM37" i="16"/>
  <c r="AX57" i="16" s="1"/>
  <c r="AK37" i="16"/>
  <c r="AY57" i="16" s="1"/>
  <c r="AL37" i="16"/>
  <c r="AW57" i="16" s="1"/>
  <c r="AG60" i="16"/>
  <c r="AT41" i="16" s="1"/>
  <c r="AH60" i="16"/>
  <c r="AU41" i="16" s="1"/>
  <c r="AF60" i="16"/>
  <c r="AV41" i="16" s="1"/>
  <c r="AH52" i="16"/>
  <c r="AU39" i="16" s="1"/>
  <c r="AF52" i="16"/>
  <c r="AV39" i="16" s="1"/>
  <c r="AG52" i="16"/>
  <c r="AT39" i="16" s="1"/>
  <c r="AG44" i="16"/>
  <c r="AT37" i="16" s="1"/>
  <c r="AH44" i="16"/>
  <c r="AU37" i="16" s="1"/>
  <c r="AF44" i="16"/>
  <c r="AV37" i="16" s="1"/>
  <c r="AH12" i="16"/>
  <c r="AF12" i="16"/>
  <c r="AG12" i="16"/>
  <c r="AH48" i="16"/>
  <c r="AU38" i="16" s="1"/>
  <c r="AF48" i="16"/>
  <c r="AV38" i="16" s="1"/>
  <c r="AG48" i="16"/>
  <c r="AT38" i="16" s="1"/>
  <c r="AH41" i="16"/>
  <c r="AU55" i="16" s="1"/>
  <c r="AF41" i="16"/>
  <c r="AV55" i="16" s="1"/>
  <c r="AG41" i="16"/>
  <c r="AT55" i="16" s="1"/>
  <c r="AH37" i="16"/>
  <c r="AU54" i="16" s="1"/>
  <c r="AF37" i="16"/>
  <c r="AV54" i="16" s="1"/>
  <c r="AG37" i="16"/>
  <c r="AT54" i="16" s="1"/>
  <c r="AG28" i="16"/>
  <c r="AH28" i="16"/>
  <c r="AF28" i="16"/>
  <c r="AV33" i="16" s="1"/>
  <c r="AG24" i="16"/>
  <c r="AT32" i="16" s="1"/>
  <c r="AH24" i="16"/>
  <c r="AF24" i="16"/>
  <c r="AV32" i="16" s="1"/>
  <c r="AL64" i="16"/>
  <c r="AW44" i="16" s="1"/>
  <c r="AM64" i="16"/>
  <c r="AK64" i="16"/>
  <c r="AG16" i="16"/>
  <c r="AH16" i="16"/>
  <c r="AU30" i="16" s="1"/>
  <c r="AF16" i="16"/>
  <c r="AG64" i="16"/>
  <c r="AT42" i="16" s="1"/>
  <c r="AH64" i="16"/>
  <c r="AU42" i="16" s="1"/>
  <c r="AF64" i="16"/>
  <c r="AV42" i="16" s="1"/>
  <c r="AG45" i="16"/>
  <c r="AT56" i="16" s="1"/>
  <c r="AH45" i="16"/>
  <c r="AU56" i="16" s="1"/>
  <c r="AF45" i="16"/>
  <c r="AV56" i="16" s="1"/>
  <c r="AH32" i="16"/>
  <c r="AU34" i="16" s="1"/>
  <c r="AF32" i="16"/>
  <c r="AV34" i="16" s="1"/>
  <c r="AG32" i="16"/>
  <c r="AL60" i="16"/>
  <c r="AM60" i="16"/>
  <c r="AK60" i="16"/>
  <c r="AH36" i="16"/>
  <c r="AU35" i="16" s="1"/>
  <c r="AF36" i="16"/>
  <c r="AV35" i="16" s="1"/>
  <c r="AG36" i="16"/>
  <c r="AT35" i="16" s="1"/>
  <c r="AG29" i="16"/>
  <c r="AH29" i="16"/>
  <c r="AF29" i="16"/>
  <c r="AV52" i="16" s="1"/>
  <c r="AL21" i="16"/>
  <c r="AW9" i="16" s="1"/>
  <c r="AM21" i="16"/>
  <c r="AX9" i="16" s="1"/>
  <c r="AK21" i="16"/>
  <c r="AY9" i="16" s="1"/>
  <c r="AH25" i="16"/>
  <c r="AU51" i="16" s="1"/>
  <c r="AF25" i="16"/>
  <c r="AV51" i="16" s="1"/>
  <c r="AG25" i="16"/>
  <c r="AM12" i="16"/>
  <c r="AK12" i="16"/>
  <c r="AY31" i="16" s="1"/>
  <c r="AL12" i="16"/>
  <c r="AM52" i="16"/>
  <c r="AX41" i="16" s="1"/>
  <c r="AK52" i="16"/>
  <c r="AY41" i="16" s="1"/>
  <c r="AL52" i="16"/>
  <c r="AW41" i="16" s="1"/>
  <c r="AH40" i="16"/>
  <c r="AU36" i="16" s="1"/>
  <c r="AF40" i="16"/>
  <c r="AV36" i="16" s="1"/>
  <c r="AG40" i="16"/>
  <c r="AT36" i="16" s="1"/>
  <c r="AM49" i="16"/>
  <c r="AX47" i="16" s="1"/>
  <c r="AK49" i="16"/>
  <c r="AY60" i="16" s="1"/>
  <c r="AL49" i="16"/>
  <c r="AW47" i="16" s="1"/>
  <c r="AH49" i="16"/>
  <c r="AU57" i="16" s="1"/>
  <c r="AF49" i="16"/>
  <c r="AV57" i="16" s="1"/>
  <c r="AG49" i="16"/>
  <c r="AT57" i="16" s="1"/>
  <c r="AM41" i="16"/>
  <c r="AK41" i="16"/>
  <c r="AL41" i="16"/>
  <c r="AW45" i="16" s="1"/>
  <c r="AH48" i="15"/>
  <c r="AU38" i="15" s="1"/>
  <c r="AF48" i="15"/>
  <c r="AV38" i="15" s="1"/>
  <c r="AG48" i="15"/>
  <c r="AT38" i="15" s="1"/>
  <c r="AH41" i="15"/>
  <c r="AU55" i="15" s="1"/>
  <c r="AF41" i="15"/>
  <c r="AV55" i="15" s="1"/>
  <c r="AG41" i="15"/>
  <c r="AT55" i="15" s="1"/>
  <c r="AG37" i="15"/>
  <c r="AT54" i="15" s="1"/>
  <c r="AH37" i="15"/>
  <c r="AU54" i="15" s="1"/>
  <c r="AF37" i="15"/>
  <c r="AV54" i="15" s="1"/>
  <c r="AH36" i="15"/>
  <c r="AU35" i="15" s="1"/>
  <c r="AF36" i="15"/>
  <c r="AV35" i="15" s="1"/>
  <c r="AG36" i="15"/>
  <c r="AT35" i="15" s="1"/>
  <c r="AG29" i="15"/>
  <c r="AT52" i="15" s="1"/>
  <c r="AH29" i="15"/>
  <c r="AU52" i="15" s="1"/>
  <c r="AF29" i="15"/>
  <c r="AV52" i="15" s="1"/>
  <c r="AG28" i="15"/>
  <c r="AT33" i="15" s="1"/>
  <c r="AH28" i="15"/>
  <c r="AU33" i="15" s="1"/>
  <c r="AF28" i="15"/>
  <c r="AV33" i="15" s="1"/>
  <c r="AG24" i="15"/>
  <c r="AT32" i="15" s="1"/>
  <c r="AH24" i="15"/>
  <c r="AU32" i="15" s="1"/>
  <c r="AF24" i="15"/>
  <c r="AV32" i="15" s="1"/>
  <c r="AL64" i="15"/>
  <c r="AW44" i="15" s="1"/>
  <c r="AM64" i="15"/>
  <c r="AX44" i="15" s="1"/>
  <c r="AK64" i="15"/>
  <c r="AY44" i="15" s="1"/>
  <c r="AG16" i="15"/>
  <c r="AT30" i="15" s="1"/>
  <c r="AH16" i="15"/>
  <c r="AU30" i="15" s="1"/>
  <c r="AF16" i="15"/>
  <c r="AV30" i="15" s="1"/>
  <c r="AG64" i="15"/>
  <c r="AT42" i="15" s="1"/>
  <c r="AH64" i="15"/>
  <c r="AU42" i="15" s="1"/>
  <c r="AF64" i="15"/>
  <c r="AV42" i="15" s="1"/>
  <c r="AM32" i="15"/>
  <c r="AX36" i="15" s="1"/>
  <c r="AK32" i="15"/>
  <c r="AY36" i="15" s="1"/>
  <c r="AL32" i="15"/>
  <c r="AW36" i="15" s="1"/>
  <c r="AG13" i="15"/>
  <c r="AT48" i="15" s="1"/>
  <c r="AH13" i="15"/>
  <c r="AU48" i="15" s="1"/>
  <c r="AF13" i="15"/>
  <c r="AV48" i="15" s="1"/>
  <c r="AL37" i="15"/>
  <c r="AW57" i="15" s="1"/>
  <c r="AM37" i="15"/>
  <c r="AX57" i="15" s="1"/>
  <c r="AK37" i="15"/>
  <c r="AY57" i="15" s="1"/>
  <c r="AG60" i="15"/>
  <c r="AH60" i="15"/>
  <c r="AF60" i="15"/>
  <c r="AV41" i="15" s="1"/>
  <c r="AH33" i="15"/>
  <c r="AU9" i="15" s="1"/>
  <c r="AF33" i="15"/>
  <c r="AV9" i="15" s="1"/>
  <c r="AG33" i="15"/>
  <c r="AT9" i="15" s="1"/>
  <c r="AL13" i="15"/>
  <c r="AW51" i="15" s="1"/>
  <c r="AM13" i="15"/>
  <c r="AX51" i="15" s="1"/>
  <c r="AK13" i="15"/>
  <c r="AY51" i="15" s="1"/>
  <c r="AH20" i="15"/>
  <c r="AU31" i="15" s="1"/>
  <c r="AF20" i="15"/>
  <c r="AV31" i="15" s="1"/>
  <c r="AG20" i="15"/>
  <c r="AT31" i="15" s="1"/>
  <c r="AM33" i="15"/>
  <c r="AX56" i="15" s="1"/>
  <c r="AK33" i="15"/>
  <c r="AY56" i="15" s="1"/>
  <c r="AL33" i="15"/>
  <c r="AW56" i="15" s="1"/>
  <c r="AL24" i="15"/>
  <c r="AW34" i="15" s="1"/>
  <c r="AM24" i="15"/>
  <c r="AX34" i="15" s="1"/>
  <c r="AK24" i="15"/>
  <c r="AY34" i="15" s="1"/>
  <c r="AG21" i="15"/>
  <c r="AT50" i="15" s="1"/>
  <c r="AH21" i="15"/>
  <c r="AU50" i="15" s="1"/>
  <c r="AF21" i="15"/>
  <c r="AV50" i="15" s="1"/>
  <c r="AH52" i="15"/>
  <c r="AU39" i="15" s="1"/>
  <c r="AF52" i="15"/>
  <c r="AV39" i="15" s="1"/>
  <c r="AG52" i="15"/>
  <c r="AT39" i="15" s="1"/>
  <c r="AG44" i="15"/>
  <c r="AT37" i="15" s="1"/>
  <c r="AH44" i="15"/>
  <c r="AU37" i="15" s="1"/>
  <c r="AF44" i="15"/>
  <c r="AV37" i="15" s="1"/>
  <c r="AH12" i="15"/>
  <c r="AF12" i="15"/>
  <c r="AV29" i="15" s="1"/>
  <c r="AG12" i="15"/>
  <c r="AG45" i="15"/>
  <c r="AT56" i="15" s="1"/>
  <c r="AH45" i="15"/>
  <c r="AU56" i="15" s="1"/>
  <c r="AF45" i="15"/>
  <c r="AV56" i="15" s="1"/>
  <c r="AH32" i="15"/>
  <c r="AU34" i="15" s="1"/>
  <c r="AF32" i="15"/>
  <c r="AV34" i="15" s="1"/>
  <c r="AG32" i="15"/>
  <c r="AT34" i="15" s="1"/>
  <c r="AL60" i="15"/>
  <c r="AM60" i="15"/>
  <c r="AK60" i="15"/>
  <c r="AY43" i="15" s="1"/>
  <c r="AL44" i="15"/>
  <c r="AW39" i="15" s="1"/>
  <c r="AM44" i="15"/>
  <c r="AX39" i="15" s="1"/>
  <c r="AK44" i="15"/>
  <c r="AY39" i="15" s="1"/>
  <c r="AM36" i="15"/>
  <c r="AX37" i="15" s="1"/>
  <c r="AK36" i="15"/>
  <c r="AY37" i="15" s="1"/>
  <c r="AL36" i="15"/>
  <c r="AW37" i="15" s="1"/>
  <c r="AL56" i="15"/>
  <c r="AW42" i="15" s="1"/>
  <c r="AM56" i="15"/>
  <c r="AX42" i="15" s="1"/>
  <c r="AK56" i="15"/>
  <c r="AY42" i="15" s="1"/>
  <c r="AM40" i="15"/>
  <c r="AX38" i="15" s="1"/>
  <c r="AK40" i="15"/>
  <c r="AY38" i="15" s="1"/>
  <c r="AL40" i="15"/>
  <c r="AW38" i="15" s="1"/>
  <c r="AL29" i="15"/>
  <c r="AW55" i="15" s="1"/>
  <c r="AM29" i="15"/>
  <c r="AX55" i="15" s="1"/>
  <c r="AK29" i="15"/>
  <c r="AY55" i="15" s="1"/>
  <c r="AM25" i="15"/>
  <c r="AX54" i="15" s="1"/>
  <c r="AK25" i="15"/>
  <c r="AY54" i="15" s="1"/>
  <c r="AL25" i="15"/>
  <c r="AW54" i="15" s="1"/>
  <c r="AL28" i="15"/>
  <c r="AW35" i="15" s="1"/>
  <c r="AM28" i="15"/>
  <c r="AX35" i="15" s="1"/>
  <c r="AK28" i="15"/>
  <c r="AY35" i="15" s="1"/>
  <c r="AM17" i="15"/>
  <c r="AX52" i="15" s="1"/>
  <c r="AK17" i="15"/>
  <c r="AY52" i="15" s="1"/>
  <c r="AL17" i="15"/>
  <c r="AW52" i="15" s="1"/>
  <c r="AM20" i="15"/>
  <c r="AX33" i="15" s="1"/>
  <c r="AK20" i="15"/>
  <c r="AY33" i="15" s="1"/>
  <c r="AL20" i="15"/>
  <c r="AW33" i="15" s="1"/>
  <c r="AL16" i="15"/>
  <c r="AW32" i="15" s="1"/>
  <c r="AM16" i="15"/>
  <c r="AX32" i="15" s="1"/>
  <c r="AK16" i="15"/>
  <c r="AY32" i="15" s="1"/>
  <c r="AH17" i="15"/>
  <c r="AU49" i="15" s="1"/>
  <c r="AF17" i="15"/>
  <c r="AV49" i="15" s="1"/>
  <c r="AG17" i="15"/>
  <c r="AT49" i="15" s="1"/>
  <c r="AL45" i="15"/>
  <c r="AW59" i="15" s="1"/>
  <c r="AM45" i="15"/>
  <c r="AX59" i="15" s="1"/>
  <c r="AK45" i="15"/>
  <c r="AY59" i="15" s="1"/>
  <c r="AH40" i="15"/>
  <c r="AU36" i="15" s="1"/>
  <c r="AF40" i="15"/>
  <c r="AV36" i="15" s="1"/>
  <c r="BB36" i="15" s="1"/>
  <c r="AG40" i="15"/>
  <c r="AT36" i="15" s="1"/>
  <c r="AM49" i="15"/>
  <c r="AX60" i="15" s="1"/>
  <c r="AK49" i="15"/>
  <c r="AY60" i="15" s="1"/>
  <c r="AL49" i="15"/>
  <c r="AW60" i="15" s="1"/>
  <c r="AH49" i="15"/>
  <c r="AU57" i="15" s="1"/>
  <c r="AF49" i="15"/>
  <c r="AV57" i="15" s="1"/>
  <c r="AG49" i="15"/>
  <c r="AT57" i="15" s="1"/>
  <c r="AM41" i="15"/>
  <c r="AX58" i="15" s="1"/>
  <c r="AK41" i="15"/>
  <c r="AY58" i="15" s="1"/>
  <c r="AL41" i="15"/>
  <c r="AW58" i="15" s="1"/>
  <c r="AL21" i="15"/>
  <c r="AW9" i="15" s="1"/>
  <c r="AM21" i="15"/>
  <c r="AX9" i="15" s="1"/>
  <c r="AK21" i="15"/>
  <c r="AY9" i="15" s="1"/>
  <c r="AH25" i="15"/>
  <c r="AU51" i="15" s="1"/>
  <c r="AF25" i="15"/>
  <c r="AV51" i="15" s="1"/>
  <c r="AG25" i="15"/>
  <c r="AT51" i="15" s="1"/>
  <c r="AM12" i="15"/>
  <c r="AK12" i="15"/>
  <c r="AY31" i="15" s="1"/>
  <c r="AL12" i="15"/>
  <c r="AM52" i="15"/>
  <c r="AX41" i="15" s="1"/>
  <c r="AK52" i="15"/>
  <c r="AY41" i="15" s="1"/>
  <c r="AL52" i="15"/>
  <c r="AW41" i="15" s="1"/>
  <c r="AH41" i="14"/>
  <c r="AF41" i="14"/>
  <c r="AG41" i="14"/>
  <c r="AH28" i="14"/>
  <c r="AF28" i="14"/>
  <c r="AG28" i="14"/>
  <c r="AL17" i="14"/>
  <c r="AM17" i="14"/>
  <c r="AK17" i="14"/>
  <c r="AH24" i="14"/>
  <c r="AF24" i="14"/>
  <c r="AG24" i="14"/>
  <c r="AG32" i="14"/>
  <c r="AH32" i="14"/>
  <c r="AU34" i="14" s="1"/>
  <c r="AF32" i="14"/>
  <c r="AG25" i="14"/>
  <c r="AH25" i="14"/>
  <c r="AF25" i="14"/>
  <c r="AL60" i="14"/>
  <c r="AW43" i="14" s="1"/>
  <c r="AM60" i="14"/>
  <c r="AX43" i="14" s="1"/>
  <c r="AK60" i="14"/>
  <c r="AY43" i="14" s="1"/>
  <c r="AG20" i="14"/>
  <c r="AH20" i="14"/>
  <c r="AF20" i="14"/>
  <c r="AM49" i="14"/>
  <c r="AX60" i="14" s="1"/>
  <c r="AK49" i="14"/>
  <c r="AY60" i="14" s="1"/>
  <c r="AL49" i="14"/>
  <c r="AW60" i="14" s="1"/>
  <c r="AG12" i="14"/>
  <c r="AH12" i="14"/>
  <c r="AF12" i="14"/>
  <c r="AM28" i="14"/>
  <c r="AX35" i="14" s="1"/>
  <c r="AK28" i="14"/>
  <c r="AY35" i="14" s="1"/>
  <c r="AL28" i="14"/>
  <c r="AW35" i="14" s="1"/>
  <c r="AG17" i="14"/>
  <c r="AH17" i="14"/>
  <c r="AF17" i="14"/>
  <c r="AG64" i="14"/>
  <c r="AT42" i="14" s="1"/>
  <c r="AH64" i="14"/>
  <c r="AU42" i="14" s="1"/>
  <c r="AF64" i="14"/>
  <c r="AV42" i="14" s="1"/>
  <c r="AG60" i="14"/>
  <c r="AT41" i="14" s="1"/>
  <c r="AH60" i="14"/>
  <c r="AU41" i="14" s="1"/>
  <c r="AF60" i="14"/>
  <c r="AV41" i="14" s="1"/>
  <c r="AL44" i="14"/>
  <c r="AW39" i="14" s="1"/>
  <c r="AM44" i="14"/>
  <c r="AX39" i="14" s="1"/>
  <c r="AK44" i="14"/>
  <c r="AY39" i="14" s="1"/>
  <c r="AL33" i="14"/>
  <c r="AW56" i="14" s="1"/>
  <c r="AM33" i="14"/>
  <c r="AX56" i="14" s="1"/>
  <c r="AK33" i="14"/>
  <c r="AY56" i="14" s="1"/>
  <c r="AL36" i="14"/>
  <c r="AM36" i="14"/>
  <c r="AK36" i="14"/>
  <c r="AL32" i="14"/>
  <c r="AW36" i="14" s="1"/>
  <c r="AM32" i="14"/>
  <c r="AX36" i="14" s="1"/>
  <c r="AK32" i="14"/>
  <c r="AY36" i="14" s="1"/>
  <c r="AM21" i="14"/>
  <c r="AX9" i="14" s="1"/>
  <c r="AK21" i="14"/>
  <c r="AY9" i="14" s="1"/>
  <c r="AL21" i="14"/>
  <c r="AW9" i="14" s="1"/>
  <c r="AM52" i="14"/>
  <c r="AX41" i="14" s="1"/>
  <c r="AK52" i="14"/>
  <c r="AY41" i="14" s="1"/>
  <c r="AL52" i="14"/>
  <c r="AW41" i="14" s="1"/>
  <c r="AM40" i="14"/>
  <c r="AX38" i="14" s="1"/>
  <c r="AK40" i="14"/>
  <c r="AY38" i="14" s="1"/>
  <c r="AL40" i="14"/>
  <c r="AW38" i="14" s="1"/>
  <c r="AL25" i="14"/>
  <c r="AW54" i="14" s="1"/>
  <c r="AM25" i="14"/>
  <c r="AX54" i="14" s="1"/>
  <c r="AK25" i="14"/>
  <c r="AY54" i="14" s="1"/>
  <c r="AH16" i="14"/>
  <c r="AF16" i="14"/>
  <c r="AG16" i="14"/>
  <c r="AT30" i="14" s="1"/>
  <c r="AM48" i="14"/>
  <c r="AX40" i="14" s="1"/>
  <c r="AK48" i="14"/>
  <c r="AY40" i="14" s="1"/>
  <c r="AL48" i="14"/>
  <c r="AW40" i="14" s="1"/>
  <c r="AM29" i="14"/>
  <c r="AX55" i="14" s="1"/>
  <c r="AK29" i="14"/>
  <c r="AY55" i="14" s="1"/>
  <c r="AL29" i="14"/>
  <c r="AW55" i="14" s="1"/>
  <c r="AL20" i="14"/>
  <c r="AM20" i="14"/>
  <c r="AK20" i="14"/>
  <c r="AH29" i="14"/>
  <c r="AF29" i="14"/>
  <c r="AG29" i="14"/>
  <c r="AT52" i="14" s="1"/>
  <c r="AM16" i="14"/>
  <c r="AK16" i="14"/>
  <c r="AL16" i="14"/>
  <c r="AW32" i="14" s="1"/>
  <c r="AM24" i="14"/>
  <c r="AK24" i="14"/>
  <c r="AL24" i="14"/>
  <c r="AM13" i="14"/>
  <c r="AK13" i="14"/>
  <c r="AL13" i="14"/>
  <c r="AW51" i="14" s="1"/>
  <c r="AH21" i="14"/>
  <c r="AF21" i="14"/>
  <c r="AG21" i="14"/>
  <c r="AL12" i="14"/>
  <c r="AM12" i="14"/>
  <c r="AK12" i="14"/>
  <c r="AH13" i="14"/>
  <c r="AU48" i="14" s="1"/>
  <c r="AF13" i="14"/>
  <c r="AV48" i="14" s="1"/>
  <c r="AG13" i="14"/>
  <c r="AL56" i="14"/>
  <c r="AW42" i="14" s="1"/>
  <c r="AM56" i="14"/>
  <c r="AX42" i="14" s="1"/>
  <c r="AK56" i="14"/>
  <c r="AY42" i="14" s="1"/>
  <c r="AG36" i="14"/>
  <c r="AH36" i="14"/>
  <c r="AF36" i="14"/>
  <c r="AV35" i="14" s="1"/>
  <c r="AL64" i="14"/>
  <c r="AW44" i="14" s="1"/>
  <c r="AM64" i="14"/>
  <c r="AX44" i="14" s="1"/>
  <c r="AK64" i="14"/>
  <c r="AY44" i="14" s="1"/>
  <c r="AL45" i="14"/>
  <c r="AW59" i="14" s="1"/>
  <c r="AM45" i="14"/>
  <c r="AX59" i="14" s="1"/>
  <c r="AK45" i="14"/>
  <c r="AY59" i="14" s="1"/>
  <c r="AM41" i="14"/>
  <c r="AX45" i="14" s="1"/>
  <c r="AK41" i="14"/>
  <c r="AY45" i="14" s="1"/>
  <c r="AL41" i="14"/>
  <c r="AH52" i="14"/>
  <c r="AU39" i="14" s="1"/>
  <c r="AF52" i="14"/>
  <c r="AV39" i="14" s="1"/>
  <c r="AG52" i="14"/>
  <c r="AT39" i="14" s="1"/>
  <c r="AZ39" i="14" s="1"/>
  <c r="AG45" i="14"/>
  <c r="AT56" i="14" s="1"/>
  <c r="AH45" i="14"/>
  <c r="AU56" i="14" s="1"/>
  <c r="AF45" i="14"/>
  <c r="AV56" i="14" s="1"/>
  <c r="AG44" i="14"/>
  <c r="AT37" i="14" s="1"/>
  <c r="AH44" i="14"/>
  <c r="AF44" i="14"/>
  <c r="AH40" i="14"/>
  <c r="AF40" i="14"/>
  <c r="AG40" i="14"/>
  <c r="AG33" i="14"/>
  <c r="AT9" i="14" s="1"/>
  <c r="AH33" i="14"/>
  <c r="AU9" i="14" s="1"/>
  <c r="AF33" i="14"/>
  <c r="AV9" i="14" s="1"/>
  <c r="AH48" i="14"/>
  <c r="AU38" i="14" s="1"/>
  <c r="AF48" i="14"/>
  <c r="AV38" i="14" s="1"/>
  <c r="AG48" i="14"/>
  <c r="AT38" i="14" s="1"/>
  <c r="AG37" i="14"/>
  <c r="AT54" i="14" s="1"/>
  <c r="AH37" i="14"/>
  <c r="AF37" i="14"/>
  <c r="AG56" i="14"/>
  <c r="AT40" i="14" s="1"/>
  <c r="AH56" i="14"/>
  <c r="AU40" i="14" s="1"/>
  <c r="AF56" i="14"/>
  <c r="AV40" i="14" s="1"/>
  <c r="AH44" i="13"/>
  <c r="AF44" i="13"/>
  <c r="AG44" i="13"/>
  <c r="AG33" i="13"/>
  <c r="AH33" i="13"/>
  <c r="AF33" i="13"/>
  <c r="AG25" i="13"/>
  <c r="AH25" i="13"/>
  <c r="AF25" i="13"/>
  <c r="AG60" i="13"/>
  <c r="AH60" i="13"/>
  <c r="AF60" i="13"/>
  <c r="AH29" i="13"/>
  <c r="AF29" i="13"/>
  <c r="AG29" i="13"/>
  <c r="AG40" i="13"/>
  <c r="AH40" i="13"/>
  <c r="AF40" i="13"/>
  <c r="AG32" i="13"/>
  <c r="AH32" i="13"/>
  <c r="AF32" i="13"/>
  <c r="AG12" i="13"/>
  <c r="AH12" i="13"/>
  <c r="AF12" i="13"/>
  <c r="AG17" i="13"/>
  <c r="AH17" i="13"/>
  <c r="AF17" i="13"/>
  <c r="AG64" i="13"/>
  <c r="AH64" i="13"/>
  <c r="AF64" i="13"/>
  <c r="AH28" i="13"/>
  <c r="AF28" i="13"/>
  <c r="AG28" i="13"/>
  <c r="AH21" i="13"/>
  <c r="AF21" i="13"/>
  <c r="AG21" i="13"/>
  <c r="AH13" i="13"/>
  <c r="AF13" i="13"/>
  <c r="AG13" i="13"/>
  <c r="AL17" i="13"/>
  <c r="AH36" i="13"/>
  <c r="AF36" i="13"/>
  <c r="AG36" i="13"/>
  <c r="AM45" i="13"/>
  <c r="AK45" i="13"/>
  <c r="AL45" i="13"/>
  <c r="AG41" i="13"/>
  <c r="AH41" i="13"/>
  <c r="AF41" i="13"/>
  <c r="AH37" i="13"/>
  <c r="AF37" i="13"/>
  <c r="AG37" i="13"/>
  <c r="AG56" i="13"/>
  <c r="AH56" i="13"/>
  <c r="AF56" i="13"/>
  <c r="AG20" i="13"/>
  <c r="AH20" i="13"/>
  <c r="AF20" i="13"/>
  <c r="AL49" i="13"/>
  <c r="AM49" i="13"/>
  <c r="AK49" i="13"/>
  <c r="AM29" i="11"/>
  <c r="AK29" i="11"/>
  <c r="AL29" i="11"/>
  <c r="AL20" i="11"/>
  <c r="AM20" i="11"/>
  <c r="AK20" i="11"/>
  <c r="AG32" i="11"/>
  <c r="AH32" i="11"/>
  <c r="AF32" i="11"/>
  <c r="AG25" i="11"/>
  <c r="AH25" i="11"/>
  <c r="AF25" i="11"/>
  <c r="AH48" i="11"/>
  <c r="AF48" i="11"/>
  <c r="AG48" i="11"/>
  <c r="AG37" i="11"/>
  <c r="AH37" i="11"/>
  <c r="AF37" i="11"/>
  <c r="AG56" i="11"/>
  <c r="AT40" i="11" s="1"/>
  <c r="AH56" i="11"/>
  <c r="AU40" i="11" s="1"/>
  <c r="AF56" i="11"/>
  <c r="AV40" i="11" s="1"/>
  <c r="AG36" i="11"/>
  <c r="AH36" i="11"/>
  <c r="AF36" i="11"/>
  <c r="AL64" i="11"/>
  <c r="AM64" i="11"/>
  <c r="AK64" i="11"/>
  <c r="AL45" i="11"/>
  <c r="AW59" i="11" s="1"/>
  <c r="AM45" i="11"/>
  <c r="AX59" i="11" s="1"/>
  <c r="AK45" i="11"/>
  <c r="AY59" i="11" s="1"/>
  <c r="AM41" i="11"/>
  <c r="AX58" i="11" s="1"/>
  <c r="AK41" i="11"/>
  <c r="AY58" i="11" s="1"/>
  <c r="AL41" i="11"/>
  <c r="AW58" i="11" s="1"/>
  <c r="AH29" i="11"/>
  <c r="AF29" i="11"/>
  <c r="AG29" i="11"/>
  <c r="AM16" i="11"/>
  <c r="AK16" i="11"/>
  <c r="AL16" i="11"/>
  <c r="AH52" i="11"/>
  <c r="AU39" i="11" s="1"/>
  <c r="AF52" i="11"/>
  <c r="AV39" i="11" s="1"/>
  <c r="AG52" i="11"/>
  <c r="AT39" i="11" s="1"/>
  <c r="AG45" i="11"/>
  <c r="AH45" i="11"/>
  <c r="AF45" i="11"/>
  <c r="AG44" i="11"/>
  <c r="AT37" i="11" s="1"/>
  <c r="AH44" i="11"/>
  <c r="AU37" i="11" s="1"/>
  <c r="AF44" i="11"/>
  <c r="AH40" i="11"/>
  <c r="AF40" i="11"/>
  <c r="AV36" i="11" s="1"/>
  <c r="AG40" i="11"/>
  <c r="AT36" i="11" s="1"/>
  <c r="AG33" i="11"/>
  <c r="AT9" i="11" s="1"/>
  <c r="AH33" i="11"/>
  <c r="AU9" i="11" s="1"/>
  <c r="AF33" i="11"/>
  <c r="AV9" i="11" s="1"/>
  <c r="AL60" i="11"/>
  <c r="AW43" i="11" s="1"/>
  <c r="AM60" i="11"/>
  <c r="AX43" i="11" s="1"/>
  <c r="AK60" i="11"/>
  <c r="AY43" i="11" s="1"/>
  <c r="AG20" i="11"/>
  <c r="AH20" i="11"/>
  <c r="AF20" i="11"/>
  <c r="AM49" i="11"/>
  <c r="AX60" i="11" s="1"/>
  <c r="AK49" i="11"/>
  <c r="AY60" i="11" s="1"/>
  <c r="AL49" i="11"/>
  <c r="AW60" i="11" s="1"/>
  <c r="AG12" i="11"/>
  <c r="AH12" i="11"/>
  <c r="AF12" i="11"/>
  <c r="AH41" i="11"/>
  <c r="AU55" i="11" s="1"/>
  <c r="AF41" i="11"/>
  <c r="AV55" i="11" s="1"/>
  <c r="AG41" i="11"/>
  <c r="AH28" i="11"/>
  <c r="AF28" i="11"/>
  <c r="AG28" i="11"/>
  <c r="AM24" i="11"/>
  <c r="AK24" i="11"/>
  <c r="AL24" i="11"/>
  <c r="AM13" i="11"/>
  <c r="AK13" i="11"/>
  <c r="AL13" i="11"/>
  <c r="AM52" i="11"/>
  <c r="AX41" i="11" s="1"/>
  <c r="AK52" i="11"/>
  <c r="AY41" i="11" s="1"/>
  <c r="AL52" i="11"/>
  <c r="AW41" i="11" s="1"/>
  <c r="AM40" i="11"/>
  <c r="AK40" i="11"/>
  <c r="AY38" i="11" s="1"/>
  <c r="AL40" i="11"/>
  <c r="AL25" i="11"/>
  <c r="AM25" i="11"/>
  <c r="AK25" i="11"/>
  <c r="AH16" i="11"/>
  <c r="AF16" i="11"/>
  <c r="AG16" i="11"/>
  <c r="AM48" i="11"/>
  <c r="AX40" i="11" s="1"/>
  <c r="AK48" i="11"/>
  <c r="AY40" i="11" s="1"/>
  <c r="AL48" i="11"/>
  <c r="AW40" i="11" s="1"/>
  <c r="AM28" i="11"/>
  <c r="AK28" i="11"/>
  <c r="AL28" i="11"/>
  <c r="AG17" i="11"/>
  <c r="AH17" i="11"/>
  <c r="AF17" i="11"/>
  <c r="AG64" i="11"/>
  <c r="AT42" i="11" s="1"/>
  <c r="AH64" i="11"/>
  <c r="AU42" i="11" s="1"/>
  <c r="AF64" i="11"/>
  <c r="AV42" i="11" s="1"/>
  <c r="AG60" i="11"/>
  <c r="AT41" i="11" s="1"/>
  <c r="AH60" i="11"/>
  <c r="AU41" i="11" s="1"/>
  <c r="AF60" i="11"/>
  <c r="AV41" i="11" s="1"/>
  <c r="AL17" i="11"/>
  <c r="AM17" i="11"/>
  <c r="AK17" i="11"/>
  <c r="AH24" i="11"/>
  <c r="AF24" i="11"/>
  <c r="AG24" i="11"/>
  <c r="AT32" i="11" s="1"/>
  <c r="AL44" i="11"/>
  <c r="AW39" i="11" s="1"/>
  <c r="AM44" i="11"/>
  <c r="AX39" i="11" s="1"/>
  <c r="AY39" i="11"/>
  <c r="AL33" i="11"/>
  <c r="AW56" i="11" s="1"/>
  <c r="AM33" i="11"/>
  <c r="AX56" i="11" s="1"/>
  <c r="AK33" i="11"/>
  <c r="AY56" i="11" s="1"/>
  <c r="AL36" i="11"/>
  <c r="AW37" i="11" s="1"/>
  <c r="AM36" i="11"/>
  <c r="AX37" i="11" s="1"/>
  <c r="AK36" i="11"/>
  <c r="AY37" i="11" s="1"/>
  <c r="AL32" i="11"/>
  <c r="AW36" i="11" s="1"/>
  <c r="AM32" i="11"/>
  <c r="AK32" i="11"/>
  <c r="AY36" i="11" s="1"/>
  <c r="AM21" i="11"/>
  <c r="AX9" i="11" s="1"/>
  <c r="AK21" i="11"/>
  <c r="AY9" i="11" s="1"/>
  <c r="AL21" i="11"/>
  <c r="AW9" i="11" s="1"/>
  <c r="AH21" i="11"/>
  <c r="AF21" i="11"/>
  <c r="AG21" i="11"/>
  <c r="AL12" i="11"/>
  <c r="AM12" i="11"/>
  <c r="AK12" i="11"/>
  <c r="AH13" i="11"/>
  <c r="AF13" i="11"/>
  <c r="AG13" i="11"/>
  <c r="AL56" i="11"/>
  <c r="AW42" i="11" s="1"/>
  <c r="AM56" i="11"/>
  <c r="AX42" i="11" s="1"/>
  <c r="AK56" i="11"/>
  <c r="AY42" i="11" s="1"/>
  <c r="AU35" i="14" l="1"/>
  <c r="AV52" i="14"/>
  <c r="AY51" i="14"/>
  <c r="AT50" i="11"/>
  <c r="AX51" i="14"/>
  <c r="AV54" i="14"/>
  <c r="AT35" i="14"/>
  <c r="AW34" i="14"/>
  <c r="AU52" i="14"/>
  <c r="AV34" i="14"/>
  <c r="AV30" i="14"/>
  <c r="AX34" i="14"/>
  <c r="AT34" i="14"/>
  <c r="AV37" i="14"/>
  <c r="AT48" i="14"/>
  <c r="AY32" i="14"/>
  <c r="AU30" i="14"/>
  <c r="AT48" i="11"/>
  <c r="AU48" i="11"/>
  <c r="AV30" i="11"/>
  <c r="AL37" i="13"/>
  <c r="AM68" i="13"/>
  <c r="AS52" i="13"/>
  <c r="AQ52" i="13"/>
  <c r="AT50" i="14"/>
  <c r="AU50" i="14"/>
  <c r="AU49" i="14"/>
  <c r="AU51" i="14"/>
  <c r="AY52" i="14"/>
  <c r="AW52" i="14"/>
  <c r="AT55" i="14"/>
  <c r="AZ55" i="14" s="1"/>
  <c r="AU55" i="14"/>
  <c r="AW48" i="14"/>
  <c r="AX48" i="14"/>
  <c r="AX49" i="14"/>
  <c r="AY48" i="14"/>
  <c r="AU54" i="14"/>
  <c r="AV50" i="14"/>
  <c r="AV49" i="14"/>
  <c r="AT49" i="14"/>
  <c r="AV51" i="14"/>
  <c r="AT51" i="14"/>
  <c r="AX52" i="14"/>
  <c r="AV55" i="14"/>
  <c r="AY49" i="14"/>
  <c r="AW49" i="14"/>
  <c r="AV45" i="14"/>
  <c r="AT45" i="14"/>
  <c r="AU45" i="14"/>
  <c r="BA45" i="14" s="1"/>
  <c r="BC45" i="14" s="1"/>
  <c r="AW37" i="14"/>
  <c r="AV33" i="14"/>
  <c r="AT36" i="14"/>
  <c r="AU36" i="14"/>
  <c r="AU37" i="14"/>
  <c r="AY31" i="14"/>
  <c r="AY34" i="14"/>
  <c r="AX32" i="14"/>
  <c r="AY33" i="14"/>
  <c r="AW33" i="14"/>
  <c r="AX37" i="14"/>
  <c r="AV29" i="14"/>
  <c r="AV31" i="14"/>
  <c r="AT31" i="14"/>
  <c r="AT32" i="14"/>
  <c r="AU32" i="14"/>
  <c r="AT33" i="14"/>
  <c r="AU33" i="14"/>
  <c r="BA20" i="14"/>
  <c r="BA18" i="14"/>
  <c r="BC18" i="14" s="1"/>
  <c r="BA57" i="14"/>
  <c r="BB13" i="14"/>
  <c r="BB22" i="14"/>
  <c r="AV36" i="14"/>
  <c r="AX33" i="14"/>
  <c r="AY37" i="14"/>
  <c r="AU31" i="14"/>
  <c r="AV32" i="14"/>
  <c r="BB32" i="14" s="1"/>
  <c r="BB61" i="14"/>
  <c r="AS51" i="13"/>
  <c r="AQ51" i="13"/>
  <c r="AK17" i="13"/>
  <c r="AU10" i="13"/>
  <c r="AT10" i="13"/>
  <c r="AV10" i="13"/>
  <c r="BA25" i="14"/>
  <c r="BC25" i="14" s="1"/>
  <c r="BA17" i="14"/>
  <c r="BD17" i="14" s="1"/>
  <c r="BA21" i="15"/>
  <c r="AZ36" i="15"/>
  <c r="AR63" i="15" a="1"/>
  <c r="AR63" i="15" s="1"/>
  <c r="AR64" i="15" s="1"/>
  <c r="BB14" i="15"/>
  <c r="BB18" i="15"/>
  <c r="BB23" i="15"/>
  <c r="BA11" i="15"/>
  <c r="AZ10" i="15"/>
  <c r="AX44" i="11"/>
  <c r="AV62" i="11"/>
  <c r="AU44" i="11"/>
  <c r="AV44" i="11"/>
  <c r="AY44" i="11"/>
  <c r="AW44" i="11"/>
  <c r="AW62" i="11"/>
  <c r="AX62" i="11"/>
  <c r="AY62" i="11"/>
  <c r="AT62" i="11"/>
  <c r="AU62" i="11"/>
  <c r="AT44" i="11"/>
  <c r="AU30" i="11"/>
  <c r="BB14" i="11"/>
  <c r="BA26" i="14"/>
  <c r="BC26" i="14" s="1"/>
  <c r="AL83" i="16" a="1"/>
  <c r="AL83" i="16" s="1"/>
  <c r="AM83" i="16" a="1"/>
  <c r="AM83" i="16" s="1"/>
  <c r="AM84" i="16" s="1"/>
  <c r="AG83" i="16" a="1"/>
  <c r="AG83" i="16" s="1"/>
  <c r="AH83" i="16" a="1"/>
  <c r="AH83" i="16" s="1"/>
  <c r="AH84" i="16" s="1"/>
  <c r="AR63" i="16" a="1"/>
  <c r="AR63" i="16" s="1"/>
  <c r="AR64" i="16" s="1"/>
  <c r="BA10" i="15"/>
  <c r="BA25" i="15"/>
  <c r="AW31" i="15"/>
  <c r="AL83" i="15" a="1"/>
  <c r="AL83" i="15" s="1"/>
  <c r="AX31" i="15"/>
  <c r="AM83" i="15" a="1"/>
  <c r="AM83" i="15" s="1"/>
  <c r="AM84" i="15" s="1"/>
  <c r="AT29" i="15"/>
  <c r="AG83" i="15" a="1"/>
  <c r="AG83" i="15" s="1"/>
  <c r="AU29" i="15"/>
  <c r="AH83" i="15" a="1"/>
  <c r="AH83" i="15" s="1"/>
  <c r="AH84" i="15" s="1"/>
  <c r="AW31" i="14"/>
  <c r="AL83" i="14" a="1"/>
  <c r="AL83" i="14" s="1"/>
  <c r="AX31" i="14"/>
  <c r="BA31" i="14" s="1"/>
  <c r="AM83" i="14" a="1"/>
  <c r="AM83" i="14" s="1"/>
  <c r="AM84" i="14" s="1"/>
  <c r="AU29" i="14"/>
  <c r="AH83" i="14" a="1"/>
  <c r="AH83" i="14" s="1"/>
  <c r="AH84" i="14" s="1"/>
  <c r="AR63" i="14" a="1"/>
  <c r="AR63" i="14" s="1"/>
  <c r="AR64" i="14" s="1"/>
  <c r="AT29" i="14"/>
  <c r="AG83" i="14" a="1"/>
  <c r="AG83" i="14" s="1"/>
  <c r="AL68" i="13"/>
  <c r="AC83" i="13" a="1"/>
  <c r="AC83" i="13" s="1"/>
  <c r="AC84" i="13" s="1"/>
  <c r="AB83" i="13" a="1"/>
  <c r="AB83" i="13" s="1"/>
  <c r="AM83" i="11" a="1"/>
  <c r="AH83" i="11" a="1"/>
  <c r="AH83" i="11" s="1"/>
  <c r="AH84" i="11" s="1"/>
  <c r="AL83" i="11" a="1"/>
  <c r="AG83" i="11" a="1"/>
  <c r="AQ63" i="11"/>
  <c r="AQ63" i="14"/>
  <c r="AQ72" i="14" s="1"/>
  <c r="AQ63" i="15"/>
  <c r="AQ63" i="16"/>
  <c r="AM83" i="11"/>
  <c r="AL83" i="11"/>
  <c r="AG83" i="11"/>
  <c r="AY45" i="16"/>
  <c r="BB45" i="16" s="1"/>
  <c r="AZ22" i="16"/>
  <c r="AX30" i="16"/>
  <c r="BA30" i="16" s="1"/>
  <c r="AY29" i="16"/>
  <c r="AX46" i="16"/>
  <c r="AW50" i="16"/>
  <c r="AX29" i="16"/>
  <c r="BB40" i="16"/>
  <c r="AY50" i="16"/>
  <c r="AX50" i="16"/>
  <c r="AU46" i="16"/>
  <c r="AT46" i="16"/>
  <c r="AX45" i="16"/>
  <c r="BA45" i="16" s="1"/>
  <c r="BC45" i="16" s="1"/>
  <c r="AY46" i="16"/>
  <c r="BB17" i="16"/>
  <c r="BA25" i="16"/>
  <c r="BA62" i="16"/>
  <c r="BC62" i="16" s="1"/>
  <c r="BA26" i="16"/>
  <c r="AZ62" i="16"/>
  <c r="BB14" i="16"/>
  <c r="AZ24" i="16"/>
  <c r="BB11" i="16"/>
  <c r="AV46" i="16"/>
  <c r="AT27" i="16"/>
  <c r="AZ11" i="16"/>
  <c r="BA15" i="16"/>
  <c r="BB21" i="16"/>
  <c r="BA14" i="16"/>
  <c r="BC14" i="16" s="1"/>
  <c r="AZ18" i="16"/>
  <c r="BB24" i="16"/>
  <c r="AW29" i="16"/>
  <c r="AU27" i="16"/>
  <c r="AZ21" i="16"/>
  <c r="BB15" i="16"/>
  <c r="BA23" i="16"/>
  <c r="BD23" i="16" s="1"/>
  <c r="AZ40" i="16"/>
  <c r="BA61" i="16"/>
  <c r="BC61" i="16" s="1"/>
  <c r="BA12" i="16"/>
  <c r="BC12" i="16" s="1"/>
  <c r="AZ16" i="16"/>
  <c r="BB22" i="16"/>
  <c r="BA13" i="16"/>
  <c r="BD13" i="16" s="1"/>
  <c r="AZ25" i="16"/>
  <c r="AV27" i="16"/>
  <c r="AY27" i="16"/>
  <c r="BA11" i="16"/>
  <c r="BD11" i="16" s="1"/>
  <c r="AW28" i="16"/>
  <c r="AY47" i="16"/>
  <c r="BB47" i="16" s="1"/>
  <c r="AW46" i="16"/>
  <c r="AY28" i="16"/>
  <c r="BB10" i="16"/>
  <c r="AV28" i="16"/>
  <c r="BB28" i="16" s="1"/>
  <c r="BA40" i="16"/>
  <c r="BC40" i="16" s="1"/>
  <c r="AT28" i="16"/>
  <c r="BA47" i="16"/>
  <c r="BC47" i="16" s="1"/>
  <c r="AY30" i="16"/>
  <c r="AW30" i="16"/>
  <c r="AX27" i="16"/>
  <c r="AZ12" i="16"/>
  <c r="BB18" i="16"/>
  <c r="BA24" i="16"/>
  <c r="BD24" i="16" s="1"/>
  <c r="AZ17" i="16"/>
  <c r="AZ45" i="16"/>
  <c r="AZ13" i="16"/>
  <c r="AZ47" i="16"/>
  <c r="BB62" i="16"/>
  <c r="AX28" i="16"/>
  <c r="AU28" i="16"/>
  <c r="BB61" i="16"/>
  <c r="BA16" i="16"/>
  <c r="BC16" i="16" s="1"/>
  <c r="BB26" i="16"/>
  <c r="AZ19" i="16"/>
  <c r="BB13" i="16"/>
  <c r="AZ61" i="16"/>
  <c r="AZ14" i="16"/>
  <c r="BB20" i="16"/>
  <c r="AZ46" i="16"/>
  <c r="AZ15" i="16"/>
  <c r="BA17" i="16"/>
  <c r="BC17" i="16" s="1"/>
  <c r="BB16" i="16"/>
  <c r="BA22" i="16"/>
  <c r="BD22" i="16" s="1"/>
  <c r="AZ26" i="16"/>
  <c r="AW27" i="16"/>
  <c r="AZ27" i="16" s="1"/>
  <c r="AW31" i="16"/>
  <c r="AZ31" i="16" s="1"/>
  <c r="AX31" i="16"/>
  <c r="BA31" i="16" s="1"/>
  <c r="BD31" i="16" s="1"/>
  <c r="AT29" i="16"/>
  <c r="AU29" i="16"/>
  <c r="AU41" i="15"/>
  <c r="AT41" i="15"/>
  <c r="AX43" i="15"/>
  <c r="AW43" i="15"/>
  <c r="AZ34" i="15"/>
  <c r="AV45" i="15"/>
  <c r="AY49" i="15"/>
  <c r="AX49" i="15"/>
  <c r="BA49" i="15" s="1"/>
  <c r="AU45" i="15"/>
  <c r="AW49" i="15"/>
  <c r="AZ49" i="15" s="1"/>
  <c r="AT47" i="15"/>
  <c r="AV47" i="15"/>
  <c r="AU47" i="15"/>
  <c r="AX50" i="15"/>
  <c r="BA50" i="15" s="1"/>
  <c r="AY50" i="15"/>
  <c r="BB50" i="15" s="1"/>
  <c r="AW50" i="15"/>
  <c r="AU46" i="15"/>
  <c r="AT46" i="15"/>
  <c r="AV46" i="15"/>
  <c r="BB13" i="15"/>
  <c r="BA15" i="15"/>
  <c r="BD15" i="15" s="1"/>
  <c r="BA19" i="15"/>
  <c r="BD19" i="15" s="1"/>
  <c r="AU27" i="15"/>
  <c r="AV27" i="15"/>
  <c r="AX29" i="15"/>
  <c r="BA29" i="15" s="1"/>
  <c r="AY29" i="15"/>
  <c r="BB29" i="15" s="1"/>
  <c r="AT27" i="15"/>
  <c r="AW29" i="15"/>
  <c r="AZ29" i="15" s="1"/>
  <c r="BA58" i="14"/>
  <c r="BC58" i="14" s="1"/>
  <c r="AT47" i="14"/>
  <c r="AV47" i="14"/>
  <c r="AU47" i="14"/>
  <c r="AX50" i="14"/>
  <c r="AW45" i="14"/>
  <c r="AY50" i="14"/>
  <c r="AW50" i="14"/>
  <c r="AZ50" i="14" s="1"/>
  <c r="AV46" i="14"/>
  <c r="AU46" i="14"/>
  <c r="AT46" i="14"/>
  <c r="AX29" i="14"/>
  <c r="BA29" i="14" s="1"/>
  <c r="AV27" i="14"/>
  <c r="AU27" i="14"/>
  <c r="AY29" i="14"/>
  <c r="AW29" i="14"/>
  <c r="AT27" i="14"/>
  <c r="AX28" i="14"/>
  <c r="AX46" i="14"/>
  <c r="AW47" i="14"/>
  <c r="AY46" i="14"/>
  <c r="BB46" i="14" s="1"/>
  <c r="AY47" i="14"/>
  <c r="AW46" i="14"/>
  <c r="AZ45" i="14"/>
  <c r="AX47" i="14"/>
  <c r="AY28" i="14"/>
  <c r="AW28" i="14"/>
  <c r="AU28" i="14"/>
  <c r="AT28" i="14"/>
  <c r="AZ28" i="14" s="1"/>
  <c r="AV28" i="14"/>
  <c r="BB28" i="14" s="1"/>
  <c r="BB10" i="14"/>
  <c r="AX30" i="14"/>
  <c r="AY30" i="14"/>
  <c r="BB30" i="14" s="1"/>
  <c r="AW30" i="14"/>
  <c r="AZ30" i="14" s="1"/>
  <c r="AX27" i="14"/>
  <c r="AY27" i="14"/>
  <c r="AW27" i="14"/>
  <c r="BB50" i="14"/>
  <c r="BA59" i="14"/>
  <c r="BD59" i="14" s="1"/>
  <c r="AR54" i="13"/>
  <c r="AS54" i="13"/>
  <c r="AS56" i="13"/>
  <c r="AL65" i="13"/>
  <c r="AQ56" i="13"/>
  <c r="AS57" i="13"/>
  <c r="AR57" i="13"/>
  <c r="AR56" i="13"/>
  <c r="AM72" i="13"/>
  <c r="AQ59" i="13"/>
  <c r="AS59" i="13"/>
  <c r="AR59" i="13"/>
  <c r="AQ60" i="13"/>
  <c r="AS60" i="13"/>
  <c r="AR60" i="13"/>
  <c r="AT33" i="11"/>
  <c r="AV33" i="11"/>
  <c r="BB33" i="11" s="1"/>
  <c r="AW52" i="11"/>
  <c r="AW31" i="11"/>
  <c r="AU33" i="11"/>
  <c r="AX36" i="11"/>
  <c r="AW35" i="11"/>
  <c r="AX35" i="11"/>
  <c r="AX32" i="11"/>
  <c r="AY35" i="11"/>
  <c r="AY32" i="11"/>
  <c r="AV48" i="11"/>
  <c r="AY31" i="11"/>
  <c r="AV50" i="11"/>
  <c r="AV32" i="11"/>
  <c r="AY52" i="11"/>
  <c r="AT30" i="11"/>
  <c r="AU36" i="11"/>
  <c r="BA36" i="11" s="1"/>
  <c r="AW32" i="11"/>
  <c r="AX54" i="11"/>
  <c r="AU35" i="11"/>
  <c r="AU54" i="11"/>
  <c r="AW55" i="11"/>
  <c r="AX55" i="11"/>
  <c r="BA55" i="11" s="1"/>
  <c r="AY54" i="11"/>
  <c r="AY55" i="11"/>
  <c r="AX31" i="11"/>
  <c r="AU50" i="11"/>
  <c r="AU32" i="11"/>
  <c r="BA32" i="11" s="1"/>
  <c r="AX52" i="11"/>
  <c r="AW54" i="11"/>
  <c r="AT55" i="11"/>
  <c r="AV37" i="11"/>
  <c r="BB37" i="11" s="1"/>
  <c r="AU45" i="11"/>
  <c r="AV35" i="11"/>
  <c r="AT35" i="11"/>
  <c r="AV54" i="11"/>
  <c r="AT54" i="11"/>
  <c r="AZ54" i="11" s="1"/>
  <c r="AU49" i="11"/>
  <c r="AW38" i="11"/>
  <c r="AX38" i="11"/>
  <c r="AW51" i="11"/>
  <c r="AX51" i="11"/>
  <c r="AY34" i="11"/>
  <c r="AU29" i="11"/>
  <c r="AU31" i="11"/>
  <c r="AV52" i="11"/>
  <c r="AT38" i="11"/>
  <c r="AU38" i="11"/>
  <c r="BA38" i="11" s="1"/>
  <c r="AU51" i="11"/>
  <c r="AV34" i="11"/>
  <c r="AT34" i="11"/>
  <c r="AX33" i="11"/>
  <c r="AV49" i="11"/>
  <c r="AT49" i="11"/>
  <c r="AY51" i="11"/>
  <c r="AW34" i="11"/>
  <c r="AX34" i="11"/>
  <c r="AV29" i="11"/>
  <c r="AT29" i="11"/>
  <c r="AV31" i="11"/>
  <c r="BB31" i="11" s="1"/>
  <c r="AT31" i="11"/>
  <c r="AZ31" i="11" s="1"/>
  <c r="AT52" i="11"/>
  <c r="AZ52" i="11" s="1"/>
  <c r="AU52" i="11"/>
  <c r="AV38" i="11"/>
  <c r="BB38" i="11" s="1"/>
  <c r="AV51" i="11"/>
  <c r="AT51" i="11"/>
  <c r="AU34" i="11"/>
  <c r="AY33" i="11"/>
  <c r="AW33" i="11"/>
  <c r="AY48" i="11"/>
  <c r="AW48" i="11"/>
  <c r="AZ48" i="11" s="1"/>
  <c r="AX48" i="11"/>
  <c r="AV56" i="11"/>
  <c r="BB56" i="11" s="1"/>
  <c r="AT56" i="11"/>
  <c r="AZ56" i="11" s="1"/>
  <c r="AV57" i="11"/>
  <c r="BB57" i="11" s="1"/>
  <c r="AV45" i="11"/>
  <c r="AU56" i="11"/>
  <c r="BA56" i="11" s="1"/>
  <c r="AX49" i="11"/>
  <c r="AW49" i="11"/>
  <c r="AY49" i="11"/>
  <c r="AU57" i="11"/>
  <c r="BA57" i="11" s="1"/>
  <c r="AT57" i="11"/>
  <c r="AZ57" i="11" s="1"/>
  <c r="AT45" i="11"/>
  <c r="AZ23" i="11"/>
  <c r="AV47" i="11"/>
  <c r="BB10" i="11"/>
  <c r="AU47" i="11"/>
  <c r="AT47" i="11"/>
  <c r="BA21" i="11"/>
  <c r="BC21" i="11" s="1"/>
  <c r="BB21" i="11"/>
  <c r="BA12" i="11"/>
  <c r="BD12" i="11" s="1"/>
  <c r="BB26" i="11"/>
  <c r="AZ11" i="11"/>
  <c r="AY50" i="11"/>
  <c r="BB50" i="11" s="1"/>
  <c r="AX50" i="11"/>
  <c r="AW50" i="11"/>
  <c r="AZ50" i="11" s="1"/>
  <c r="AV46" i="11"/>
  <c r="AU46" i="11"/>
  <c r="BA20" i="11"/>
  <c r="BD20" i="11" s="1"/>
  <c r="BA10" i="11"/>
  <c r="BD10" i="11" s="1"/>
  <c r="AT46" i="11"/>
  <c r="AW29" i="11"/>
  <c r="AY29" i="11"/>
  <c r="AV27" i="11"/>
  <c r="AX29" i="11"/>
  <c r="AT27" i="11"/>
  <c r="AU27" i="11"/>
  <c r="AZ20" i="11"/>
  <c r="BB24" i="11"/>
  <c r="BA14" i="11"/>
  <c r="BD14" i="11" s="1"/>
  <c r="BB19" i="11"/>
  <c r="BB12" i="11"/>
  <c r="BA11" i="11"/>
  <c r="BC11" i="11" s="1"/>
  <c r="AZ17" i="11"/>
  <c r="BB16" i="11"/>
  <c r="BB61" i="11"/>
  <c r="BB62" i="11"/>
  <c r="BB56" i="14"/>
  <c r="AZ54" i="14"/>
  <c r="AZ60" i="14"/>
  <c r="BA50" i="14"/>
  <c r="BC50" i="14" s="1"/>
  <c r="BB52" i="14"/>
  <c r="BA52" i="14"/>
  <c r="BC52" i="14" s="1"/>
  <c r="AZ51" i="14"/>
  <c r="BA54" i="14"/>
  <c r="BC54" i="14" s="1"/>
  <c r="BB59" i="14"/>
  <c r="AZ48" i="14"/>
  <c r="BB26" i="14"/>
  <c r="BA48" i="14"/>
  <c r="BD48" i="14" s="1"/>
  <c r="BA51" i="14"/>
  <c r="BC51" i="14" s="1"/>
  <c r="AZ57" i="14"/>
  <c r="BA21" i="14"/>
  <c r="BC21" i="14" s="1"/>
  <c r="BA13" i="14"/>
  <c r="BD13" i="14" s="1"/>
  <c r="BA56" i="14"/>
  <c r="BC56" i="14" s="1"/>
  <c r="BB49" i="14"/>
  <c r="BB51" i="14"/>
  <c r="AZ61" i="14"/>
  <c r="BA23" i="14"/>
  <c r="BD23" i="14" s="1"/>
  <c r="BA15" i="14"/>
  <c r="BD15" i="14" s="1"/>
  <c r="BA62" i="14"/>
  <c r="BD62" i="14" s="1"/>
  <c r="AY53" i="14"/>
  <c r="AX53" i="14"/>
  <c r="AU53" i="14"/>
  <c r="AZ59" i="14"/>
  <c r="BA60" i="14"/>
  <c r="BD60" i="14" s="1"/>
  <c r="AZ52" i="14"/>
  <c r="BB48" i="14"/>
  <c r="AW53" i="14"/>
  <c r="AT53" i="14"/>
  <c r="AV53" i="14"/>
  <c r="AK65" i="13"/>
  <c r="BA38" i="14"/>
  <c r="BC38" i="14" s="1"/>
  <c r="AZ35" i="14"/>
  <c r="BB43" i="14"/>
  <c r="BA44" i="14"/>
  <c r="BD44" i="14" s="1"/>
  <c r="BB37" i="14"/>
  <c r="BA42" i="14"/>
  <c r="BD42" i="14" s="1"/>
  <c r="BA34" i="14"/>
  <c r="BC34" i="14" s="1"/>
  <c r="BB33" i="14"/>
  <c r="BB40" i="14"/>
  <c r="BA43" i="14"/>
  <c r="BD43" i="14" s="1"/>
  <c r="BA35" i="14"/>
  <c r="BC35" i="14" s="1"/>
  <c r="BB35" i="14"/>
  <c r="BA40" i="14"/>
  <c r="BC40" i="14" s="1"/>
  <c r="BA32" i="14"/>
  <c r="BD32" i="14" s="1"/>
  <c r="BA41" i="14"/>
  <c r="BC41" i="14" s="1"/>
  <c r="BA33" i="14"/>
  <c r="BC33" i="14" s="1"/>
  <c r="BB31" i="14"/>
  <c r="AZ11" i="14"/>
  <c r="AT18" i="13"/>
  <c r="AT17" i="13"/>
  <c r="AU13" i="13"/>
  <c r="AU16" i="13"/>
  <c r="AV13" i="13"/>
  <c r="AV16" i="13"/>
  <c r="AU14" i="13"/>
  <c r="AU15" i="13"/>
  <c r="AT13" i="13"/>
  <c r="AT16" i="13"/>
  <c r="AU19" i="13"/>
  <c r="AV17" i="13"/>
  <c r="AV14" i="13"/>
  <c r="BA10" i="16"/>
  <c r="BD10" i="16" s="1"/>
  <c r="BD20" i="14"/>
  <c r="BC20" i="14"/>
  <c r="BD12" i="14"/>
  <c r="BC12" i="14"/>
  <c r="BC17" i="14"/>
  <c r="BC57" i="14"/>
  <c r="BD57" i="14"/>
  <c r="BA24" i="14"/>
  <c r="BA16" i="14"/>
  <c r="BA55" i="14"/>
  <c r="AZ56" i="14"/>
  <c r="BB41" i="14"/>
  <c r="AZ49" i="14"/>
  <c r="BB24" i="14"/>
  <c r="BB57" i="14"/>
  <c r="BA39" i="14"/>
  <c r="BB60" i="14"/>
  <c r="BA22" i="14"/>
  <c r="BA14" i="14"/>
  <c r="BA61" i="14"/>
  <c r="AZ62" i="14"/>
  <c r="BA36" i="14"/>
  <c r="BB54" i="14"/>
  <c r="BB21" i="14"/>
  <c r="BB44" i="14"/>
  <c r="BB58" i="14"/>
  <c r="BB38" i="14"/>
  <c r="BB55" i="14"/>
  <c r="BA37" i="14"/>
  <c r="BB45" i="14"/>
  <c r="BB39" i="14"/>
  <c r="BB23" i="14"/>
  <c r="AZ44" i="14"/>
  <c r="AZ42" i="14"/>
  <c r="AZ40" i="14"/>
  <c r="AZ38" i="14"/>
  <c r="AZ36" i="14"/>
  <c r="AZ34" i="14"/>
  <c r="AZ32" i="14"/>
  <c r="AZ26" i="14"/>
  <c r="BB42" i="14"/>
  <c r="BB36" i="14"/>
  <c r="BB34" i="14"/>
  <c r="AZ24" i="14"/>
  <c r="AZ22" i="14"/>
  <c r="AZ20" i="14"/>
  <c r="AZ18" i="14"/>
  <c r="AZ16" i="14"/>
  <c r="AZ14" i="14"/>
  <c r="AZ12" i="14"/>
  <c r="AZ10" i="14"/>
  <c r="BD26" i="14"/>
  <c r="BD18" i="14"/>
  <c r="BD10" i="14"/>
  <c r="BC10" i="14"/>
  <c r="BD19" i="14"/>
  <c r="BC19" i="14"/>
  <c r="BD11" i="14"/>
  <c r="BC11" i="14"/>
  <c r="BB25" i="14"/>
  <c r="BB19" i="14"/>
  <c r="BB17" i="14"/>
  <c r="BB15" i="14"/>
  <c r="BB11" i="14"/>
  <c r="AZ43" i="14"/>
  <c r="AZ41" i="14"/>
  <c r="AZ37" i="14"/>
  <c r="AZ33" i="14"/>
  <c r="AZ25" i="14"/>
  <c r="AZ23" i="14"/>
  <c r="AZ21" i="14"/>
  <c r="AZ19" i="14"/>
  <c r="AZ17" i="14"/>
  <c r="AZ15" i="14"/>
  <c r="AZ13" i="14"/>
  <c r="AX39" i="13"/>
  <c r="AX24" i="13"/>
  <c r="AX16" i="13"/>
  <c r="AY62" i="13"/>
  <c r="AW21" i="13"/>
  <c r="AY19" i="13"/>
  <c r="AW17" i="13"/>
  <c r="AY15" i="13"/>
  <c r="AW10" i="13"/>
  <c r="AY12" i="13"/>
  <c r="AW14" i="13"/>
  <c r="AY16" i="13"/>
  <c r="AW18" i="13"/>
  <c r="AY20" i="13"/>
  <c r="AW22" i="13"/>
  <c r="AY24" i="13"/>
  <c r="AW26" i="13"/>
  <c r="AY52" i="13"/>
  <c r="AW54" i="13"/>
  <c r="AW58" i="13"/>
  <c r="AW40" i="13"/>
  <c r="AW25" i="13"/>
  <c r="AW57" i="13"/>
  <c r="AX56" i="13"/>
  <c r="AY55" i="13"/>
  <c r="AX41" i="13"/>
  <c r="AX26" i="13"/>
  <c r="AY25" i="13"/>
  <c r="AW19" i="13"/>
  <c r="AX18" i="13"/>
  <c r="AY17" i="13"/>
  <c r="AW11" i="13"/>
  <c r="AX10" i="13"/>
  <c r="BA10" i="13" s="1"/>
  <c r="AX58" i="13"/>
  <c r="AX20" i="13"/>
  <c r="AX12" i="13"/>
  <c r="AX11" i="13"/>
  <c r="AX13" i="13"/>
  <c r="AX15" i="13"/>
  <c r="AX17" i="13"/>
  <c r="AX19" i="13"/>
  <c r="AX21" i="13"/>
  <c r="AX23" i="13"/>
  <c r="AX25" i="13"/>
  <c r="AX57" i="13"/>
  <c r="AX61" i="13"/>
  <c r="AW62" i="13"/>
  <c r="AX62" i="13"/>
  <c r="AY61" i="13"/>
  <c r="AW47" i="13"/>
  <c r="AY23" i="13"/>
  <c r="AY10" i="13"/>
  <c r="BB10" i="13" s="1"/>
  <c r="AW12" i="13"/>
  <c r="AY14" i="13"/>
  <c r="AW16" i="13"/>
  <c r="AZ16" i="13" s="1"/>
  <c r="AY18" i="13"/>
  <c r="AW20" i="13"/>
  <c r="AY22" i="13"/>
  <c r="AW24" i="13"/>
  <c r="AY26" i="13"/>
  <c r="AY58" i="13"/>
  <c r="AY57" i="13"/>
  <c r="AW44" i="13"/>
  <c r="AW13" i="13"/>
  <c r="AY11" i="13"/>
  <c r="AW61" i="13"/>
  <c r="AW23" i="13"/>
  <c r="AX22" i="13"/>
  <c r="AY21" i="13"/>
  <c r="AW15" i="13"/>
  <c r="AX14" i="13"/>
  <c r="AY13" i="13"/>
  <c r="AU25" i="13"/>
  <c r="AV31" i="13"/>
  <c r="AT33" i="13"/>
  <c r="AU40" i="13"/>
  <c r="AU55" i="13"/>
  <c r="AV62" i="13"/>
  <c r="AU45" i="13"/>
  <c r="AU54" i="13"/>
  <c r="AU37" i="13"/>
  <c r="AU29" i="13"/>
  <c r="AU22" i="13"/>
  <c r="AU53" i="13"/>
  <c r="AT57" i="13"/>
  <c r="AT53" i="13"/>
  <c r="AT49" i="13"/>
  <c r="AT42" i="13"/>
  <c r="AT38" i="13"/>
  <c r="AT34" i="13"/>
  <c r="AT25" i="13"/>
  <c r="AT21" i="13"/>
  <c r="AV26" i="13"/>
  <c r="AV41" i="13"/>
  <c r="AV52" i="13"/>
  <c r="AV20" i="13"/>
  <c r="AT22" i="13"/>
  <c r="AT37" i="13"/>
  <c r="AU44" i="13"/>
  <c r="AU51" i="13"/>
  <c r="AV58" i="13"/>
  <c r="AU57" i="13"/>
  <c r="AU56" i="13"/>
  <c r="AU48" i="13"/>
  <c r="AU24" i="13"/>
  <c r="AU23" i="13"/>
  <c r="BA23" i="13" s="1"/>
  <c r="AV57" i="13"/>
  <c r="AV53" i="13"/>
  <c r="AV49" i="13"/>
  <c r="AV42" i="13"/>
  <c r="AV34" i="13"/>
  <c r="AV30" i="13"/>
  <c r="AV25" i="13"/>
  <c r="AV21" i="13"/>
  <c r="AT24" i="13"/>
  <c r="AT50" i="13"/>
  <c r="AT58" i="13"/>
  <c r="AZ58" i="13" s="1"/>
  <c r="AU17" i="13"/>
  <c r="AV24" i="13"/>
  <c r="AT26" i="13"/>
  <c r="AU32" i="13"/>
  <c r="AV39" i="13"/>
  <c r="AT41" i="13"/>
  <c r="AU47" i="13"/>
  <c r="AV54" i="13"/>
  <c r="AU58" i="13"/>
  <c r="AU50" i="13"/>
  <c r="AU41" i="13"/>
  <c r="AU33" i="13"/>
  <c r="AU26" i="13"/>
  <c r="AU18" i="13"/>
  <c r="AU49" i="13"/>
  <c r="AT55" i="13"/>
  <c r="AT51" i="13"/>
  <c r="AT44" i="13"/>
  <c r="AT40" i="13"/>
  <c r="AT36" i="13"/>
  <c r="AT23" i="13"/>
  <c r="AT19" i="13"/>
  <c r="AT15" i="13"/>
  <c r="AT11" i="13"/>
  <c r="AZ11" i="13" s="1"/>
  <c r="AV18" i="13"/>
  <c r="AV33" i="13"/>
  <c r="AT35" i="13"/>
  <c r="AV12" i="13"/>
  <c r="BB12" i="13" s="1"/>
  <c r="AT14" i="13"/>
  <c r="AU21" i="13"/>
  <c r="AU36" i="13"/>
  <c r="AV43" i="13"/>
  <c r="AV50" i="13"/>
  <c r="AT52" i="13"/>
  <c r="AU11" i="13"/>
  <c r="AU42" i="13"/>
  <c r="AU52" i="13"/>
  <c r="AU43" i="13"/>
  <c r="AU20" i="13"/>
  <c r="AU12" i="13"/>
  <c r="AU34" i="13"/>
  <c r="AT62" i="13"/>
  <c r="AU62" i="13"/>
  <c r="AV55" i="13"/>
  <c r="AV51" i="13"/>
  <c r="AV47" i="13"/>
  <c r="AV44" i="13"/>
  <c r="AV40" i="13"/>
  <c r="AV36" i="13"/>
  <c r="AV23" i="13"/>
  <c r="AV19" i="13"/>
  <c r="AV15" i="13"/>
  <c r="BB15" i="13" s="1"/>
  <c r="AV11" i="13"/>
  <c r="AV22" i="13"/>
  <c r="AV37" i="13"/>
  <c r="AT20" i="13"/>
  <c r="AT43" i="13"/>
  <c r="AT54" i="13"/>
  <c r="AT12" i="13"/>
  <c r="BA26" i="13"/>
  <c r="BB20" i="11"/>
  <c r="AZ13" i="11"/>
  <c r="AZ22" i="11"/>
  <c r="AZ10" i="11"/>
  <c r="BA17" i="11"/>
  <c r="BD17" i="11" s="1"/>
  <c r="BB11" i="11"/>
  <c r="AZ19" i="11"/>
  <c r="BB15" i="11"/>
  <c r="BA19" i="11"/>
  <c r="BC19" i="11" s="1"/>
  <c r="AZ18" i="11"/>
  <c r="BB22" i="11"/>
  <c r="BB13" i="11"/>
  <c r="BA25" i="11"/>
  <c r="BC25" i="11" s="1"/>
  <c r="BB18" i="11"/>
  <c r="BB25" i="11"/>
  <c r="BB23" i="11"/>
  <c r="BA16" i="11"/>
  <c r="BD16" i="11" s="1"/>
  <c r="BA61" i="11"/>
  <c r="BC61" i="11" s="1"/>
  <c r="AZ16" i="11"/>
  <c r="AQ71" i="16"/>
  <c r="BB44" i="15"/>
  <c r="BB26" i="15"/>
  <c r="BB25" i="16"/>
  <c r="AZ23" i="16"/>
  <c r="BB23" i="16"/>
  <c r="BB22" i="15"/>
  <c r="BA21" i="16"/>
  <c r="BD21" i="16" s="1"/>
  <c r="AZ21" i="11"/>
  <c r="AZ20" i="16"/>
  <c r="BA19" i="16"/>
  <c r="BD19" i="16" s="1"/>
  <c r="BB19" i="16"/>
  <c r="BA18" i="16"/>
  <c r="BD18" i="16" s="1"/>
  <c r="BB12" i="16"/>
  <c r="AZ12" i="11"/>
  <c r="AZ61" i="11"/>
  <c r="AZ26" i="11"/>
  <c r="BA24" i="11"/>
  <c r="BD24" i="11" s="1"/>
  <c r="AZ14" i="11"/>
  <c r="BA15" i="11"/>
  <c r="BC15" i="11" s="1"/>
  <c r="BA18" i="11"/>
  <c r="BC18" i="11" s="1"/>
  <c r="AZ25" i="11"/>
  <c r="BB17" i="11"/>
  <c r="AZ24" i="11"/>
  <c r="BA22" i="11"/>
  <c r="BD22" i="11" s="1"/>
  <c r="BA23" i="11"/>
  <c r="BD23" i="11" s="1"/>
  <c r="AX45" i="11"/>
  <c r="AX47" i="11"/>
  <c r="AW45" i="11"/>
  <c r="AY28" i="11"/>
  <c r="AY45" i="11"/>
  <c r="AX46" i="11"/>
  <c r="AU28" i="11"/>
  <c r="AV28" i="11"/>
  <c r="BB28" i="11" s="1"/>
  <c r="AW46" i="11"/>
  <c r="AW47" i="11"/>
  <c r="AY46" i="11"/>
  <c r="AY47" i="11"/>
  <c r="AX28" i="11"/>
  <c r="AW28" i="11"/>
  <c r="AT28" i="11"/>
  <c r="AY30" i="11"/>
  <c r="BB30" i="11" s="1"/>
  <c r="AX30" i="11"/>
  <c r="BA30" i="11" s="1"/>
  <c r="AW30" i="11"/>
  <c r="BA26" i="11"/>
  <c r="BC26" i="11" s="1"/>
  <c r="AW27" i="11"/>
  <c r="AY27" i="11"/>
  <c r="AX27" i="11"/>
  <c r="AZ58" i="11"/>
  <c r="BC13" i="11"/>
  <c r="BD13" i="11"/>
  <c r="AZ44" i="11"/>
  <c r="BA39" i="11"/>
  <c r="BA48" i="11"/>
  <c r="BA59" i="11"/>
  <c r="AZ60" i="11"/>
  <c r="BB36" i="11"/>
  <c r="BA58" i="11"/>
  <c r="BB54" i="11"/>
  <c r="BB40" i="11"/>
  <c r="BB48" i="11"/>
  <c r="BA37" i="11"/>
  <c r="BB41" i="11"/>
  <c r="AZ42" i="11"/>
  <c r="AZ37" i="11"/>
  <c r="BB58" i="11"/>
  <c r="BA60" i="11"/>
  <c r="AZ41" i="11"/>
  <c r="AX53" i="11"/>
  <c r="AU53" i="11"/>
  <c r="AV53" i="11"/>
  <c r="BB43" i="11"/>
  <c r="BA54" i="11"/>
  <c r="BB60" i="11"/>
  <c r="AZ43" i="11"/>
  <c r="BA44" i="11"/>
  <c r="AZ36" i="11"/>
  <c r="BB51" i="11"/>
  <c r="AZ40" i="11"/>
  <c r="BB42" i="11"/>
  <c r="AR63" i="11" a="1"/>
  <c r="AR63" i="11" s="1"/>
  <c r="AR64" i="11" s="1"/>
  <c r="AZ32" i="11"/>
  <c r="BB32" i="11"/>
  <c r="BB59" i="11"/>
  <c r="BB39" i="11"/>
  <c r="BA41" i="11"/>
  <c r="AZ39" i="11"/>
  <c r="BA40" i="11"/>
  <c r="BB44" i="11"/>
  <c r="BB55" i="11"/>
  <c r="AZ15" i="11"/>
  <c r="AZ59" i="11"/>
  <c r="BA43" i="11"/>
  <c r="BA49" i="11"/>
  <c r="BA42" i="11"/>
  <c r="AW53" i="11"/>
  <c r="AY53" i="11"/>
  <c r="AT53" i="11"/>
  <c r="BD47" i="16"/>
  <c r="BC10" i="16"/>
  <c r="BC26" i="16"/>
  <c r="BD26" i="16"/>
  <c r="BD12" i="16"/>
  <c r="BD15" i="16"/>
  <c r="BC15" i="16"/>
  <c r="AW60" i="16"/>
  <c r="AZ60" i="16" s="1"/>
  <c r="AY58" i="16"/>
  <c r="BB58" i="16" s="1"/>
  <c r="AW43" i="16"/>
  <c r="AX53" i="16"/>
  <c r="AX58" i="16"/>
  <c r="BA58" i="16" s="1"/>
  <c r="AY43" i="16"/>
  <c r="BB43" i="16" s="1"/>
  <c r="AX59" i="16"/>
  <c r="BA59" i="16" s="1"/>
  <c r="AX44" i="16"/>
  <c r="BA44" i="16" s="1"/>
  <c r="AT52" i="16"/>
  <c r="AZ52" i="16" s="1"/>
  <c r="AV50" i="16"/>
  <c r="AU53" i="16"/>
  <c r="AU48" i="16"/>
  <c r="BA48" i="16" s="1"/>
  <c r="AT49" i="16"/>
  <c r="AZ49" i="16" s="1"/>
  <c r="AQ68" i="16"/>
  <c r="AQ72" i="16"/>
  <c r="BC25" i="16"/>
  <c r="BD25" i="16"/>
  <c r="BC24" i="16"/>
  <c r="BC20" i="16"/>
  <c r="BD20" i="16"/>
  <c r="BC13" i="16"/>
  <c r="BD14" i="16"/>
  <c r="BB60" i="16"/>
  <c r="BB41" i="16"/>
  <c r="BB51" i="16"/>
  <c r="BA34" i="16"/>
  <c r="BC34" i="16" s="1"/>
  <c r="AZ44" i="16"/>
  <c r="BB33" i="16"/>
  <c r="AZ59" i="16"/>
  <c r="AX60" i="16"/>
  <c r="BA60" i="16" s="1"/>
  <c r="AX43" i="16"/>
  <c r="AY53" i="16"/>
  <c r="AW58" i="16"/>
  <c r="AZ58" i="16" s="1"/>
  <c r="AW53" i="16"/>
  <c r="AY59" i="16"/>
  <c r="BB59" i="16" s="1"/>
  <c r="AY44" i="16"/>
  <c r="BB44" i="16" s="1"/>
  <c r="AU50" i="16"/>
  <c r="BA50" i="16" s="1"/>
  <c r="AT48" i="16"/>
  <c r="AZ48" i="16" s="1"/>
  <c r="AU33" i="16"/>
  <c r="BA33" i="16" s="1"/>
  <c r="AV29" i="16"/>
  <c r="BB29" i="16" s="1"/>
  <c r="AT53" i="16"/>
  <c r="AV49" i="16"/>
  <c r="BB49" i="16" s="1"/>
  <c r="AU32" i="16"/>
  <c r="BA32" i="16" s="1"/>
  <c r="AT30" i="16"/>
  <c r="AU52" i="16"/>
  <c r="BA52" i="16" s="1"/>
  <c r="AT50" i="16"/>
  <c r="AZ50" i="16" s="1"/>
  <c r="AV48" i="16"/>
  <c r="BB48" i="16" s="1"/>
  <c r="AT33" i="16"/>
  <c r="AZ33" i="16" s="1"/>
  <c r="AV53" i="16"/>
  <c r="AU49" i="16"/>
  <c r="BA49" i="16" s="1"/>
  <c r="AT51" i="16"/>
  <c r="AZ51" i="16" s="1"/>
  <c r="AT34" i="16"/>
  <c r="AZ34" i="16" s="1"/>
  <c r="AV30" i="16"/>
  <c r="BB34" i="15"/>
  <c r="BB16" i="15"/>
  <c r="BA14" i="15"/>
  <c r="BD14" i="15" s="1"/>
  <c r="BA62" i="15"/>
  <c r="BD62" i="15" s="1"/>
  <c r="AZ61" i="15"/>
  <c r="AZ11" i="15"/>
  <c r="BB11" i="15"/>
  <c r="BB12" i="15"/>
  <c r="BB17" i="15"/>
  <c r="BB21" i="15"/>
  <c r="BB25" i="15"/>
  <c r="AT28" i="15"/>
  <c r="AT70" i="15" s="1"/>
  <c r="AV28" i="15"/>
  <c r="AY45" i="15"/>
  <c r="BB45" i="15" s="1"/>
  <c r="AY46" i="15"/>
  <c r="AY28" i="15"/>
  <c r="AX47" i="15"/>
  <c r="BA47" i="15" s="1"/>
  <c r="AW45" i="15"/>
  <c r="AZ45" i="15" s="1"/>
  <c r="BB46" i="15"/>
  <c r="AU28" i="15"/>
  <c r="AX28" i="15"/>
  <c r="AW47" i="15"/>
  <c r="AX46" i="15"/>
  <c r="BA46" i="15" s="1"/>
  <c r="AX45" i="15"/>
  <c r="AY47" i="15"/>
  <c r="AW46" i="15"/>
  <c r="AZ46" i="15" s="1"/>
  <c r="AW28" i="15"/>
  <c r="BB42" i="15"/>
  <c r="AZ42" i="15"/>
  <c r="AZ33" i="15"/>
  <c r="AZ35" i="15"/>
  <c r="AX30" i="15"/>
  <c r="BA30" i="15" s="1"/>
  <c r="AY30" i="15"/>
  <c r="BB30" i="15" s="1"/>
  <c r="AW30" i="15"/>
  <c r="AZ30" i="15" s="1"/>
  <c r="AZ14" i="15"/>
  <c r="AZ22" i="15"/>
  <c r="BB62" i="15"/>
  <c r="AY27" i="15"/>
  <c r="BB27" i="15" s="1"/>
  <c r="AT53" i="15"/>
  <c r="AZ15" i="15"/>
  <c r="AZ19" i="15"/>
  <c r="BA22" i="15"/>
  <c r="BC22" i="15" s="1"/>
  <c r="BA26" i="15"/>
  <c r="BC26" i="15" s="1"/>
  <c r="BA40" i="15"/>
  <c r="BC40" i="15" s="1"/>
  <c r="AZ62" i="15"/>
  <c r="AX27" i="15"/>
  <c r="AW27" i="15"/>
  <c r="AZ27" i="15" s="1"/>
  <c r="AZ37" i="15"/>
  <c r="AZ41" i="15"/>
  <c r="BB32" i="15"/>
  <c r="AZ32" i="15"/>
  <c r="AZ38" i="15"/>
  <c r="BD11" i="15"/>
  <c r="BC11" i="15"/>
  <c r="BB38" i="15"/>
  <c r="BD25" i="15"/>
  <c r="BC25" i="15"/>
  <c r="BC19" i="15"/>
  <c r="AQ72" i="15"/>
  <c r="BA33" i="15"/>
  <c r="BA37" i="15"/>
  <c r="BB59" i="15"/>
  <c r="BB31" i="15"/>
  <c r="AZ39" i="15"/>
  <c r="AZ31" i="15"/>
  <c r="AZ23" i="15"/>
  <c r="BA12" i="15"/>
  <c r="AZ52" i="15"/>
  <c r="BA32" i="15"/>
  <c r="BA36" i="15"/>
  <c r="BA44" i="15"/>
  <c r="AZ58" i="15"/>
  <c r="BA57" i="15"/>
  <c r="BA61" i="15"/>
  <c r="BB33" i="15"/>
  <c r="BB41" i="15"/>
  <c r="AZ18" i="15"/>
  <c r="AZ26" i="15"/>
  <c r="BA16" i="15"/>
  <c r="AZ50" i="15"/>
  <c r="BB51" i="15"/>
  <c r="BA54" i="15"/>
  <c r="BB58" i="15"/>
  <c r="AY53" i="15"/>
  <c r="BD21" i="15"/>
  <c r="BC21" i="15"/>
  <c r="BC15" i="15"/>
  <c r="BC14" i="15"/>
  <c r="BC10" i="15"/>
  <c r="BD10" i="15"/>
  <c r="BC17" i="15"/>
  <c r="BD17" i="15"/>
  <c r="BB54" i="15"/>
  <c r="BA41" i="15"/>
  <c r="BB55" i="15"/>
  <c r="BA58" i="15"/>
  <c r="BB39" i="15"/>
  <c r="BB52" i="15"/>
  <c r="BA52" i="15"/>
  <c r="AZ57" i="15"/>
  <c r="AZ43" i="15"/>
  <c r="BA51" i="15"/>
  <c r="BB20" i="15"/>
  <c r="BB24" i="15"/>
  <c r="BA23" i="15"/>
  <c r="AZ51" i="15"/>
  <c r="BA31" i="15"/>
  <c r="BA35" i="15"/>
  <c r="BA39" i="15"/>
  <c r="BA43" i="15"/>
  <c r="BB57" i="15"/>
  <c r="BB61" i="15"/>
  <c r="BA56" i="15"/>
  <c r="BA60" i="15"/>
  <c r="BB35" i="15"/>
  <c r="BB43" i="15"/>
  <c r="BB15" i="15"/>
  <c r="BB19" i="15"/>
  <c r="BB48" i="15"/>
  <c r="BA48" i="15"/>
  <c r="AZ55" i="15"/>
  <c r="AZ59" i="15"/>
  <c r="AZ44" i="15"/>
  <c r="AZ40" i="15"/>
  <c r="AU53" i="15"/>
  <c r="BB40" i="15"/>
  <c r="AV53" i="15"/>
  <c r="AZ13" i="15"/>
  <c r="AZ17" i="15"/>
  <c r="AZ21" i="15"/>
  <c r="AZ25" i="15"/>
  <c r="BA20" i="15"/>
  <c r="BA24" i="15"/>
  <c r="AZ48" i="15"/>
  <c r="BB49" i="15"/>
  <c r="BA34" i="15"/>
  <c r="BA38" i="15"/>
  <c r="BA42" i="15"/>
  <c r="AZ56" i="15"/>
  <c r="AZ60" i="15"/>
  <c r="BA55" i="15"/>
  <c r="BA59" i="15"/>
  <c r="BB37" i="15"/>
  <c r="AZ12" i="15"/>
  <c r="AZ16" i="15"/>
  <c r="AZ20" i="15"/>
  <c r="AZ24" i="15"/>
  <c r="BA13" i="15"/>
  <c r="BA18" i="15"/>
  <c r="AZ54" i="15"/>
  <c r="BB56" i="15"/>
  <c r="BB60" i="15"/>
  <c r="AX53" i="15"/>
  <c r="AW53" i="15"/>
  <c r="BB9" i="16"/>
  <c r="BB9" i="14"/>
  <c r="AL33" i="13"/>
  <c r="AW56" i="13" s="1"/>
  <c r="AZ9" i="16"/>
  <c r="BA9" i="16"/>
  <c r="AQ67" i="16"/>
  <c r="AQ70" i="16"/>
  <c r="AQ70" i="15"/>
  <c r="AQ67" i="15"/>
  <c r="AQ71" i="15"/>
  <c r="AQ68" i="15"/>
  <c r="AZ9" i="15"/>
  <c r="BB9" i="15"/>
  <c r="BA9" i="15"/>
  <c r="AQ70" i="14"/>
  <c r="AQ67" i="14"/>
  <c r="AQ68" i="14"/>
  <c r="AQ71" i="14"/>
  <c r="AZ9" i="14"/>
  <c r="BA9" i="14"/>
  <c r="AY9" i="13"/>
  <c r="AQ70" i="13"/>
  <c r="AQ67" i="13"/>
  <c r="AQ71" i="13"/>
  <c r="AQ68" i="13"/>
  <c r="AV9" i="13"/>
  <c r="AU9" i="13"/>
  <c r="AT9" i="13"/>
  <c r="AZ9" i="11"/>
  <c r="AQ68" i="11"/>
  <c r="AQ67" i="11"/>
  <c r="AQ71" i="11"/>
  <c r="AQ72" i="11"/>
  <c r="AQ70" i="11"/>
  <c r="BA9" i="11"/>
  <c r="BB9" i="11"/>
  <c r="BB42" i="16"/>
  <c r="BA42" i="16"/>
  <c r="BD42" i="16" s="1"/>
  <c r="AZ42" i="16"/>
  <c r="BA39" i="16"/>
  <c r="BC39" i="16" s="1"/>
  <c r="BB39" i="16"/>
  <c r="AZ39" i="16"/>
  <c r="BB57" i="16"/>
  <c r="BB38" i="16"/>
  <c r="BB56" i="16"/>
  <c r="AZ38" i="16"/>
  <c r="BA38" i="16"/>
  <c r="BD38" i="16" s="1"/>
  <c r="AZ37" i="16"/>
  <c r="BA37" i="16"/>
  <c r="BC37" i="16" s="1"/>
  <c r="AZ57" i="16"/>
  <c r="BA57" i="16"/>
  <c r="BC57" i="16" s="1"/>
  <c r="AZ56" i="16"/>
  <c r="BA56" i="16"/>
  <c r="BD56" i="16" s="1"/>
  <c r="BB37" i="16"/>
  <c r="BC38" i="16"/>
  <c r="BA51" i="16"/>
  <c r="BC51" i="16" s="1"/>
  <c r="BB52" i="16"/>
  <c r="BB34" i="16"/>
  <c r="BB32" i="16"/>
  <c r="AZ32" i="16"/>
  <c r="BB36" i="16"/>
  <c r="BB55" i="16"/>
  <c r="BB35" i="16"/>
  <c r="AZ35" i="16"/>
  <c r="AZ54" i="16"/>
  <c r="BA54" i="16"/>
  <c r="BD54" i="16" s="1"/>
  <c r="BA55" i="16"/>
  <c r="BD55" i="16" s="1"/>
  <c r="AZ36" i="16"/>
  <c r="BA36" i="16"/>
  <c r="BC36" i="16" s="1"/>
  <c r="BA35" i="16"/>
  <c r="BD35" i="16" s="1"/>
  <c r="BB54" i="16"/>
  <c r="AZ55" i="16"/>
  <c r="BC55" i="16"/>
  <c r="BB31" i="16"/>
  <c r="AZ41" i="16"/>
  <c r="BA41" i="16"/>
  <c r="AM64" i="13"/>
  <c r="AX44" i="13" s="1"/>
  <c r="AM13" i="13"/>
  <c r="AK44" i="13"/>
  <c r="AY39" i="13" s="1"/>
  <c r="AG16" i="13"/>
  <c r="AT30" i="13" s="1"/>
  <c r="AL21" i="13"/>
  <c r="AW9" i="13" s="1"/>
  <c r="AM29" i="13"/>
  <c r="AX55" i="13" s="1"/>
  <c r="AK64" i="13"/>
  <c r="AY44" i="13" s="1"/>
  <c r="AL13" i="13"/>
  <c r="AW51" i="13" s="1"/>
  <c r="AL44" i="13"/>
  <c r="AW39" i="13" s="1"/>
  <c r="AM25" i="13"/>
  <c r="AX54" i="13" s="1"/>
  <c r="AM21" i="13"/>
  <c r="AX9" i="13" s="1"/>
  <c r="AL29" i="13"/>
  <c r="AW55" i="13" s="1"/>
  <c r="AL72" i="13"/>
  <c r="AK25" i="13"/>
  <c r="AY54" i="13" s="1"/>
  <c r="AL60" i="13"/>
  <c r="AW43" i="13" s="1"/>
  <c r="AK60" i="13"/>
  <c r="AY43" i="13" s="1"/>
  <c r="AM60" i="13"/>
  <c r="AX43" i="13" s="1"/>
  <c r="AM80" i="13"/>
  <c r="AX59" i="13" s="1"/>
  <c r="AL80" i="13"/>
  <c r="AW50" i="13" s="1"/>
  <c r="AK80" i="13"/>
  <c r="AY59" i="13" s="1"/>
  <c r="AL76" i="13"/>
  <c r="AK76" i="13"/>
  <c r="AM76" i="13"/>
  <c r="AH80" i="13"/>
  <c r="AG80" i="13"/>
  <c r="AT47" i="13" s="1"/>
  <c r="AF80" i="13"/>
  <c r="AV60" i="13" s="1"/>
  <c r="AG76" i="13"/>
  <c r="AF76" i="13"/>
  <c r="AH76" i="13"/>
  <c r="AK33" i="13"/>
  <c r="AY56" i="13" s="1"/>
  <c r="AH16" i="13"/>
  <c r="AU30" i="13" s="1"/>
  <c r="AH52" i="13"/>
  <c r="AU39" i="13" s="1"/>
  <c r="BA39" i="13" s="1"/>
  <c r="AK52" i="13"/>
  <c r="AY41" i="13" s="1"/>
  <c r="AM48" i="13"/>
  <c r="AX40" i="13" s="1"/>
  <c r="AM16" i="13"/>
  <c r="AF24" i="13"/>
  <c r="AV32" i="13" s="1"/>
  <c r="AL52" i="13"/>
  <c r="AW41" i="13" s="1"/>
  <c r="AL40" i="13"/>
  <c r="AW38" i="13" s="1"/>
  <c r="AM40" i="13"/>
  <c r="AX38" i="13" s="1"/>
  <c r="AK48" i="13"/>
  <c r="AY40" i="13" s="1"/>
  <c r="AL24" i="13"/>
  <c r="AL32" i="13"/>
  <c r="AW36" i="13" s="1"/>
  <c r="AL28" i="13"/>
  <c r="AM24" i="13"/>
  <c r="AX34" i="13" s="1"/>
  <c r="AK32" i="13"/>
  <c r="AH48" i="13"/>
  <c r="AU38" i="13" s="1"/>
  <c r="AM28" i="13"/>
  <c r="AF45" i="13"/>
  <c r="AV56" i="13" s="1"/>
  <c r="BB56" i="13" s="1"/>
  <c r="AL16" i="13"/>
  <c r="AW33" i="13" s="1"/>
  <c r="AK40" i="13"/>
  <c r="AY38" i="13" s="1"/>
  <c r="AL41" i="13"/>
  <c r="AF48" i="13"/>
  <c r="AV38" i="13" s="1"/>
  <c r="BB38" i="13" s="1"/>
  <c r="AM20" i="13"/>
  <c r="AX33" i="13" s="1"/>
  <c r="AM12" i="13"/>
  <c r="AG52" i="13"/>
  <c r="AT39" i="13" s="1"/>
  <c r="AK20" i="13"/>
  <c r="AY33" i="13" s="1"/>
  <c r="AK12" i="13"/>
  <c r="AK41" i="13"/>
  <c r="AY45" i="13" s="1"/>
  <c r="AG24" i="13"/>
  <c r="AT32" i="13" s="1"/>
  <c r="AG45" i="13"/>
  <c r="AT56" i="13" s="1"/>
  <c r="AZ56" i="13" s="1"/>
  <c r="AK56" i="13"/>
  <c r="AY42" i="13" s="1"/>
  <c r="AL56" i="13"/>
  <c r="AW42" i="13" s="1"/>
  <c r="AM56" i="13"/>
  <c r="AX42" i="13" s="1"/>
  <c r="AK36" i="13"/>
  <c r="AY37" i="13" s="1"/>
  <c r="AL36" i="13"/>
  <c r="AW37" i="13" s="1"/>
  <c r="AM36" i="13"/>
  <c r="AX37" i="13" s="1"/>
  <c r="AM84" i="11"/>
  <c r="BE10" i="14" l="1"/>
  <c r="BA46" i="16"/>
  <c r="BE12" i="14"/>
  <c r="BE36" i="16"/>
  <c r="BE9" i="16"/>
  <c r="BE44" i="14"/>
  <c r="AZ46" i="14"/>
  <c r="BE11" i="16"/>
  <c r="BE39" i="16"/>
  <c r="BB22" i="13"/>
  <c r="BA18" i="13"/>
  <c r="BE54" i="14"/>
  <c r="BA52" i="11"/>
  <c r="BE58" i="16"/>
  <c r="BD41" i="14"/>
  <c r="BE36" i="14"/>
  <c r="BE18" i="16"/>
  <c r="BE50" i="16"/>
  <c r="BB24" i="13"/>
  <c r="BA15" i="13"/>
  <c r="BE15" i="14"/>
  <c r="BD58" i="14"/>
  <c r="BA34" i="11"/>
  <c r="BE46" i="16"/>
  <c r="AY36" i="13"/>
  <c r="BB19" i="13"/>
  <c r="AX36" i="13"/>
  <c r="BA19" i="13"/>
  <c r="AZ18" i="13"/>
  <c r="BA22" i="13"/>
  <c r="BD22" i="13" s="1"/>
  <c r="AV48" i="13"/>
  <c r="AT48" i="13"/>
  <c r="AW45" i="13"/>
  <c r="AZ14" i="13"/>
  <c r="AZ19" i="13"/>
  <c r="BB52" i="13"/>
  <c r="AW31" i="13"/>
  <c r="AX46" i="13"/>
  <c r="AY35" i="13"/>
  <c r="AY53" i="13"/>
  <c r="BB53" i="13" s="1"/>
  <c r="AX35" i="13"/>
  <c r="AW35" i="13"/>
  <c r="BA40" i="13"/>
  <c r="BD40" i="13" s="1"/>
  <c r="AZ21" i="13"/>
  <c r="BB62" i="13"/>
  <c r="AW34" i="13"/>
  <c r="AZ34" i="13" s="1"/>
  <c r="AX32" i="13"/>
  <c r="AU35" i="13"/>
  <c r="AV35" i="13"/>
  <c r="BB35" i="13" s="1"/>
  <c r="AY34" i="13"/>
  <c r="BB34" i="13" s="1"/>
  <c r="AW70" i="16"/>
  <c r="BA29" i="16"/>
  <c r="BD16" i="16"/>
  <c r="BC18" i="16"/>
  <c r="BD61" i="16"/>
  <c r="BC23" i="16"/>
  <c r="BC11" i="16"/>
  <c r="BA53" i="16"/>
  <c r="BC53" i="16" s="1"/>
  <c r="BD46" i="16"/>
  <c r="BC46" i="16"/>
  <c r="AW67" i="16"/>
  <c r="BD34" i="16"/>
  <c r="BB30" i="16"/>
  <c r="BD17" i="16"/>
  <c r="BC21" i="16"/>
  <c r="BD62" i="16"/>
  <c r="AZ31" i="14"/>
  <c r="BA49" i="14"/>
  <c r="BC49" i="14" s="1"/>
  <c r="BA27" i="14"/>
  <c r="BD25" i="14"/>
  <c r="BD54" i="14"/>
  <c r="BC59" i="14"/>
  <c r="BB29" i="14"/>
  <c r="BB53" i="14"/>
  <c r="AZ27" i="14"/>
  <c r="BE17" i="14" s="1"/>
  <c r="BA46" i="14"/>
  <c r="BC46" i="14" s="1"/>
  <c r="BA47" i="14"/>
  <c r="BC47" i="14" s="1"/>
  <c r="BC60" i="14"/>
  <c r="AX51" i="13"/>
  <c r="BA51" i="13" s="1"/>
  <c r="BC51" i="13" s="1"/>
  <c r="AX52" i="13"/>
  <c r="BA52" i="13" s="1"/>
  <c r="AX47" i="13"/>
  <c r="BA47" i="13" s="1"/>
  <c r="AY51" i="13"/>
  <c r="AW52" i="13"/>
  <c r="AZ52" i="13" s="1"/>
  <c r="AY47" i="13"/>
  <c r="BB47" i="13" s="1"/>
  <c r="AX45" i="13"/>
  <c r="BA45" i="13" s="1"/>
  <c r="AY32" i="13"/>
  <c r="BB32" i="13" s="1"/>
  <c r="AZ37" i="13"/>
  <c r="AY31" i="13"/>
  <c r="BB31" i="13" s="1"/>
  <c r="AW32" i="13"/>
  <c r="AZ32" i="13" s="1"/>
  <c r="AZ41" i="13"/>
  <c r="BA32" i="13"/>
  <c r="BD32" i="13" s="1"/>
  <c r="BA21" i="13"/>
  <c r="BD21" i="13" s="1"/>
  <c r="BB18" i="13"/>
  <c r="AZ15" i="13"/>
  <c r="BA17" i="13"/>
  <c r="BD17" i="13" s="1"/>
  <c r="AU31" i="13"/>
  <c r="BA56" i="13"/>
  <c r="BD56" i="13" s="1"/>
  <c r="BB20" i="13"/>
  <c r="AT31" i="13"/>
  <c r="AT29" i="13"/>
  <c r="AV29" i="13"/>
  <c r="AV27" i="13"/>
  <c r="AZ54" i="13"/>
  <c r="AZ20" i="13"/>
  <c r="BB23" i="13"/>
  <c r="BB55" i="13"/>
  <c r="BA11" i="13"/>
  <c r="BC11" i="13" s="1"/>
  <c r="BA36" i="13"/>
  <c r="BD36" i="13" s="1"/>
  <c r="AZ23" i="13"/>
  <c r="AZ40" i="13"/>
  <c r="BA41" i="13"/>
  <c r="BD41" i="13" s="1"/>
  <c r="AZ26" i="13"/>
  <c r="AZ36" i="13"/>
  <c r="BB36" i="13"/>
  <c r="AZ35" i="13"/>
  <c r="BA43" i="13"/>
  <c r="BC43" i="13" s="1"/>
  <c r="AZ43" i="13"/>
  <c r="AZ30" i="11"/>
  <c r="AZ47" i="11"/>
  <c r="AZ62" i="11"/>
  <c r="BB49" i="11"/>
  <c r="BA62" i="11"/>
  <c r="BC62" i="11" s="1"/>
  <c r="AZ55" i="11"/>
  <c r="BB16" i="13"/>
  <c r="AZ17" i="13"/>
  <c r="AZ10" i="13"/>
  <c r="AZ42" i="13"/>
  <c r="BB57" i="13"/>
  <c r="BA16" i="13"/>
  <c r="BD16" i="13" s="1"/>
  <c r="BA51" i="11"/>
  <c r="BD51" i="11" s="1"/>
  <c r="BD45" i="14"/>
  <c r="BD45" i="16"/>
  <c r="AZ33" i="13"/>
  <c r="AZ31" i="13"/>
  <c r="BC32" i="14"/>
  <c r="BD38" i="14"/>
  <c r="BA31" i="11"/>
  <c r="BD31" i="11" s="1"/>
  <c r="AZ35" i="11"/>
  <c r="AZ29" i="16"/>
  <c r="BD40" i="16"/>
  <c r="BC62" i="14"/>
  <c r="BD21" i="14"/>
  <c r="BB47" i="14"/>
  <c r="AZ47" i="14"/>
  <c r="AZ29" i="14"/>
  <c r="BE29" i="14" s="1"/>
  <c r="BA62" i="13"/>
  <c r="BD62" i="13" s="1"/>
  <c r="BA24" i="13"/>
  <c r="BC24" i="13" s="1"/>
  <c r="BA57" i="13"/>
  <c r="BC57" i="13" s="1"/>
  <c r="AZ22" i="13"/>
  <c r="AZ57" i="13"/>
  <c r="BB13" i="13"/>
  <c r="AZ13" i="13"/>
  <c r="BB14" i="13"/>
  <c r="BC19" i="16"/>
  <c r="AW71" i="16"/>
  <c r="BC30" i="16"/>
  <c r="BD30" i="16"/>
  <c r="AU63" i="16" a="1"/>
  <c r="AU63" i="16" s="1"/>
  <c r="AU64" i="16" s="1"/>
  <c r="AW68" i="16"/>
  <c r="BB50" i="16"/>
  <c r="BA27" i="16"/>
  <c r="BE27" i="16" s="1"/>
  <c r="AZ28" i="16"/>
  <c r="BE54" i="16" s="1"/>
  <c r="AT63" i="16"/>
  <c r="AT72" i="16" s="1"/>
  <c r="AX63" i="16" a="1"/>
  <c r="AX63" i="16" s="1"/>
  <c r="AX64" i="16" s="1"/>
  <c r="AW63" i="16" a="1"/>
  <c r="AW63" i="16" s="1"/>
  <c r="AW72" i="16" s="1"/>
  <c r="AX63" i="15" a="1"/>
  <c r="AX63" i="15" s="1"/>
  <c r="AX64" i="15" s="1"/>
  <c r="AT63" i="15"/>
  <c r="AU63" i="15" a="1"/>
  <c r="AU63" i="15" s="1"/>
  <c r="AU64" i="15" s="1"/>
  <c r="AW63" i="15" a="1"/>
  <c r="AW63" i="15" s="1"/>
  <c r="AW72" i="15" s="1"/>
  <c r="BD56" i="14"/>
  <c r="BD51" i="14"/>
  <c r="AZ53" i="14"/>
  <c r="AT63" i="14"/>
  <c r="AT72" i="14" s="1"/>
  <c r="AW63" i="14" a="1"/>
  <c r="AW63" i="14" s="1"/>
  <c r="AW72" i="14" s="1"/>
  <c r="AU63" i="14" a="1"/>
  <c r="AU63" i="14" s="1"/>
  <c r="AU64" i="14" s="1"/>
  <c r="AX63" i="14" a="1"/>
  <c r="AX63" i="14" s="1"/>
  <c r="AX64" i="14" s="1"/>
  <c r="AQ63" i="13"/>
  <c r="AQ72" i="13" s="1"/>
  <c r="AQ73" i="13" s="1"/>
  <c r="AR63" i="13" a="1"/>
  <c r="AR63" i="13" s="1"/>
  <c r="AR64" i="13" s="1"/>
  <c r="AG83" i="13" a="1"/>
  <c r="AG83" i="13" s="1"/>
  <c r="AH83" i="13" a="1"/>
  <c r="AH83" i="13" s="1"/>
  <c r="AH84" i="13" s="1"/>
  <c r="AX31" i="13"/>
  <c r="AM83" i="13" a="1"/>
  <c r="AM83" i="13" s="1"/>
  <c r="AM84" i="13" s="1"/>
  <c r="AL83" i="13" a="1"/>
  <c r="AL83" i="13" s="1"/>
  <c r="AT63" i="11"/>
  <c r="AT72" i="11" s="1"/>
  <c r="BC43" i="14"/>
  <c r="BB53" i="16"/>
  <c r="BD40" i="14"/>
  <c r="BB46" i="11"/>
  <c r="BB29" i="11"/>
  <c r="BA33" i="11"/>
  <c r="BD33" i="11" s="1"/>
  <c r="BA28" i="14"/>
  <c r="BC28" i="14" s="1"/>
  <c r="AT68" i="16"/>
  <c r="AZ53" i="16"/>
  <c r="BC22" i="16"/>
  <c r="BC42" i="16"/>
  <c r="AT71" i="16"/>
  <c r="BB46" i="16"/>
  <c r="BB27" i="16"/>
  <c r="BA28" i="16"/>
  <c r="BD28" i="16" s="1"/>
  <c r="BD19" i="11"/>
  <c r="AZ27" i="11"/>
  <c r="BE56" i="11" s="1"/>
  <c r="BB45" i="11"/>
  <c r="BA29" i="11"/>
  <c r="BD29" i="11" s="1"/>
  <c r="AZ49" i="11"/>
  <c r="AZ33" i="11"/>
  <c r="BB34" i="11"/>
  <c r="AZ51" i="11"/>
  <c r="AZ38" i="11"/>
  <c r="BB52" i="11"/>
  <c r="AZ53" i="11"/>
  <c r="BD11" i="11"/>
  <c r="BC17" i="11"/>
  <c r="BC24" i="11"/>
  <c r="BA45" i="15"/>
  <c r="BC45" i="15" s="1"/>
  <c r="AZ47" i="15"/>
  <c r="BD22" i="15"/>
  <c r="BB47" i="15"/>
  <c r="BA27" i="15"/>
  <c r="BC27" i="15" s="1"/>
  <c r="BC29" i="15"/>
  <c r="BD29" i="15"/>
  <c r="BD40" i="15"/>
  <c r="AW67" i="15"/>
  <c r="BB53" i="15"/>
  <c r="AT68" i="15"/>
  <c r="AT71" i="15"/>
  <c r="AW68" i="15"/>
  <c r="BC62" i="15"/>
  <c r="AT72" i="15"/>
  <c r="AT70" i="14"/>
  <c r="BC23" i="14"/>
  <c r="BD34" i="14"/>
  <c r="AW70" i="14"/>
  <c r="AT71" i="14"/>
  <c r="BD49" i="14"/>
  <c r="BC13" i="14"/>
  <c r="BC48" i="14"/>
  <c r="BD52" i="14"/>
  <c r="BD50" i="14"/>
  <c r="AT68" i="14"/>
  <c r="AW71" i="14"/>
  <c r="AT67" i="14"/>
  <c r="BD35" i="14"/>
  <c r="BC15" i="14"/>
  <c r="BC44" i="14"/>
  <c r="BD33" i="14"/>
  <c r="BB27" i="14"/>
  <c r="BC42" i="14"/>
  <c r="BA53" i="14"/>
  <c r="BC53" i="14" s="1"/>
  <c r="AW68" i="14"/>
  <c r="AW67" i="14"/>
  <c r="BA30" i="14"/>
  <c r="BE30" i="14" s="1"/>
  <c r="BC27" i="14"/>
  <c r="BD27" i="14"/>
  <c r="AT27" i="13"/>
  <c r="AW48" i="13"/>
  <c r="AZ48" i="13" s="1"/>
  <c r="AX48" i="13"/>
  <c r="BA48" i="13" s="1"/>
  <c r="BC48" i="13" s="1"/>
  <c r="AY48" i="13"/>
  <c r="BB48" i="13" s="1"/>
  <c r="AU28" i="13"/>
  <c r="AW46" i="13"/>
  <c r="AY46" i="13"/>
  <c r="AU27" i="13"/>
  <c r="AV45" i="13"/>
  <c r="BB45" i="13" s="1"/>
  <c r="AT45" i="13"/>
  <c r="AZ45" i="13" s="1"/>
  <c r="AW29" i="13"/>
  <c r="AZ29" i="13" s="1"/>
  <c r="AZ24" i="13"/>
  <c r="AZ12" i="13"/>
  <c r="AZ38" i="13"/>
  <c r="AZ47" i="13"/>
  <c r="AZ50" i="13"/>
  <c r="BB11" i="13"/>
  <c r="AZ44" i="13"/>
  <c r="BB21" i="13"/>
  <c r="BB58" i="13"/>
  <c r="BB26" i="13"/>
  <c r="AY29" i="13"/>
  <c r="AZ51" i="13"/>
  <c r="BA55" i="13"/>
  <c r="BD55" i="13" s="1"/>
  <c r="BA20" i="13"/>
  <c r="BD20" i="13" s="1"/>
  <c r="BA14" i="13"/>
  <c r="BD14" i="13" s="1"/>
  <c r="BA13" i="13"/>
  <c r="BC13" i="13" s="1"/>
  <c r="AX29" i="13"/>
  <c r="BA29" i="13" s="1"/>
  <c r="BC29" i="13" s="1"/>
  <c r="AW28" i="13"/>
  <c r="AU59" i="13"/>
  <c r="BA59" i="13" s="1"/>
  <c r="BD59" i="13" s="1"/>
  <c r="AT59" i="13"/>
  <c r="AX60" i="13"/>
  <c r="AW60" i="13"/>
  <c r="AW27" i="13"/>
  <c r="AX28" i="13"/>
  <c r="AV59" i="13"/>
  <c r="BB59" i="13" s="1"/>
  <c r="AY28" i="13"/>
  <c r="AZ62" i="13"/>
  <c r="BA58" i="13"/>
  <c r="BD58" i="13" s="1"/>
  <c r="BB25" i="13"/>
  <c r="AY60" i="13"/>
  <c r="BB60" i="13" s="1"/>
  <c r="AW59" i="13"/>
  <c r="BB17" i="13"/>
  <c r="BB42" i="13"/>
  <c r="AZ39" i="13"/>
  <c r="BA33" i="13"/>
  <c r="BD33" i="13" s="1"/>
  <c r="BB41" i="13"/>
  <c r="BA54" i="13"/>
  <c r="BD54" i="13" s="1"/>
  <c r="BA44" i="13"/>
  <c r="BC44" i="13" s="1"/>
  <c r="BB51" i="13"/>
  <c r="BA12" i="13"/>
  <c r="BC12" i="13" s="1"/>
  <c r="AT46" i="13"/>
  <c r="AZ25" i="13"/>
  <c r="AU46" i="13"/>
  <c r="AV46" i="13"/>
  <c r="BA25" i="13"/>
  <c r="BC25" i="13" s="1"/>
  <c r="AT61" i="13"/>
  <c r="AZ61" i="13" s="1"/>
  <c r="AX30" i="13"/>
  <c r="BA30" i="13" s="1"/>
  <c r="AX49" i="13"/>
  <c r="BA49" i="13" s="1"/>
  <c r="BC49" i="13" s="1"/>
  <c r="AY49" i="13"/>
  <c r="BB49" i="13" s="1"/>
  <c r="AU60" i="13"/>
  <c r="BA60" i="13" s="1"/>
  <c r="BC60" i="13" s="1"/>
  <c r="AT60" i="13"/>
  <c r="AW49" i="13"/>
  <c r="AZ49" i="13" s="1"/>
  <c r="AY30" i="13"/>
  <c r="BB30" i="13" s="1"/>
  <c r="AY50" i="13"/>
  <c r="BB50" i="13" s="1"/>
  <c r="AX27" i="13"/>
  <c r="AV28" i="13"/>
  <c r="BB28" i="13" s="1"/>
  <c r="BA38" i="13"/>
  <c r="BC38" i="13" s="1"/>
  <c r="AT28" i="13"/>
  <c r="AZ28" i="13" s="1"/>
  <c r="AW30" i="13"/>
  <c r="AZ30" i="13" s="1"/>
  <c r="BB44" i="13"/>
  <c r="AV61" i="13"/>
  <c r="BB61" i="13" s="1"/>
  <c r="AU61" i="13"/>
  <c r="BA61" i="13" s="1"/>
  <c r="BD61" i="13" s="1"/>
  <c r="AX50" i="13"/>
  <c r="BA50" i="13" s="1"/>
  <c r="AY27" i="13"/>
  <c r="BB9" i="13"/>
  <c r="BB35" i="11"/>
  <c r="BA35" i="11"/>
  <c r="BC35" i="11" s="1"/>
  <c r="BC29" i="11"/>
  <c r="BC57" i="11"/>
  <c r="BD57" i="11"/>
  <c r="BC12" i="11"/>
  <c r="BC14" i="11"/>
  <c r="BD62" i="11"/>
  <c r="BD21" i="11"/>
  <c r="BB47" i="11"/>
  <c r="BA46" i="11"/>
  <c r="BC46" i="11" s="1"/>
  <c r="BA47" i="11"/>
  <c r="BC47" i="11" s="1"/>
  <c r="AZ29" i="11"/>
  <c r="AZ34" i="11"/>
  <c r="BD61" i="11"/>
  <c r="BA27" i="11"/>
  <c r="BD27" i="11" s="1"/>
  <c r="AZ46" i="11"/>
  <c r="BE46" i="11" s="1"/>
  <c r="AZ45" i="11"/>
  <c r="BA45" i="11"/>
  <c r="BA50" i="11"/>
  <c r="BC50" i="11" s="1"/>
  <c r="BC22" i="11"/>
  <c r="BC10" i="11"/>
  <c r="BC20" i="11"/>
  <c r="BC16" i="11"/>
  <c r="BB27" i="11"/>
  <c r="AW53" i="13"/>
  <c r="AZ53" i="13" s="1"/>
  <c r="AX53" i="13"/>
  <c r="BA53" i="13" s="1"/>
  <c r="AZ55" i="13"/>
  <c r="BB54" i="13"/>
  <c r="BB37" i="13"/>
  <c r="BB43" i="13"/>
  <c r="BB39" i="13"/>
  <c r="BA37" i="13"/>
  <c r="BD37" i="13" s="1"/>
  <c r="BB40" i="13"/>
  <c r="BA34" i="13"/>
  <c r="BC34" i="13" s="1"/>
  <c r="BA35" i="13"/>
  <c r="BD35" i="13" s="1"/>
  <c r="BA42" i="13"/>
  <c r="BD42" i="13" s="1"/>
  <c r="BB33" i="13"/>
  <c r="BD26" i="15"/>
  <c r="BD29" i="14"/>
  <c r="BC29" i="14"/>
  <c r="BD36" i="14"/>
  <c r="BC36" i="14"/>
  <c r="BC61" i="14"/>
  <c r="BD61" i="14"/>
  <c r="BC22" i="14"/>
  <c r="BD22" i="14"/>
  <c r="BD31" i="14"/>
  <c r="BC31" i="14"/>
  <c r="BC55" i="14"/>
  <c r="BD55" i="14"/>
  <c r="BD16" i="14"/>
  <c r="BC16" i="14"/>
  <c r="BD37" i="14"/>
  <c r="BC37" i="14"/>
  <c r="BD28" i="14"/>
  <c r="BD14" i="14"/>
  <c r="BC14" i="14"/>
  <c r="BD39" i="14"/>
  <c r="BC39" i="14"/>
  <c r="BC24" i="14"/>
  <c r="BD24" i="14"/>
  <c r="BC18" i="13"/>
  <c r="BD18" i="13"/>
  <c r="BD38" i="13"/>
  <c r="BC17" i="13"/>
  <c r="BC56" i="13"/>
  <c r="BC26" i="13"/>
  <c r="BD26" i="13"/>
  <c r="BD19" i="13"/>
  <c r="BC19" i="13"/>
  <c r="BD44" i="13"/>
  <c r="BD24" i="13"/>
  <c r="BD43" i="13"/>
  <c r="BC16" i="13"/>
  <c r="BC41" i="13"/>
  <c r="BD10" i="13"/>
  <c r="BC10" i="13"/>
  <c r="BC15" i="13"/>
  <c r="BD15" i="13"/>
  <c r="BC23" i="13"/>
  <c r="BD23" i="13"/>
  <c r="BC40" i="13"/>
  <c r="BC55" i="13"/>
  <c r="BC39" i="13"/>
  <c r="BD39" i="13"/>
  <c r="BD25" i="11"/>
  <c r="BD15" i="11"/>
  <c r="BD18" i="11"/>
  <c r="AU63" i="11" a="1"/>
  <c r="AU63" i="11" s="1"/>
  <c r="AU64" i="11" s="1"/>
  <c r="BC23" i="11"/>
  <c r="AW63" i="11" a="1"/>
  <c r="AW63" i="11" s="1"/>
  <c r="AW72" i="11" s="1"/>
  <c r="BA28" i="11"/>
  <c r="BD28" i="11" s="1"/>
  <c r="AZ28" i="11"/>
  <c r="AW68" i="11"/>
  <c r="BD26" i="11"/>
  <c r="BA53" i="11"/>
  <c r="BC53" i="11" s="1"/>
  <c r="AT70" i="16"/>
  <c r="AT67" i="16"/>
  <c r="AW71" i="15"/>
  <c r="AW70" i="15"/>
  <c r="AT68" i="11"/>
  <c r="AT67" i="11"/>
  <c r="AW71" i="11"/>
  <c r="AX63" i="11" a="1"/>
  <c r="AX63" i="11" s="1"/>
  <c r="AX64" i="11" s="1"/>
  <c r="AT71" i="11"/>
  <c r="AT70" i="11"/>
  <c r="AW70" i="11"/>
  <c r="AW67" i="11"/>
  <c r="BB53" i="11"/>
  <c r="BD42" i="11"/>
  <c r="BC42" i="11"/>
  <c r="BC43" i="11"/>
  <c r="BD43" i="11"/>
  <c r="BC36" i="11"/>
  <c r="BD36" i="11"/>
  <c r="BC40" i="11"/>
  <c r="BD40" i="11"/>
  <c r="BD38" i="11"/>
  <c r="BC38" i="11"/>
  <c r="BC51" i="11"/>
  <c r="BD44" i="11"/>
  <c r="BC44" i="11"/>
  <c r="BC54" i="11"/>
  <c r="BD54" i="11"/>
  <c r="BC37" i="11"/>
  <c r="BD37" i="11"/>
  <c r="BD56" i="11"/>
  <c r="BC56" i="11"/>
  <c r="BD48" i="11"/>
  <c r="BC48" i="11"/>
  <c r="BD49" i="11"/>
  <c r="BC49" i="11"/>
  <c r="BD55" i="11"/>
  <c r="BC55" i="11"/>
  <c r="BD52" i="11"/>
  <c r="BC52" i="11"/>
  <c r="BC41" i="11"/>
  <c r="BD41" i="11"/>
  <c r="BD30" i="11"/>
  <c r="BC30" i="11"/>
  <c r="BD34" i="11"/>
  <c r="BC34" i="11"/>
  <c r="BC60" i="11"/>
  <c r="BD60" i="11"/>
  <c r="BC32" i="11"/>
  <c r="BD32" i="11"/>
  <c r="BD58" i="11"/>
  <c r="BC58" i="11"/>
  <c r="BD59" i="11"/>
  <c r="BC59" i="11"/>
  <c r="BC39" i="11"/>
  <c r="BD39" i="11"/>
  <c r="BD49" i="16"/>
  <c r="BC49" i="16"/>
  <c r="BC60" i="16"/>
  <c r="BD60" i="16"/>
  <c r="BD48" i="16"/>
  <c r="BC48" i="16"/>
  <c r="BC44" i="16"/>
  <c r="BD44" i="16"/>
  <c r="BD52" i="16"/>
  <c r="BC52" i="16"/>
  <c r="BD32" i="16"/>
  <c r="BC32" i="16"/>
  <c r="BD33" i="16"/>
  <c r="BC33" i="16"/>
  <c r="BC50" i="16"/>
  <c r="BD50" i="16"/>
  <c r="BD59" i="16"/>
  <c r="BC59" i="16"/>
  <c r="BD58" i="16"/>
  <c r="BC58" i="16"/>
  <c r="AQ73" i="16"/>
  <c r="BA43" i="16"/>
  <c r="AZ30" i="16"/>
  <c r="AZ43" i="16"/>
  <c r="BE31" i="16" s="1"/>
  <c r="AT67" i="15"/>
  <c r="AZ53" i="15"/>
  <c r="BE53" i="15" s="1"/>
  <c r="BC46" i="15"/>
  <c r="BD46" i="15"/>
  <c r="BD47" i="15"/>
  <c r="BC47" i="15"/>
  <c r="BD45" i="15"/>
  <c r="BA28" i="15"/>
  <c r="BB28" i="15"/>
  <c r="AZ28" i="15"/>
  <c r="BE33" i="15" s="1"/>
  <c r="BD13" i="15"/>
  <c r="BC13" i="15"/>
  <c r="BD59" i="15"/>
  <c r="BC59" i="15"/>
  <c r="BD42" i="15"/>
  <c r="BC42" i="15"/>
  <c r="BD34" i="15"/>
  <c r="BC34" i="15"/>
  <c r="BD24" i="15"/>
  <c r="BC24" i="15"/>
  <c r="BD48" i="15"/>
  <c r="BC48" i="15"/>
  <c r="BC56" i="15"/>
  <c r="BD56" i="15"/>
  <c r="BD39" i="15"/>
  <c r="BC39" i="15"/>
  <c r="BD31" i="15"/>
  <c r="BC31" i="15"/>
  <c r="BD51" i="15"/>
  <c r="BC51" i="15"/>
  <c r="BC52" i="15"/>
  <c r="BD52" i="15"/>
  <c r="BC16" i="15"/>
  <c r="BD16" i="15"/>
  <c r="BD57" i="15"/>
  <c r="BC57" i="15"/>
  <c r="BC44" i="15"/>
  <c r="BD44" i="15"/>
  <c r="BD32" i="15"/>
  <c r="BC32" i="15"/>
  <c r="BD33" i="15"/>
  <c r="BC33" i="15"/>
  <c r="BC50" i="15"/>
  <c r="BD50" i="15"/>
  <c r="BC18" i="15"/>
  <c r="BD18" i="15"/>
  <c r="BC49" i="15"/>
  <c r="BD49" i="15"/>
  <c r="BD55" i="15"/>
  <c r="BC55" i="15"/>
  <c r="BD38" i="15"/>
  <c r="BC38" i="15"/>
  <c r="BD30" i="15"/>
  <c r="BC30" i="15"/>
  <c r="BD20" i="15"/>
  <c r="BC20" i="15"/>
  <c r="BC60" i="15"/>
  <c r="BD60" i="15"/>
  <c r="BD43" i="15"/>
  <c r="BC43" i="15"/>
  <c r="BD35" i="15"/>
  <c r="BC35" i="15"/>
  <c r="BD23" i="15"/>
  <c r="BC23" i="15"/>
  <c r="BC58" i="15"/>
  <c r="BD58" i="15"/>
  <c r="BD41" i="15"/>
  <c r="BC41" i="15"/>
  <c r="BC54" i="15"/>
  <c r="BD54" i="15"/>
  <c r="BC61" i="15"/>
  <c r="BD61" i="15"/>
  <c r="BD36" i="15"/>
  <c r="BC36" i="15"/>
  <c r="BC12" i="15"/>
  <c r="BD12" i="15"/>
  <c r="BD37" i="15"/>
  <c r="BC37" i="15"/>
  <c r="BA53" i="15"/>
  <c r="BC9" i="16"/>
  <c r="BD9" i="16"/>
  <c r="AQ73" i="15"/>
  <c r="BC9" i="15"/>
  <c r="BD9" i="15"/>
  <c r="AQ73" i="14"/>
  <c r="BC9" i="14"/>
  <c r="BD9" i="14"/>
  <c r="BA9" i="13"/>
  <c r="AZ9" i="13"/>
  <c r="BD9" i="11"/>
  <c r="BC9" i="11"/>
  <c r="AQ73" i="11"/>
  <c r="BC56" i="16"/>
  <c r="BD51" i="16"/>
  <c r="BD37" i="16"/>
  <c r="BC54" i="16"/>
  <c r="BD57" i="16"/>
  <c r="BD39" i="16"/>
  <c r="BD53" i="16"/>
  <c r="BD36" i="16"/>
  <c r="BC31" i="16"/>
  <c r="BC35" i="16"/>
  <c r="BD29" i="16"/>
  <c r="BC29" i="16"/>
  <c r="BD41" i="16"/>
  <c r="BC41" i="16"/>
  <c r="BC52" i="13" l="1"/>
  <c r="BD52" i="13"/>
  <c r="BE38" i="11"/>
  <c r="BE28" i="11"/>
  <c r="BB46" i="13"/>
  <c r="BE47" i="11"/>
  <c r="BE36" i="15"/>
  <c r="BE32" i="11"/>
  <c r="BE16" i="15"/>
  <c r="BE57" i="15"/>
  <c r="BE49" i="14"/>
  <c r="BE44" i="11"/>
  <c r="BE35" i="16"/>
  <c r="BE15" i="11"/>
  <c r="BE19" i="16"/>
  <c r="BE60" i="16"/>
  <c r="BE18" i="15"/>
  <c r="BE55" i="16"/>
  <c r="BE60" i="14"/>
  <c r="BE24" i="11"/>
  <c r="BE48" i="15"/>
  <c r="BE39" i="11"/>
  <c r="BE12" i="16"/>
  <c r="BE11" i="14"/>
  <c r="BE37" i="11"/>
  <c r="BE56" i="14"/>
  <c r="BE37" i="15"/>
  <c r="BE14" i="15"/>
  <c r="BE42" i="11"/>
  <c r="BD53" i="14"/>
  <c r="BE45" i="11"/>
  <c r="BA46" i="13"/>
  <c r="BC46" i="13" s="1"/>
  <c r="BE33" i="11"/>
  <c r="BE30" i="11"/>
  <c r="BE40" i="16"/>
  <c r="BE41" i="14"/>
  <c r="BE48" i="16"/>
  <c r="BE38" i="16"/>
  <c r="BE24" i="16"/>
  <c r="BE62" i="14"/>
  <c r="BE41" i="11"/>
  <c r="BE45" i="16"/>
  <c r="BE33" i="16"/>
  <c r="BE28" i="14"/>
  <c r="BE52" i="16"/>
  <c r="BE48" i="11"/>
  <c r="BE13" i="11"/>
  <c r="BE43" i="15"/>
  <c r="BE22" i="15"/>
  <c r="BE59" i="14"/>
  <c r="BE60" i="11"/>
  <c r="BE54" i="15"/>
  <c r="BE56" i="16"/>
  <c r="BE14" i="16"/>
  <c r="BE42" i="14"/>
  <c r="BE34" i="16"/>
  <c r="BE62" i="16"/>
  <c r="BE40" i="14"/>
  <c r="BE39" i="15"/>
  <c r="BE52" i="11"/>
  <c r="BE35" i="15"/>
  <c r="BE45" i="15"/>
  <c r="BE18" i="11"/>
  <c r="BE13" i="15"/>
  <c r="BC22" i="13"/>
  <c r="BE53" i="14"/>
  <c r="BE19" i="15"/>
  <c r="BE30" i="15"/>
  <c r="BE17" i="16"/>
  <c r="BE22" i="14"/>
  <c r="BE23" i="15"/>
  <c r="BE34" i="14"/>
  <c r="BE32" i="15"/>
  <c r="BE32" i="14"/>
  <c r="BE52" i="15"/>
  <c r="BE48" i="14"/>
  <c r="BE12" i="11"/>
  <c r="BE57" i="16"/>
  <c r="BE21" i="16"/>
  <c r="BE14" i="14"/>
  <c r="BE44" i="16"/>
  <c r="BE9" i="15"/>
  <c r="BE59" i="16"/>
  <c r="BE29" i="15"/>
  <c r="BE19" i="14"/>
  <c r="BE27" i="15"/>
  <c r="BE34" i="15"/>
  <c r="BE43" i="14"/>
  <c r="BE38" i="15"/>
  <c r="BE49" i="11"/>
  <c r="BE11" i="11"/>
  <c r="BE43" i="16"/>
  <c r="BE53" i="11"/>
  <c r="BE29" i="16"/>
  <c r="BE55" i="11"/>
  <c r="BE41" i="15"/>
  <c r="BE21" i="15"/>
  <c r="BE15" i="16"/>
  <c r="BE51" i="15"/>
  <c r="BE20" i="14"/>
  <c r="BE25" i="15"/>
  <c r="BE18" i="14"/>
  <c r="BE60" i="15"/>
  <c r="BE26" i="14"/>
  <c r="BE40" i="11"/>
  <c r="BE32" i="16"/>
  <c r="BE61" i="16"/>
  <c r="BE21" i="14"/>
  <c r="BE51" i="16"/>
  <c r="BE9" i="14"/>
  <c r="BE58" i="15"/>
  <c r="BE50" i="14"/>
  <c r="BE12" i="15"/>
  <c r="BE46" i="15"/>
  <c r="BE30" i="16"/>
  <c r="BC28" i="11"/>
  <c r="BE34" i="11"/>
  <c r="BE27" i="11"/>
  <c r="BE53" i="16"/>
  <c r="BE28" i="16"/>
  <c r="BE35" i="11"/>
  <c r="BE27" i="14"/>
  <c r="BE31" i="14"/>
  <c r="BE57" i="14"/>
  <c r="BE31" i="15"/>
  <c r="BE20" i="15"/>
  <c r="BE23" i="11"/>
  <c r="BE37" i="14"/>
  <c r="BE59" i="15"/>
  <c r="BE33" i="14"/>
  <c r="BE40" i="15"/>
  <c r="BE25" i="14"/>
  <c r="BE10" i="16"/>
  <c r="BE16" i="14"/>
  <c r="BE61" i="15"/>
  <c r="BE50" i="15"/>
  <c r="BE26" i="16"/>
  <c r="BE22" i="11"/>
  <c r="BE11" i="15"/>
  <c r="BE41" i="16"/>
  <c r="BE10" i="15"/>
  <c r="BE45" i="14"/>
  <c r="BE57" i="11"/>
  <c r="BE20" i="16"/>
  <c r="BE54" i="11"/>
  <c r="BE38" i="14"/>
  <c r="BE14" i="11"/>
  <c r="BE55" i="15"/>
  <c r="BE42" i="16"/>
  <c r="BE20" i="11"/>
  <c r="BE13" i="14"/>
  <c r="BE44" i="15"/>
  <c r="BE23" i="16"/>
  <c r="BE16" i="16"/>
  <c r="BE25" i="11"/>
  <c r="BE47" i="16"/>
  <c r="BE23" i="14"/>
  <c r="BE42" i="15"/>
  <c r="BE9" i="11"/>
  <c r="BE46" i="14"/>
  <c r="BE16" i="11"/>
  <c r="BE10" i="11"/>
  <c r="BE22" i="16"/>
  <c r="BE61" i="14"/>
  <c r="BE26" i="11"/>
  <c r="BE58" i="14"/>
  <c r="BE17" i="11"/>
  <c r="BE49" i="16"/>
  <c r="BE31" i="11"/>
  <c r="AZ63" i="15" a="1"/>
  <c r="BE28" i="15"/>
  <c r="BE29" i="11"/>
  <c r="BD60" i="13"/>
  <c r="BE47" i="15"/>
  <c r="BE51" i="11"/>
  <c r="AZ63" i="14" a="1"/>
  <c r="BE47" i="14"/>
  <c r="BE62" i="11"/>
  <c r="BE24" i="14"/>
  <c r="BE43" i="11"/>
  <c r="BE17" i="15"/>
  <c r="BE56" i="15"/>
  <c r="BE51" i="14"/>
  <c r="BE19" i="11"/>
  <c r="BE24" i="15"/>
  <c r="BE36" i="11"/>
  <c r="BE13" i="16"/>
  <c r="BE59" i="11"/>
  <c r="BE49" i="15"/>
  <c r="BE62" i="15"/>
  <c r="BE37" i="16"/>
  <c r="BE50" i="11"/>
  <c r="BE61" i="11"/>
  <c r="BE26" i="15"/>
  <c r="BE21" i="11"/>
  <c r="BE25" i="16"/>
  <c r="BE35" i="14"/>
  <c r="BE58" i="11"/>
  <c r="BE55" i="14"/>
  <c r="BE52" i="14"/>
  <c r="BE15" i="15"/>
  <c r="BE39" i="14"/>
  <c r="BC33" i="11"/>
  <c r="BC32" i="13"/>
  <c r="BD57" i="13"/>
  <c r="BC14" i="13"/>
  <c r="BC62" i="13"/>
  <c r="AZ46" i="13"/>
  <c r="BB29" i="13"/>
  <c r="BE29" i="13" s="1"/>
  <c r="BC47" i="13"/>
  <c r="BD47" i="13"/>
  <c r="AZ67" i="16"/>
  <c r="AW73" i="16"/>
  <c r="AZ68" i="16"/>
  <c r="AZ67" i="14"/>
  <c r="BD46" i="14"/>
  <c r="BD47" i="14"/>
  <c r="AW70" i="13"/>
  <c r="BC33" i="13"/>
  <c r="BD11" i="13"/>
  <c r="BC21" i="13"/>
  <c r="BB27" i="13"/>
  <c r="BC36" i="13"/>
  <c r="BC59" i="13"/>
  <c r="BD12" i="13"/>
  <c r="BA31" i="13"/>
  <c r="BD31" i="13" s="1"/>
  <c r="BD13" i="13"/>
  <c r="BA28" i="13"/>
  <c r="BC28" i="13" s="1"/>
  <c r="BD45" i="13"/>
  <c r="BC45" i="13"/>
  <c r="BC20" i="13"/>
  <c r="BC31" i="11"/>
  <c r="AT71" i="13"/>
  <c r="BC54" i="13"/>
  <c r="BD49" i="13"/>
  <c r="BA27" i="13"/>
  <c r="BC27" i="13" s="1"/>
  <c r="AZ60" i="13"/>
  <c r="AZ70" i="14"/>
  <c r="AZ63" i="14"/>
  <c r="AZ69" i="14" s="1"/>
  <c r="AZ63" i="15"/>
  <c r="AZ68" i="14"/>
  <c r="AZ72" i="14"/>
  <c r="BC35" i="13"/>
  <c r="AZ72" i="16"/>
  <c r="AZ63" i="16" a="1"/>
  <c r="AZ63" i="16" s="1"/>
  <c r="AZ71" i="16" s="1"/>
  <c r="BD27" i="16"/>
  <c r="BC27" i="16"/>
  <c r="BA63" i="16" a="1"/>
  <c r="BA63" i="16" s="1"/>
  <c r="BA64" i="16" s="1"/>
  <c r="BA63" i="15" a="1"/>
  <c r="BA63" i="15" s="1"/>
  <c r="BA64" i="15" s="1"/>
  <c r="BA63" i="14" a="1"/>
  <c r="BA63" i="14" s="1"/>
  <c r="BA64" i="14" s="1"/>
  <c r="AW63" i="13" a="1"/>
  <c r="AW63" i="13" s="1"/>
  <c r="AW72" i="13" s="1"/>
  <c r="AU63" i="13" a="1"/>
  <c r="AU63" i="13" s="1"/>
  <c r="AU64" i="13" s="1"/>
  <c r="AX63" i="13" a="1"/>
  <c r="AX63" i="13" s="1"/>
  <c r="AX64" i="13" s="1"/>
  <c r="AT63" i="13"/>
  <c r="BA63" i="13" a="1"/>
  <c r="AZ63" i="11" a="1"/>
  <c r="BA63" i="11" a="1"/>
  <c r="BA63" i="11" s="1"/>
  <c r="BA64" i="11" s="1"/>
  <c r="AT73" i="14"/>
  <c r="AZ70" i="16"/>
  <c r="BC28" i="16"/>
  <c r="AT70" i="13"/>
  <c r="BD51" i="13"/>
  <c r="BD48" i="13"/>
  <c r="BC58" i="13"/>
  <c r="BD25" i="13"/>
  <c r="AW71" i="13"/>
  <c r="BD27" i="13"/>
  <c r="BD46" i="13"/>
  <c r="BC37" i="13"/>
  <c r="BC61" i="13"/>
  <c r="AT67" i="13"/>
  <c r="AT68" i="13"/>
  <c r="AT72" i="13"/>
  <c r="AZ27" i="13"/>
  <c r="BE51" i="13" s="1"/>
  <c r="BD35" i="11"/>
  <c r="BD46" i="11"/>
  <c r="BD50" i="11"/>
  <c r="BC27" i="11"/>
  <c r="BD47" i="11"/>
  <c r="AZ63" i="11"/>
  <c r="AZ71" i="11" s="1"/>
  <c r="BD27" i="15"/>
  <c r="AZ67" i="15"/>
  <c r="AZ68" i="15"/>
  <c r="AW73" i="15"/>
  <c r="AW73" i="14"/>
  <c r="BC30" i="14"/>
  <c r="BC68" i="14" s="1"/>
  <c r="BD30" i="14"/>
  <c r="AZ59" i="13"/>
  <c r="BE59" i="13" s="1"/>
  <c r="BD28" i="13"/>
  <c r="AW68" i="13"/>
  <c r="AW67" i="13"/>
  <c r="BD29" i="13"/>
  <c r="BC30" i="13"/>
  <c r="BD30" i="13"/>
  <c r="BC42" i="13"/>
  <c r="BD34" i="13"/>
  <c r="BC50" i="13"/>
  <c r="BD50" i="13"/>
  <c r="BD53" i="13"/>
  <c r="BC53" i="13"/>
  <c r="BC45" i="11"/>
  <c r="BD45" i="11"/>
  <c r="AZ70" i="11"/>
  <c r="BD53" i="11"/>
  <c r="AT73" i="16"/>
  <c r="AZ68" i="11"/>
  <c r="AZ72" i="11"/>
  <c r="AZ67" i="11"/>
  <c r="AW73" i="11"/>
  <c r="AT73" i="11"/>
  <c r="BC43" i="16"/>
  <c r="BD43" i="16"/>
  <c r="AT73" i="15"/>
  <c r="AZ70" i="15"/>
  <c r="AZ72" i="15"/>
  <c r="AZ69" i="15"/>
  <c r="BD28" i="15"/>
  <c r="BC28" i="15"/>
  <c r="BD53" i="15"/>
  <c r="BC53" i="15"/>
  <c r="BD9" i="13"/>
  <c r="BC9" i="13"/>
  <c r="BE13" i="13" l="1"/>
  <c r="BE61" i="13"/>
  <c r="BE36" i="13"/>
  <c r="BE10" i="13"/>
  <c r="BE60" i="13"/>
  <c r="BE19" i="13"/>
  <c r="BE24" i="13"/>
  <c r="BE16" i="13"/>
  <c r="BE9" i="13"/>
  <c r="BE22" i="13"/>
  <c r="BE31" i="13"/>
  <c r="BE55" i="13"/>
  <c r="BE17" i="13"/>
  <c r="BE21" i="13"/>
  <c r="BE43" i="13"/>
  <c r="BE47" i="13"/>
  <c r="BE57" i="13"/>
  <c r="BE20" i="13"/>
  <c r="BE25" i="13"/>
  <c r="BE35" i="13"/>
  <c r="BE27" i="13"/>
  <c r="BE32" i="13"/>
  <c r="BE48" i="13"/>
  <c r="BE56" i="13"/>
  <c r="BE52" i="13"/>
  <c r="BE62" i="13"/>
  <c r="BE18" i="13"/>
  <c r="BE37" i="13"/>
  <c r="BE50" i="13"/>
  <c r="BE23" i="13"/>
  <c r="BE42" i="13"/>
  <c r="BE28" i="13"/>
  <c r="BE26" i="13"/>
  <c r="BE45" i="13"/>
  <c r="BE11" i="13"/>
  <c r="BE15" i="13"/>
  <c r="BE54" i="13"/>
  <c r="BE34" i="13"/>
  <c r="BE46" i="13"/>
  <c r="BE44" i="13"/>
  <c r="BE14" i="13"/>
  <c r="BE38" i="13"/>
  <c r="BE33" i="13"/>
  <c r="BE40" i="13"/>
  <c r="BE30" i="13"/>
  <c r="BE49" i="13"/>
  <c r="BE41" i="13"/>
  <c r="BE58" i="13"/>
  <c r="BE12" i="13"/>
  <c r="BE39" i="13"/>
  <c r="BE53" i="13"/>
  <c r="BC71" i="16"/>
  <c r="BF13" i="14"/>
  <c r="BF47" i="14"/>
  <c r="BF37" i="14"/>
  <c r="BF9" i="14"/>
  <c r="BL9" i="14" s="1"/>
  <c r="BC71" i="14"/>
  <c r="BF49" i="14"/>
  <c r="BF29" i="14"/>
  <c r="BF42" i="14"/>
  <c r="BF14" i="14"/>
  <c r="BF26" i="14"/>
  <c r="BF21" i="14"/>
  <c r="BF17" i="14"/>
  <c r="BF22" i="14"/>
  <c r="BF58" i="14"/>
  <c r="BF34" i="14"/>
  <c r="BF44" i="14"/>
  <c r="BF11" i="14"/>
  <c r="BC31" i="13"/>
  <c r="BC71" i="13" s="1"/>
  <c r="BA63" i="13"/>
  <c r="BA64" i="13" s="1"/>
  <c r="AZ69" i="11"/>
  <c r="AZ73" i="11" s="1"/>
  <c r="AZ71" i="14"/>
  <c r="AZ73" i="14" s="1"/>
  <c r="BF57" i="14"/>
  <c r="BI57" i="14" s="1"/>
  <c r="BF41" i="14"/>
  <c r="BF33" i="14"/>
  <c r="BI33" i="14" s="1"/>
  <c r="BF52" i="14"/>
  <c r="BF54" i="14"/>
  <c r="BF18" i="14"/>
  <c r="BF10" i="14"/>
  <c r="BF53" i="14"/>
  <c r="BF38" i="14"/>
  <c r="BF30" i="14"/>
  <c r="BF62" i="14"/>
  <c r="BF25" i="14"/>
  <c r="BF15" i="14"/>
  <c r="BF59" i="14"/>
  <c r="BF55" i="14"/>
  <c r="BF43" i="14"/>
  <c r="BF39" i="14"/>
  <c r="BF35" i="14"/>
  <c r="BF31" i="14"/>
  <c r="BF27" i="14"/>
  <c r="BF61" i="14"/>
  <c r="BH61" i="14" s="1"/>
  <c r="BF50" i="14"/>
  <c r="BF24" i="14"/>
  <c r="BH24" i="14" s="1"/>
  <c r="BF20" i="14"/>
  <c r="BF16" i="14"/>
  <c r="BH16" i="14" s="1"/>
  <c r="BF12" i="14"/>
  <c r="BF60" i="14"/>
  <c r="BI60" i="14" s="1"/>
  <c r="BF56" i="14"/>
  <c r="BF45" i="14"/>
  <c r="BJ45" i="14" s="1"/>
  <c r="BF40" i="14"/>
  <c r="BF36" i="14"/>
  <c r="BI36" i="14" s="1"/>
  <c r="BF32" i="14"/>
  <c r="BF28" i="14"/>
  <c r="BI28" i="14" s="1"/>
  <c r="BF48" i="14"/>
  <c r="BI48" i="14" s="1"/>
  <c r="BF51" i="14"/>
  <c r="BK51" i="14" s="1"/>
  <c r="BF46" i="14"/>
  <c r="BI46" i="14" s="1"/>
  <c r="BF23" i="14"/>
  <c r="BI23" i="14" s="1"/>
  <c r="BF19" i="14"/>
  <c r="BI19" i="14" s="1"/>
  <c r="BC67" i="14"/>
  <c r="BC70" i="14"/>
  <c r="BC69" i="16"/>
  <c r="AZ63" i="13" a="1"/>
  <c r="AZ63" i="13" s="1"/>
  <c r="AZ71" i="13" s="1"/>
  <c r="AT73" i="13"/>
  <c r="BC70" i="16"/>
  <c r="BF43" i="16"/>
  <c r="BJ43" i="16" s="1"/>
  <c r="BC67" i="16"/>
  <c r="BF57" i="16"/>
  <c r="BF51" i="16"/>
  <c r="BF58" i="16"/>
  <c r="BK58" i="16" s="1"/>
  <c r="BF20" i="16"/>
  <c r="BF46" i="16"/>
  <c r="BC68" i="16"/>
  <c r="BF24" i="16"/>
  <c r="BK24" i="16" s="1"/>
  <c r="AZ72" i="13"/>
  <c r="AZ68" i="13"/>
  <c r="AZ67" i="13"/>
  <c r="AZ70" i="13"/>
  <c r="AW73" i="13"/>
  <c r="BC71" i="11"/>
  <c r="BC70" i="11"/>
  <c r="BC67" i="11"/>
  <c r="BC68" i="11"/>
  <c r="BC69" i="11"/>
  <c r="BC69" i="15"/>
  <c r="BC68" i="15"/>
  <c r="BC70" i="15"/>
  <c r="BC67" i="15"/>
  <c r="BC71" i="15"/>
  <c r="BC69" i="14"/>
  <c r="BF23" i="11"/>
  <c r="BJ23" i="11" s="1"/>
  <c r="BF47" i="11"/>
  <c r="BJ47" i="11" s="1"/>
  <c r="BF16" i="11"/>
  <c r="BF44" i="11"/>
  <c r="BH44" i="11" s="1"/>
  <c r="BF54" i="11"/>
  <c r="BH54" i="11" s="1"/>
  <c r="BF15" i="11"/>
  <c r="BF45" i="11"/>
  <c r="BH45" i="11" s="1"/>
  <c r="BF28" i="11"/>
  <c r="BF24" i="11"/>
  <c r="BH24" i="11" s="1"/>
  <c r="BF62" i="11"/>
  <c r="BJ62" i="11" s="1"/>
  <c r="BF42" i="11"/>
  <c r="BH42" i="11" s="1"/>
  <c r="BF53" i="11"/>
  <c r="BK53" i="11" s="1"/>
  <c r="BF19" i="11"/>
  <c r="BF52" i="11"/>
  <c r="BH52" i="11" s="1"/>
  <c r="BF37" i="11"/>
  <c r="BJ37" i="11" s="1"/>
  <c r="BF36" i="11"/>
  <c r="BH36" i="11" s="1"/>
  <c r="BF57" i="11"/>
  <c r="BJ57" i="11" s="1"/>
  <c r="BF35" i="11"/>
  <c r="BH35" i="11" s="1"/>
  <c r="BF20" i="11"/>
  <c r="BF12" i="11"/>
  <c r="BF48" i="11"/>
  <c r="BJ48" i="11" s="1"/>
  <c r="BF33" i="11"/>
  <c r="BH33" i="11" s="1"/>
  <c r="BF34" i="11"/>
  <c r="BJ34" i="11" s="1"/>
  <c r="BF56" i="11"/>
  <c r="BH56" i="11" s="1"/>
  <c r="BF31" i="11"/>
  <c r="BI31" i="11" s="1"/>
  <c r="BF11" i="11"/>
  <c r="BF9" i="11"/>
  <c r="BF60" i="11"/>
  <c r="BJ60" i="11" s="1"/>
  <c r="BF46" i="11"/>
  <c r="BH46" i="11" s="1"/>
  <c r="BF43" i="11"/>
  <c r="BK43" i="11" s="1"/>
  <c r="BF29" i="11"/>
  <c r="BH29" i="11" s="1"/>
  <c r="BF40" i="11"/>
  <c r="BJ40" i="11" s="1"/>
  <c r="BF32" i="11"/>
  <c r="BH32" i="11" s="1"/>
  <c r="BF61" i="11"/>
  <c r="BJ61" i="11" s="1"/>
  <c r="BF55" i="11"/>
  <c r="BH55" i="11" s="1"/>
  <c r="BF49" i="11"/>
  <c r="BK49" i="11" s="1"/>
  <c r="BF26" i="11"/>
  <c r="BF22" i="11"/>
  <c r="BF18" i="11"/>
  <c r="BF14" i="11"/>
  <c r="BF10" i="11"/>
  <c r="BF59" i="11"/>
  <c r="BJ59" i="11" s="1"/>
  <c r="BF51" i="11"/>
  <c r="BH51" i="11" s="1"/>
  <c r="BF41" i="11"/>
  <c r="BJ41" i="11" s="1"/>
  <c r="BF27" i="11"/>
  <c r="BF38" i="11"/>
  <c r="BJ38" i="11" s="1"/>
  <c r="BF30" i="11"/>
  <c r="BJ30" i="11" s="1"/>
  <c r="BF58" i="11"/>
  <c r="BJ58" i="11" s="1"/>
  <c r="BF50" i="11"/>
  <c r="BH50" i="11" s="1"/>
  <c r="BF39" i="11"/>
  <c r="BI39" i="11" s="1"/>
  <c r="BF25" i="11"/>
  <c r="BF21" i="11"/>
  <c r="BF17" i="11"/>
  <c r="BF13" i="11"/>
  <c r="BF42" i="16"/>
  <c r="BF54" i="16"/>
  <c r="BJ54" i="16" s="1"/>
  <c r="BF26" i="16"/>
  <c r="BF41" i="16"/>
  <c r="BF19" i="16"/>
  <c r="BF60" i="16"/>
  <c r="BH60" i="16" s="1"/>
  <c r="BF11" i="16"/>
  <c r="BF9" i="16"/>
  <c r="BF28" i="16"/>
  <c r="BF59" i="16"/>
  <c r="BF25" i="16"/>
  <c r="BF38" i="16"/>
  <c r="BF47" i="16"/>
  <c r="BF32" i="16"/>
  <c r="BH32" i="16" s="1"/>
  <c r="BF23" i="16"/>
  <c r="BF21" i="16"/>
  <c r="BI21" i="16" s="1"/>
  <c r="BF36" i="16"/>
  <c r="BF10" i="16"/>
  <c r="BF27" i="16"/>
  <c r="BF37" i="16"/>
  <c r="BJ37" i="16" s="1"/>
  <c r="BF13" i="16"/>
  <c r="BF15" i="16"/>
  <c r="BF18" i="16"/>
  <c r="BF55" i="16"/>
  <c r="BF14" i="16"/>
  <c r="BF35" i="16"/>
  <c r="BK35" i="16" s="1"/>
  <c r="BF12" i="16"/>
  <c r="BF44" i="16"/>
  <c r="BK44" i="16" s="1"/>
  <c r="BF45" i="16"/>
  <c r="BF50" i="16"/>
  <c r="BF62" i="16"/>
  <c r="BH62" i="16" s="1"/>
  <c r="BF16" i="16"/>
  <c r="BJ16" i="16" s="1"/>
  <c r="BF34" i="16"/>
  <c r="BF40" i="16"/>
  <c r="BJ40" i="16" s="1"/>
  <c r="BF30" i="16"/>
  <c r="BH30" i="16" s="1"/>
  <c r="BF39" i="16"/>
  <c r="BF17" i="16"/>
  <c r="BF56" i="16"/>
  <c r="BI56" i="16" s="1"/>
  <c r="BF22" i="16"/>
  <c r="BF53" i="16"/>
  <c r="BJ53" i="16" s="1"/>
  <c r="BF52" i="16"/>
  <c r="BF29" i="16"/>
  <c r="BF31" i="16"/>
  <c r="BF33" i="16"/>
  <c r="BF61" i="16"/>
  <c r="BH61" i="16" s="1"/>
  <c r="BF49" i="16"/>
  <c r="BK49" i="16" s="1"/>
  <c r="BF48" i="16"/>
  <c r="BH11" i="16"/>
  <c r="AZ69" i="16"/>
  <c r="AZ73" i="16" s="1"/>
  <c r="AZ71" i="15"/>
  <c r="AZ73" i="15" s="1"/>
  <c r="BF20" i="15"/>
  <c r="BJ23" i="16"/>
  <c r="BF24" i="15"/>
  <c r="BF36" i="15"/>
  <c r="BH36" i="15" s="1"/>
  <c r="BF10" i="15"/>
  <c r="BF21" i="15"/>
  <c r="BH21" i="15" s="1"/>
  <c r="BF44" i="15"/>
  <c r="BF45" i="15"/>
  <c r="BF28" i="15"/>
  <c r="BF62" i="15"/>
  <c r="BI62" i="15" s="1"/>
  <c r="BF55" i="15"/>
  <c r="BH55" i="15" s="1"/>
  <c r="BF9" i="15"/>
  <c r="BF56" i="15"/>
  <c r="BH56" i="15" s="1"/>
  <c r="BF18" i="15"/>
  <c r="BF59" i="15"/>
  <c r="BH59" i="15" s="1"/>
  <c r="BF40" i="15"/>
  <c r="BH40" i="15" s="1"/>
  <c r="BF32" i="15"/>
  <c r="BJ32" i="15" s="1"/>
  <c r="BF25" i="15"/>
  <c r="BF11" i="15"/>
  <c r="BI28" i="16"/>
  <c r="BF14" i="15"/>
  <c r="BF54" i="15"/>
  <c r="BI54" i="15" s="1"/>
  <c r="BF35" i="15"/>
  <c r="BJ17" i="16"/>
  <c r="BF17" i="15"/>
  <c r="BF43" i="15"/>
  <c r="BF27" i="15"/>
  <c r="BF57" i="15"/>
  <c r="BH57" i="15" s="1"/>
  <c r="BF39" i="15"/>
  <c r="BF31" i="15"/>
  <c r="BF22" i="15"/>
  <c r="BF61" i="15"/>
  <c r="BH61" i="15" s="1"/>
  <c r="BF51" i="15"/>
  <c r="BJ51" i="15" s="1"/>
  <c r="BF50" i="15"/>
  <c r="BF16" i="15"/>
  <c r="BF53" i="15"/>
  <c r="BH53" i="15" s="1"/>
  <c r="BF42" i="15"/>
  <c r="BH42" i="15" s="1"/>
  <c r="BF38" i="15"/>
  <c r="BF34" i="15"/>
  <c r="BF30" i="15"/>
  <c r="BK30" i="15" s="1"/>
  <c r="BF52" i="15"/>
  <c r="BF23" i="15"/>
  <c r="BF19" i="15"/>
  <c r="BH19" i="15" s="1"/>
  <c r="BF12" i="15"/>
  <c r="BF58" i="15"/>
  <c r="BJ58" i="15" s="1"/>
  <c r="BF47" i="15"/>
  <c r="BF46" i="15"/>
  <c r="BF15" i="15"/>
  <c r="BI15" i="15" s="1"/>
  <c r="BF60" i="15"/>
  <c r="BI60" i="15" s="1"/>
  <c r="BF49" i="15"/>
  <c r="BF41" i="15"/>
  <c r="BF37" i="15"/>
  <c r="BF33" i="15"/>
  <c r="BF29" i="15"/>
  <c r="BF48" i="15"/>
  <c r="BF26" i="15"/>
  <c r="BF13" i="15"/>
  <c r="BH18" i="15"/>
  <c r="BK57" i="14"/>
  <c r="BJ57" i="14"/>
  <c r="BI49" i="14"/>
  <c r="BJ49" i="14"/>
  <c r="BK49" i="14"/>
  <c r="BH49" i="14"/>
  <c r="BJ41" i="14"/>
  <c r="BI41" i="14"/>
  <c r="BK41" i="14"/>
  <c r="BH41" i="14"/>
  <c r="BJ37" i="14"/>
  <c r="BI37" i="14"/>
  <c r="BK37" i="14"/>
  <c r="BH37" i="14"/>
  <c r="BJ33" i="14"/>
  <c r="BK33" i="14"/>
  <c r="BJ29" i="14"/>
  <c r="BI29" i="14"/>
  <c r="BK29" i="14"/>
  <c r="BH29" i="14"/>
  <c r="BJ52" i="14"/>
  <c r="BI52" i="14"/>
  <c r="BK52" i="14"/>
  <c r="BH52" i="14"/>
  <c r="BJ61" i="14"/>
  <c r="BK61" i="14"/>
  <c r="BK50" i="14"/>
  <c r="BH50" i="14"/>
  <c r="BJ50" i="14"/>
  <c r="BI50" i="14"/>
  <c r="BK24" i="14"/>
  <c r="BJ24" i="14"/>
  <c r="BK20" i="14"/>
  <c r="BH20" i="14"/>
  <c r="BJ20" i="14"/>
  <c r="BI20" i="14"/>
  <c r="BK16" i="14"/>
  <c r="BJ16" i="14"/>
  <c r="BK12" i="14"/>
  <c r="BH12" i="14"/>
  <c r="BJ12" i="14"/>
  <c r="BI12" i="14"/>
  <c r="BK60" i="14"/>
  <c r="BJ60" i="14"/>
  <c r="BK56" i="14"/>
  <c r="BI56" i="14"/>
  <c r="BJ56" i="14"/>
  <c r="BH56" i="14"/>
  <c r="BI45" i="14"/>
  <c r="BK45" i="14"/>
  <c r="BJ40" i="14"/>
  <c r="BI40" i="14"/>
  <c r="BK40" i="14"/>
  <c r="BH40" i="14"/>
  <c r="BJ36" i="14"/>
  <c r="BK36" i="14"/>
  <c r="BJ32" i="14"/>
  <c r="BI32" i="14"/>
  <c r="BK32" i="14"/>
  <c r="BH32" i="14"/>
  <c r="BJ28" i="14"/>
  <c r="BK28" i="14"/>
  <c r="BI51" i="14"/>
  <c r="BJ51" i="14"/>
  <c r="BJ46" i="14"/>
  <c r="BJ23" i="14"/>
  <c r="BK23" i="14"/>
  <c r="BJ19" i="14"/>
  <c r="BJ15" i="14"/>
  <c r="BI15" i="14"/>
  <c r="BK15" i="14"/>
  <c r="BH15" i="14"/>
  <c r="BJ11" i="14"/>
  <c r="BI11" i="14"/>
  <c r="BK11" i="14"/>
  <c r="BH11" i="14"/>
  <c r="BJ59" i="14"/>
  <c r="BK59" i="14"/>
  <c r="BI59" i="14"/>
  <c r="BH59" i="14"/>
  <c r="BJ55" i="14"/>
  <c r="BK55" i="14"/>
  <c r="BI55" i="14"/>
  <c r="BH55" i="14"/>
  <c r="BJ43" i="14"/>
  <c r="BI43" i="14"/>
  <c r="BK43" i="14"/>
  <c r="BH43" i="14"/>
  <c r="BJ39" i="14"/>
  <c r="BI39" i="14"/>
  <c r="BK39" i="14"/>
  <c r="BH39" i="14"/>
  <c r="BJ35" i="14"/>
  <c r="BI35" i="14"/>
  <c r="BK35" i="14"/>
  <c r="BH35" i="14"/>
  <c r="BJ31" i="14"/>
  <c r="BI31" i="14"/>
  <c r="BK31" i="14"/>
  <c r="BH31" i="14"/>
  <c r="BJ27" i="14"/>
  <c r="BI27" i="14"/>
  <c r="BK27" i="14"/>
  <c r="BH27" i="14"/>
  <c r="BJ47" i="14"/>
  <c r="BH47" i="14"/>
  <c r="BI47" i="14"/>
  <c r="BK47" i="14"/>
  <c r="BI54" i="14"/>
  <c r="BH54" i="14"/>
  <c r="BK54" i="14"/>
  <c r="BJ54" i="14"/>
  <c r="BK22" i="14"/>
  <c r="BH22" i="14"/>
  <c r="BJ22" i="14"/>
  <c r="BI22" i="14"/>
  <c r="BK18" i="14"/>
  <c r="BH18" i="14"/>
  <c r="BJ18" i="14"/>
  <c r="BI18" i="14"/>
  <c r="BK14" i="14"/>
  <c r="BH14" i="14"/>
  <c r="BJ14" i="14"/>
  <c r="BI14" i="14"/>
  <c r="BK10" i="14"/>
  <c r="BH10" i="14"/>
  <c r="BJ10" i="14"/>
  <c r="BI10" i="14"/>
  <c r="BJ58" i="14"/>
  <c r="BK58" i="14"/>
  <c r="BI58" i="14"/>
  <c r="BH58" i="14"/>
  <c r="BK53" i="14"/>
  <c r="BJ53" i="14"/>
  <c r="BI53" i="14"/>
  <c r="BH53" i="14"/>
  <c r="BJ42" i="14"/>
  <c r="BI42" i="14"/>
  <c r="BK42" i="14"/>
  <c r="BH42" i="14"/>
  <c r="BJ38" i="14"/>
  <c r="BI38" i="14"/>
  <c r="BK38" i="14"/>
  <c r="BH38" i="14"/>
  <c r="BJ34" i="14"/>
  <c r="BI34" i="14"/>
  <c r="BK34" i="14"/>
  <c r="BH34" i="14"/>
  <c r="BJ30" i="14"/>
  <c r="BI30" i="14"/>
  <c r="BK30" i="14"/>
  <c r="BH30" i="14"/>
  <c r="BJ26" i="14"/>
  <c r="BI26" i="14"/>
  <c r="BK26" i="14"/>
  <c r="BH26" i="14"/>
  <c r="BJ62" i="14"/>
  <c r="BK62" i="14"/>
  <c r="BI62" i="14"/>
  <c r="BH62" i="14"/>
  <c r="BI44" i="14"/>
  <c r="BK44" i="14"/>
  <c r="BJ44" i="14"/>
  <c r="BH44" i="14"/>
  <c r="BI25" i="14"/>
  <c r="BJ25" i="14"/>
  <c r="BK25" i="14"/>
  <c r="BH25" i="14"/>
  <c r="BJ21" i="14"/>
  <c r="BI21" i="14"/>
  <c r="BK21" i="14"/>
  <c r="BH21" i="14"/>
  <c r="BJ17" i="14"/>
  <c r="BI17" i="14"/>
  <c r="BK17" i="14"/>
  <c r="BH17" i="14"/>
  <c r="BJ13" i="14"/>
  <c r="BI13" i="14"/>
  <c r="BK13" i="14"/>
  <c r="BH13" i="14"/>
  <c r="BK45" i="11"/>
  <c r="BI35" i="11"/>
  <c r="BK23" i="11"/>
  <c r="BK9" i="14"/>
  <c r="BJ9" i="14"/>
  <c r="BI9" i="14"/>
  <c r="BH9" i="14"/>
  <c r="BC69" i="13"/>
  <c r="BC70" i="13"/>
  <c r="BI9" i="16"/>
  <c r="BJ12" i="16"/>
  <c r="BH23" i="16"/>
  <c r="BI19" i="16"/>
  <c r="BI43" i="16"/>
  <c r="BH58" i="16"/>
  <c r="BI41" i="16"/>
  <c r="BJ11" i="16"/>
  <c r="BK57" i="16"/>
  <c r="BJ36" i="16"/>
  <c r="BJ60" i="16"/>
  <c r="BI42" i="16"/>
  <c r="BJ28" i="16"/>
  <c r="BK47" i="16"/>
  <c r="BI62" i="16"/>
  <c r="BJ61" i="16"/>
  <c r="BK14" i="16"/>
  <c r="BJ13" i="16"/>
  <c r="BI18" i="16"/>
  <c r="BI44" i="16" l="1"/>
  <c r="BK54" i="16"/>
  <c r="BI24" i="16"/>
  <c r="BI54" i="16"/>
  <c r="BC68" i="13"/>
  <c r="BC67" i="13"/>
  <c r="BK19" i="14"/>
  <c r="BK46" i="14"/>
  <c r="BF69" i="14"/>
  <c r="BK48" i="14"/>
  <c r="BJ48" i="14"/>
  <c r="BF68" i="14"/>
  <c r="BF70" i="14"/>
  <c r="BH19" i="14"/>
  <c r="BH46" i="14"/>
  <c r="BH48" i="14"/>
  <c r="AZ69" i="13"/>
  <c r="BJ29" i="11"/>
  <c r="BF71" i="14"/>
  <c r="BF67" i="14"/>
  <c r="BH23" i="14"/>
  <c r="BH51" i="14"/>
  <c r="BH28" i="14"/>
  <c r="BH36" i="14"/>
  <c r="BH45" i="14"/>
  <c r="BH60" i="14"/>
  <c r="BI16" i="14"/>
  <c r="BI24" i="14"/>
  <c r="BI61" i="14"/>
  <c r="BH33" i="14"/>
  <c r="BH57" i="14"/>
  <c r="BC72" i="14"/>
  <c r="BJ33" i="11"/>
  <c r="BL10" i="14"/>
  <c r="BL11" i="14" s="1"/>
  <c r="BL12" i="14" s="1"/>
  <c r="BL13" i="14" s="1"/>
  <c r="BL14" i="14" s="1"/>
  <c r="BL15" i="14" s="1"/>
  <c r="BJ13" i="15"/>
  <c r="BJ48" i="15"/>
  <c r="BK33" i="15"/>
  <c r="BK41" i="15"/>
  <c r="BK46" i="15"/>
  <c r="BJ19" i="15"/>
  <c r="BK52" i="15"/>
  <c r="BK34" i="15"/>
  <c r="BK42" i="15"/>
  <c r="BH16" i="15"/>
  <c r="BH51" i="15"/>
  <c r="BK22" i="15"/>
  <c r="BK39" i="15"/>
  <c r="BH27" i="15"/>
  <c r="BH17" i="15"/>
  <c r="BK54" i="15"/>
  <c r="BK14" i="15"/>
  <c r="BI11" i="15"/>
  <c r="BH32" i="15"/>
  <c r="BH28" i="15"/>
  <c r="BH44" i="15"/>
  <c r="BH10" i="15"/>
  <c r="BH24" i="15"/>
  <c r="BJ48" i="16"/>
  <c r="BH31" i="16"/>
  <c r="BH52" i="16"/>
  <c r="BJ22" i="16"/>
  <c r="BH17" i="16"/>
  <c r="BH34" i="16"/>
  <c r="BH45" i="16"/>
  <c r="BH12" i="16"/>
  <c r="BH14" i="16"/>
  <c r="BJ18" i="16"/>
  <c r="BH13" i="16"/>
  <c r="BJ27" i="16"/>
  <c r="BI36" i="16"/>
  <c r="BK23" i="16"/>
  <c r="BJ47" i="16"/>
  <c r="BI25" i="16"/>
  <c r="BH28" i="16"/>
  <c r="BK11" i="16"/>
  <c r="BK19" i="16"/>
  <c r="BJ26" i="16"/>
  <c r="BJ42" i="16"/>
  <c r="BH17" i="11"/>
  <c r="BH25" i="11"/>
  <c r="BH30" i="11"/>
  <c r="BH27" i="11"/>
  <c r="BH10" i="11"/>
  <c r="BH18" i="11"/>
  <c r="BH26" i="11"/>
  <c r="BJ9" i="11"/>
  <c r="BL9" i="11"/>
  <c r="BK20" i="11"/>
  <c r="BH19" i="11"/>
  <c r="BK46" i="16"/>
  <c r="BI58" i="16"/>
  <c r="BJ57" i="16"/>
  <c r="BH43" i="16"/>
  <c r="BH26" i="15"/>
  <c r="BH29" i="15"/>
  <c r="BH37" i="15"/>
  <c r="BH49" i="15"/>
  <c r="BH15" i="15"/>
  <c r="BH47" i="15"/>
  <c r="BI12" i="15"/>
  <c r="BI23" i="15"/>
  <c r="BH30" i="15"/>
  <c r="BH38" i="15"/>
  <c r="BH50" i="15"/>
  <c r="BH31" i="15"/>
  <c r="BK43" i="15"/>
  <c r="BH35" i="15"/>
  <c r="BJ25" i="15"/>
  <c r="BK40" i="15"/>
  <c r="BJ18" i="15"/>
  <c r="BI9" i="15"/>
  <c r="BL9" i="15"/>
  <c r="BJ45" i="15"/>
  <c r="BJ21" i="15"/>
  <c r="BK36" i="15"/>
  <c r="BH20" i="15"/>
  <c r="BH49" i="16"/>
  <c r="BH33" i="16"/>
  <c r="BH29" i="16"/>
  <c r="BH53" i="16"/>
  <c r="BJ56" i="16"/>
  <c r="BH39" i="16"/>
  <c r="BH40" i="16"/>
  <c r="BI16" i="16"/>
  <c r="BH50" i="16"/>
  <c r="BH44" i="16"/>
  <c r="BH35" i="16"/>
  <c r="BK55" i="16"/>
  <c r="BH15" i="16"/>
  <c r="BI37" i="16"/>
  <c r="BK10" i="16"/>
  <c r="BH21" i="16"/>
  <c r="BJ32" i="16"/>
  <c r="BJ38" i="16"/>
  <c r="BH59" i="16"/>
  <c r="BJ9" i="16"/>
  <c r="BL9" i="16"/>
  <c r="BI60" i="16"/>
  <c r="BJ41" i="16"/>
  <c r="BH54" i="16"/>
  <c r="BK13" i="11"/>
  <c r="BK21" i="11"/>
  <c r="BK14" i="11"/>
  <c r="BK22" i="11"/>
  <c r="BH11" i="11"/>
  <c r="BH12" i="11"/>
  <c r="BJ28" i="11"/>
  <c r="BK15" i="11"/>
  <c r="BH16" i="11"/>
  <c r="BH23" i="11"/>
  <c r="BK20" i="16"/>
  <c r="BH51" i="16"/>
  <c r="BK27" i="16"/>
  <c r="BI13" i="16"/>
  <c r="BK50" i="16"/>
  <c r="BK13" i="16"/>
  <c r="BI35" i="16"/>
  <c r="BJ29" i="16"/>
  <c r="BJ58" i="16"/>
  <c r="BK43" i="16"/>
  <c r="BI27" i="16"/>
  <c r="BI46" i="16"/>
  <c r="BH26" i="16"/>
  <c r="BK28" i="16"/>
  <c r="BH42" i="16"/>
  <c r="BH57" i="16"/>
  <c r="BK56" i="16"/>
  <c r="BI53" i="16"/>
  <c r="BI39" i="16"/>
  <c r="BI33" i="16"/>
  <c r="BH24" i="16"/>
  <c r="BI57" i="16"/>
  <c r="BH19" i="16"/>
  <c r="BK18" i="11"/>
  <c r="BK19" i="11"/>
  <c r="BI44" i="11"/>
  <c r="BI47" i="11"/>
  <c r="BJ63" i="14" a="1"/>
  <c r="BH39" i="15"/>
  <c r="BC72" i="16"/>
  <c r="BI12" i="16"/>
  <c r="BK15" i="16"/>
  <c r="BF68" i="16"/>
  <c r="BK62" i="16"/>
  <c r="BI45" i="16"/>
  <c r="BI14" i="16"/>
  <c r="BH55" i="16"/>
  <c r="BH37" i="16"/>
  <c r="BI15" i="16"/>
  <c r="BK12" i="16"/>
  <c r="BJ62" i="16"/>
  <c r="BK37" i="16"/>
  <c r="BK17" i="16"/>
  <c r="BJ52" i="16"/>
  <c r="BK34" i="16"/>
  <c r="BJ14" i="16"/>
  <c r="BI51" i="16"/>
  <c r="BK9" i="16"/>
  <c r="BJ20" i="16"/>
  <c r="BI38" i="16"/>
  <c r="BK51" i="16"/>
  <c r="BH9" i="16"/>
  <c r="BI20" i="16"/>
  <c r="BH41" i="16"/>
  <c r="BH10" i="16"/>
  <c r="BJ51" i="16"/>
  <c r="BK60" i="16"/>
  <c r="BH20" i="16"/>
  <c r="BK41" i="16"/>
  <c r="BK45" i="16"/>
  <c r="BI55" i="16"/>
  <c r="BK30" i="16"/>
  <c r="BJ31" i="16"/>
  <c r="BI22" i="16"/>
  <c r="BJ45" i="16"/>
  <c r="BJ55" i="16"/>
  <c r="BJ15" i="16"/>
  <c r="BI26" i="16"/>
  <c r="BH25" i="16"/>
  <c r="BJ19" i="16"/>
  <c r="BI23" i="16"/>
  <c r="BH47" i="16"/>
  <c r="BJ25" i="16"/>
  <c r="BH36" i="16"/>
  <c r="BJ30" i="16"/>
  <c r="BI61" i="16"/>
  <c r="BJ34" i="16"/>
  <c r="BI31" i="16"/>
  <c r="BK22" i="16"/>
  <c r="BK25" i="16"/>
  <c r="BK36" i="16"/>
  <c r="BH27" i="16"/>
  <c r="BH46" i="16"/>
  <c r="BI11" i="16"/>
  <c r="BI47" i="16"/>
  <c r="BK42" i="16"/>
  <c r="BK26" i="16"/>
  <c r="BJ24" i="16"/>
  <c r="BJ46" i="16"/>
  <c r="BF71" i="16"/>
  <c r="BK59" i="16"/>
  <c r="BJ59" i="16"/>
  <c r="BF70" i="16"/>
  <c r="BF69" i="16"/>
  <c r="BF67" i="16"/>
  <c r="BK16" i="16"/>
  <c r="BI50" i="16"/>
  <c r="BJ44" i="16"/>
  <c r="BK18" i="16"/>
  <c r="BH56" i="16"/>
  <c r="BK39" i="16"/>
  <c r="BK40" i="16"/>
  <c r="BK53" i="16"/>
  <c r="BK33" i="16"/>
  <c r="BJ35" i="16"/>
  <c r="BH16" i="16"/>
  <c r="BH18" i="16"/>
  <c r="BK32" i="16"/>
  <c r="BK38" i="16"/>
  <c r="BI59" i="16"/>
  <c r="BJ10" i="16"/>
  <c r="BK21" i="16"/>
  <c r="BJ21" i="16"/>
  <c r="BI29" i="16"/>
  <c r="BJ39" i="16"/>
  <c r="BI40" i="16"/>
  <c r="BJ33" i="16"/>
  <c r="BK29" i="16"/>
  <c r="BJ50" i="16"/>
  <c r="BI32" i="16"/>
  <c r="BH38" i="16"/>
  <c r="BI10" i="16"/>
  <c r="BI49" i="16"/>
  <c r="BJ49" i="16"/>
  <c r="AZ73" i="13"/>
  <c r="BF11" i="13"/>
  <c r="BJ11" i="13" s="1"/>
  <c r="BF13" i="13"/>
  <c r="BF57" i="13"/>
  <c r="BH57" i="13" s="1"/>
  <c r="BF49" i="13"/>
  <c r="BK49" i="13" s="1"/>
  <c r="BF41" i="13"/>
  <c r="BF37" i="13"/>
  <c r="BI37" i="13" s="1"/>
  <c r="BF33" i="13"/>
  <c r="BK33" i="13" s="1"/>
  <c r="BF29" i="13"/>
  <c r="BH29" i="13" s="1"/>
  <c r="BF52" i="13"/>
  <c r="BH52" i="13" s="1"/>
  <c r="BF60" i="13"/>
  <c r="BJ60" i="13" s="1"/>
  <c r="BF47" i="13"/>
  <c r="BK47" i="13" s="1"/>
  <c r="BF54" i="13"/>
  <c r="BI54" i="13" s="1"/>
  <c r="BF22" i="13"/>
  <c r="BF18" i="13"/>
  <c r="BH18" i="13" s="1"/>
  <c r="BF14" i="13"/>
  <c r="BF10" i="13"/>
  <c r="BH10" i="13" s="1"/>
  <c r="BF56" i="13"/>
  <c r="BH56" i="13" s="1"/>
  <c r="BF45" i="13"/>
  <c r="BK45" i="13" s="1"/>
  <c r="BF40" i="13"/>
  <c r="BF36" i="13"/>
  <c r="BH36" i="13" s="1"/>
  <c r="BF32" i="13"/>
  <c r="BF28" i="13"/>
  <c r="BH28" i="13" s="1"/>
  <c r="BF48" i="13"/>
  <c r="BH48" i="13" s="1"/>
  <c r="BF59" i="13"/>
  <c r="BI59" i="13" s="1"/>
  <c r="BF44" i="13"/>
  <c r="BF25" i="13"/>
  <c r="BJ25" i="13" s="1"/>
  <c r="BF21" i="13"/>
  <c r="BF17" i="13"/>
  <c r="BI17" i="13" s="1"/>
  <c r="BF9" i="13"/>
  <c r="BF55" i="13"/>
  <c r="BH55" i="13" s="1"/>
  <c r="BF43" i="13"/>
  <c r="BF39" i="13"/>
  <c r="BK39" i="13" s="1"/>
  <c r="BF35" i="13"/>
  <c r="BF31" i="13"/>
  <c r="BK31" i="13" s="1"/>
  <c r="BF27" i="13"/>
  <c r="BF58" i="13"/>
  <c r="BJ58" i="13" s="1"/>
  <c r="BF50" i="13"/>
  <c r="BI50" i="13" s="1"/>
  <c r="BF24" i="13"/>
  <c r="BF20" i="13"/>
  <c r="BF16" i="13"/>
  <c r="BF12" i="13"/>
  <c r="BK12" i="13" s="1"/>
  <c r="BF61" i="13"/>
  <c r="BJ61" i="13" s="1"/>
  <c r="BF53" i="13"/>
  <c r="BH53" i="13" s="1"/>
  <c r="BF42" i="13"/>
  <c r="BF38" i="13"/>
  <c r="BK38" i="13" s="1"/>
  <c r="BF34" i="13"/>
  <c r="BF30" i="13"/>
  <c r="BF26" i="13"/>
  <c r="BF62" i="13"/>
  <c r="BH62" i="13" s="1"/>
  <c r="BF51" i="13"/>
  <c r="BJ51" i="13" s="1"/>
  <c r="BF46" i="13"/>
  <c r="BH46" i="13" s="1"/>
  <c r="BF23" i="13"/>
  <c r="BF19" i="13"/>
  <c r="BK19" i="13" s="1"/>
  <c r="BF15" i="13"/>
  <c r="BC72" i="11"/>
  <c r="BK25" i="11"/>
  <c r="BI51" i="11"/>
  <c r="BJ55" i="11"/>
  <c r="BK11" i="11"/>
  <c r="BI23" i="11"/>
  <c r="BJ42" i="11"/>
  <c r="BJ44" i="11"/>
  <c r="BJ24" i="11"/>
  <c r="BI54" i="11"/>
  <c r="BH47" i="11"/>
  <c r="BJ52" i="11"/>
  <c r="BH62" i="11"/>
  <c r="BH43" i="15"/>
  <c r="BK62" i="15"/>
  <c r="BH25" i="15"/>
  <c r="BH45" i="15"/>
  <c r="BI22" i="15"/>
  <c r="BJ61" i="15"/>
  <c r="BJ56" i="15"/>
  <c r="BH9" i="15"/>
  <c r="BK9" i="15"/>
  <c r="BI39" i="15"/>
  <c r="BI43" i="15"/>
  <c r="BJ14" i="15"/>
  <c r="BH54" i="15"/>
  <c r="BH62" i="15"/>
  <c r="BI21" i="15"/>
  <c r="BI25" i="15"/>
  <c r="BI36" i="15"/>
  <c r="BI40" i="15"/>
  <c r="BK45" i="15"/>
  <c r="BI18" i="15"/>
  <c r="BH22" i="15"/>
  <c r="BJ24" i="15"/>
  <c r="BK11" i="15"/>
  <c r="BJ10" i="15"/>
  <c r="BJ20" i="15"/>
  <c r="BJ35" i="15"/>
  <c r="BJ55" i="15"/>
  <c r="BJ28" i="15"/>
  <c r="BJ59" i="15"/>
  <c r="BI44" i="15"/>
  <c r="BI46" i="15"/>
  <c r="BH60" i="15"/>
  <c r="BK50" i="15"/>
  <c r="BK20" i="15"/>
  <c r="BK24" i="15"/>
  <c r="BJ27" i="15"/>
  <c r="BI55" i="15"/>
  <c r="BJ11" i="15"/>
  <c r="BK28" i="15"/>
  <c r="BK32" i="15"/>
  <c r="BI59" i="15"/>
  <c r="BI10" i="15"/>
  <c r="BJ44" i="15"/>
  <c r="BI56" i="15"/>
  <c r="BI58" i="15"/>
  <c r="BI52" i="15"/>
  <c r="BH34" i="15"/>
  <c r="BC72" i="15"/>
  <c r="BH41" i="15"/>
  <c r="BJ9" i="15"/>
  <c r="BJ50" i="15"/>
  <c r="BK61" i="15"/>
  <c r="BJ39" i="15"/>
  <c r="BJ43" i="15"/>
  <c r="BH14" i="15"/>
  <c r="BJ54" i="15"/>
  <c r="BJ62" i="15"/>
  <c r="BK21" i="15"/>
  <c r="BK25" i="15"/>
  <c r="BJ36" i="15"/>
  <c r="BJ40" i="15"/>
  <c r="BI45" i="15"/>
  <c r="BK18" i="15"/>
  <c r="BJ22" i="15"/>
  <c r="BK60" i="15"/>
  <c r="BH46" i="15"/>
  <c r="BH58" i="15"/>
  <c r="BI19" i="15"/>
  <c r="BH52" i="15"/>
  <c r="BI34" i="15"/>
  <c r="BI42" i="15"/>
  <c r="BF71" i="11"/>
  <c r="BH21" i="11"/>
  <c r="BK39" i="11"/>
  <c r="BH41" i="11"/>
  <c r="BI59" i="11"/>
  <c r="BH49" i="11"/>
  <c r="BI61" i="11"/>
  <c r="BH60" i="11"/>
  <c r="BI15" i="11"/>
  <c r="BH31" i="11"/>
  <c r="BH34" i="11"/>
  <c r="BK16" i="11"/>
  <c r="BK28" i="11"/>
  <c r="BH13" i="11"/>
  <c r="BI58" i="11"/>
  <c r="BH38" i="11"/>
  <c r="BI14" i="11"/>
  <c r="BH22" i="11"/>
  <c r="BK40" i="11"/>
  <c r="BH43" i="11"/>
  <c r="BH53" i="11"/>
  <c r="BH48" i="11"/>
  <c r="BJ16" i="11"/>
  <c r="BH20" i="11"/>
  <c r="BI57" i="11"/>
  <c r="BK37" i="11"/>
  <c r="BI13" i="11"/>
  <c r="BI21" i="11"/>
  <c r="BH39" i="11"/>
  <c r="BH58" i="11"/>
  <c r="BK38" i="11"/>
  <c r="BK41" i="11"/>
  <c r="BH59" i="11"/>
  <c r="BH14" i="11"/>
  <c r="BI22" i="11"/>
  <c r="BI49" i="11"/>
  <c r="BH61" i="11"/>
  <c r="BH40" i="11"/>
  <c r="BI43" i="11"/>
  <c r="BI60" i="11"/>
  <c r="BH15" i="11"/>
  <c r="BK31" i="11"/>
  <c r="BI53" i="11"/>
  <c r="BK34" i="11"/>
  <c r="BK48" i="11"/>
  <c r="BI62" i="11"/>
  <c r="BI16" i="11"/>
  <c r="BI20" i="11"/>
  <c r="BH57" i="11"/>
  <c r="BH28" i="11"/>
  <c r="BH37" i="11"/>
  <c r="BK17" i="11"/>
  <c r="BJ50" i="11"/>
  <c r="BI27" i="11"/>
  <c r="BK10" i="11"/>
  <c r="BK26" i="11"/>
  <c r="BJ32" i="11"/>
  <c r="BJ46" i="11"/>
  <c r="BJ19" i="11"/>
  <c r="BJ56" i="11"/>
  <c r="BK42" i="11"/>
  <c r="BK44" i="11"/>
  <c r="BK12" i="11"/>
  <c r="BK24" i="11"/>
  <c r="BK54" i="11"/>
  <c r="BJ36" i="11"/>
  <c r="BK47" i="11"/>
  <c r="BJ45" i="11"/>
  <c r="BH9" i="11"/>
  <c r="BI9" i="11"/>
  <c r="BJ17" i="11"/>
  <c r="BJ25" i="11"/>
  <c r="BI50" i="11"/>
  <c r="BI30" i="11"/>
  <c r="BK27" i="11"/>
  <c r="BK51" i="11"/>
  <c r="BJ10" i="11"/>
  <c r="BJ18" i="11"/>
  <c r="BJ26" i="11"/>
  <c r="BK55" i="11"/>
  <c r="BI32" i="11"/>
  <c r="BI29" i="11"/>
  <c r="BI46" i="11"/>
  <c r="BJ11" i="11"/>
  <c r="BI19" i="11"/>
  <c r="BK56" i="11"/>
  <c r="BI42" i="11"/>
  <c r="BI33" i="11"/>
  <c r="BJ12" i="11"/>
  <c r="BI24" i="11"/>
  <c r="BJ35" i="11"/>
  <c r="BJ54" i="11"/>
  <c r="BI36" i="11"/>
  <c r="BI45" i="11"/>
  <c r="BI52" i="11"/>
  <c r="BI48" i="16"/>
  <c r="BH48" i="16"/>
  <c r="BK9" i="11"/>
  <c r="BF67" i="11"/>
  <c r="BI17" i="11"/>
  <c r="BI25" i="11"/>
  <c r="BK50" i="11"/>
  <c r="BK30" i="11"/>
  <c r="BJ27" i="11"/>
  <c r="BJ51" i="11"/>
  <c r="BI10" i="11"/>
  <c r="BI18" i="11"/>
  <c r="BI26" i="11"/>
  <c r="BI55" i="11"/>
  <c r="BK32" i="11"/>
  <c r="BK29" i="11"/>
  <c r="BK46" i="11"/>
  <c r="BI11" i="11"/>
  <c r="BI56" i="11"/>
  <c r="BK33" i="11"/>
  <c r="BI12" i="11"/>
  <c r="BK35" i="11"/>
  <c r="BK36" i="11"/>
  <c r="BK52" i="11"/>
  <c r="BF70" i="11"/>
  <c r="BF69" i="11"/>
  <c r="BF68" i="11"/>
  <c r="BJ13" i="11"/>
  <c r="BJ21" i="11"/>
  <c r="BJ39" i="11"/>
  <c r="BK58" i="11"/>
  <c r="BI38" i="11"/>
  <c r="BI41" i="11"/>
  <c r="BK59" i="11"/>
  <c r="BJ14" i="11"/>
  <c r="BJ22" i="11"/>
  <c r="BJ49" i="11"/>
  <c r="BK61" i="11"/>
  <c r="BI40" i="11"/>
  <c r="BJ43" i="11"/>
  <c r="BK60" i="11"/>
  <c r="BJ15" i="11"/>
  <c r="BJ31" i="11"/>
  <c r="BJ53" i="11"/>
  <c r="BI34" i="11"/>
  <c r="BI48" i="11"/>
  <c r="BK62" i="11"/>
  <c r="BJ20" i="11"/>
  <c r="BK57" i="11"/>
  <c r="BI28" i="11"/>
  <c r="BI37" i="11"/>
  <c r="BF70" i="15"/>
  <c r="BF68" i="15"/>
  <c r="BK17" i="15"/>
  <c r="BF69" i="15"/>
  <c r="BJ31" i="15"/>
  <c r="BK57" i="15"/>
  <c r="BK12" i="15"/>
  <c r="BI53" i="15"/>
  <c r="BH48" i="15"/>
  <c r="BJ26" i="15"/>
  <c r="BK27" i="15"/>
  <c r="BK31" i="15"/>
  <c r="BK35" i="15"/>
  <c r="BJ57" i="15"/>
  <c r="BI14" i="15"/>
  <c r="BJ17" i="15"/>
  <c r="BJ47" i="15"/>
  <c r="BK23" i="15"/>
  <c r="BK38" i="15"/>
  <c r="BI16" i="15"/>
  <c r="BH33" i="15"/>
  <c r="BI13" i="15"/>
  <c r="BI33" i="15"/>
  <c r="BI41" i="15"/>
  <c r="BK26" i="15"/>
  <c r="BI20" i="15"/>
  <c r="BI24" i="15"/>
  <c r="BI27" i="15"/>
  <c r="BI31" i="15"/>
  <c r="BI35" i="15"/>
  <c r="BI57" i="15"/>
  <c r="BI17" i="15"/>
  <c r="BK55" i="15"/>
  <c r="BH11" i="15"/>
  <c r="BI28" i="15"/>
  <c r="BI32" i="15"/>
  <c r="BK59" i="15"/>
  <c r="BK10" i="15"/>
  <c r="BK44" i="15"/>
  <c r="BK56" i="15"/>
  <c r="BK37" i="15"/>
  <c r="BI47" i="15"/>
  <c r="BJ12" i="15"/>
  <c r="BJ23" i="15"/>
  <c r="BJ30" i="15"/>
  <c r="BJ38" i="15"/>
  <c r="BJ53" i="15"/>
  <c r="BJ16" i="15"/>
  <c r="BI51" i="15"/>
  <c r="BI52" i="16"/>
  <c r="BK61" i="16"/>
  <c r="BK31" i="16"/>
  <c r="BI34" i="16"/>
  <c r="BH22" i="16"/>
  <c r="BK52" i="16"/>
  <c r="BI30" i="16"/>
  <c r="BK48" i="16"/>
  <c r="BI17" i="16"/>
  <c r="BH13" i="15"/>
  <c r="BI48" i="15"/>
  <c r="BJ49" i="15"/>
  <c r="BI26" i="15"/>
  <c r="BK29" i="15"/>
  <c r="BI49" i="15"/>
  <c r="BJ15" i="15"/>
  <c r="BK47" i="15"/>
  <c r="BH12" i="15"/>
  <c r="BH23" i="15"/>
  <c r="BI30" i="15"/>
  <c r="BI38" i="15"/>
  <c r="BK53" i="15"/>
  <c r="BK16" i="15"/>
  <c r="BK51" i="15"/>
  <c r="BJ29" i="15"/>
  <c r="BJ37" i="15"/>
  <c r="BI29" i="15"/>
  <c r="BI37" i="15"/>
  <c r="BK49" i="15"/>
  <c r="BK15" i="15"/>
  <c r="BF67" i="15"/>
  <c r="BF71" i="15"/>
  <c r="BI50" i="15"/>
  <c r="BI61" i="15"/>
  <c r="BK13" i="15"/>
  <c r="BK48" i="15"/>
  <c r="BJ33" i="15"/>
  <c r="BJ41" i="15"/>
  <c r="BJ60" i="15"/>
  <c r="BJ46" i="15"/>
  <c r="BK58" i="15"/>
  <c r="BK19" i="15"/>
  <c r="BJ52" i="15"/>
  <c r="BJ34" i="15"/>
  <c r="BJ42" i="15"/>
  <c r="BJ50" i="13"/>
  <c r="BI62" i="13"/>
  <c r="BI29" i="13"/>
  <c r="BI10" i="13"/>
  <c r="BK48" i="13"/>
  <c r="BJ13" i="13"/>
  <c r="BF72" i="14"/>
  <c r="O16" i="17"/>
  <c r="O12" i="17"/>
  <c r="O10" i="17"/>
  <c r="Q10" i="17"/>
  <c r="O8" i="17"/>
  <c r="O33" i="17"/>
  <c r="O31" i="17"/>
  <c r="Q29" i="17"/>
  <c r="O23" i="17"/>
  <c r="Q15" i="17"/>
  <c r="P11" i="17"/>
  <c r="O11" i="17"/>
  <c r="O9" i="17"/>
  <c r="P34" i="17"/>
  <c r="Q30" i="17"/>
  <c r="P28" i="17"/>
  <c r="O26" i="17"/>
  <c r="P6" i="17"/>
  <c r="P16" i="17"/>
  <c r="P12" i="17"/>
  <c r="P10" i="17"/>
  <c r="Q8" i="17"/>
  <c r="P8" i="17"/>
  <c r="Q35" i="17"/>
  <c r="P31" i="17"/>
  <c r="P25" i="17"/>
  <c r="Q43" i="17"/>
  <c r="Q11" i="17"/>
  <c r="P24" i="17"/>
  <c r="Q34" i="17"/>
  <c r="O28" i="17"/>
  <c r="Q28" i="17"/>
  <c r="Q26" i="17"/>
  <c r="P42" i="17"/>
  <c r="Q54" i="17"/>
  <c r="O44" i="17"/>
  <c r="BC72" i="13"/>
  <c r="X30" i="17"/>
  <c r="X34" i="17"/>
  <c r="BJ63" i="11" l="1" a="1"/>
  <c r="O18" i="17"/>
  <c r="Q48" i="17"/>
  <c r="Q32" i="17"/>
  <c r="O36" i="17"/>
  <c r="Q9" i="17"/>
  <c r="P15" i="17"/>
  <c r="P51" i="17"/>
  <c r="Q12" i="17"/>
  <c r="P20" i="17"/>
  <c r="O50" i="17"/>
  <c r="O32" i="17"/>
  <c r="P9" i="17"/>
  <c r="O15" i="17"/>
  <c r="P17" i="17"/>
  <c r="O53" i="17"/>
  <c r="Q14" i="17"/>
  <c r="O13" i="17"/>
  <c r="G34" i="17"/>
  <c r="BH25" i="13"/>
  <c r="BI36" i="13"/>
  <c r="BJ54" i="13"/>
  <c r="BH49" i="13"/>
  <c r="BH17" i="13"/>
  <c r="BH59" i="13"/>
  <c r="BI28" i="13"/>
  <c r="BJ45" i="13"/>
  <c r="BI18" i="13"/>
  <c r="BI60" i="13"/>
  <c r="BH37" i="13"/>
  <c r="Y48" i="17"/>
  <c r="X14" i="17"/>
  <c r="W7" i="17"/>
  <c r="Y56" i="17"/>
  <c r="X36" i="17"/>
  <c r="W14" i="17"/>
  <c r="W37" i="17"/>
  <c r="X35" i="17"/>
  <c r="W38" i="17"/>
  <c r="U16" i="17"/>
  <c r="Q36" i="17"/>
  <c r="Q16" i="17"/>
  <c r="P7" i="17"/>
  <c r="Q46" i="17"/>
  <c r="O52" i="17"/>
  <c r="Q56" i="17"/>
  <c r="Q19" i="17"/>
  <c r="Q47" i="17"/>
  <c r="O55" i="17"/>
  <c r="P41" i="17"/>
  <c r="P14" i="17"/>
  <c r="O7" i="17"/>
  <c r="P46" i="17"/>
  <c r="P56" i="17"/>
  <c r="P40" i="17"/>
  <c r="O19" i="17"/>
  <c r="P47" i="17"/>
  <c r="P59" i="17"/>
  <c r="O39" i="17"/>
  <c r="O22" i="17"/>
  <c r="Q6" i="17"/>
  <c r="Q44" i="17"/>
  <c r="O48" i="17"/>
  <c r="Q50" i="17"/>
  <c r="Q52" i="17"/>
  <c r="O56" i="17"/>
  <c r="O58" i="17"/>
  <c r="O42" i="17"/>
  <c r="P30" i="17"/>
  <c r="Q40" i="17"/>
  <c r="Q13" i="17"/>
  <c r="Q17" i="17"/>
  <c r="O21" i="17"/>
  <c r="P45" i="17"/>
  <c r="P49" i="17"/>
  <c r="Q53" i="17"/>
  <c r="Q59" i="17"/>
  <c r="Q27" i="17"/>
  <c r="P33" i="17"/>
  <c r="P39" i="17"/>
  <c r="P18" i="17"/>
  <c r="P22" i="17"/>
  <c r="Q7" i="17"/>
  <c r="O6" i="17"/>
  <c r="P48" i="17"/>
  <c r="P54" i="17"/>
  <c r="Q58" i="17"/>
  <c r="O38" i="17"/>
  <c r="P13" i="17"/>
  <c r="O17" i="17"/>
  <c r="P19" i="17"/>
  <c r="O43" i="17"/>
  <c r="Q49" i="17"/>
  <c r="P57" i="17"/>
  <c r="O25" i="17"/>
  <c r="Q37" i="17"/>
  <c r="Q41" i="17"/>
  <c r="O14" i="17"/>
  <c r="Q18" i="17"/>
  <c r="O20" i="17"/>
  <c r="Q22" i="17"/>
  <c r="P38" i="17"/>
  <c r="O40" i="17"/>
  <c r="O24" i="17"/>
  <c r="Q21" i="17"/>
  <c r="P23" i="17"/>
  <c r="P43" i="17"/>
  <c r="Q45" i="17"/>
  <c r="O47" i="17"/>
  <c r="Q51" i="17"/>
  <c r="P53" i="17"/>
  <c r="Q55" i="17"/>
  <c r="O57" i="17"/>
  <c r="O59" i="17"/>
  <c r="P27" i="17"/>
  <c r="P29" i="17"/>
  <c r="Q31" i="17"/>
  <c r="P35" i="17"/>
  <c r="P37" i="17"/>
  <c r="Q39" i="17"/>
  <c r="Q20" i="17"/>
  <c r="P44" i="17"/>
  <c r="O46" i="17"/>
  <c r="P50" i="17"/>
  <c r="P52" i="17"/>
  <c r="O54" i="17"/>
  <c r="P58" i="17"/>
  <c r="Q42" i="17"/>
  <c r="P26" i="17"/>
  <c r="O30" i="17"/>
  <c r="P32" i="17"/>
  <c r="O34" i="17"/>
  <c r="P36" i="17"/>
  <c r="Q38" i="17"/>
  <c r="Q24" i="17"/>
  <c r="P21" i="17"/>
  <c r="Q23" i="17"/>
  <c r="O45" i="17"/>
  <c r="O49" i="17"/>
  <c r="O51" i="17"/>
  <c r="P55" i="17"/>
  <c r="Q57" i="17"/>
  <c r="Q25" i="17"/>
  <c r="O27" i="17"/>
  <c r="O29" i="17"/>
  <c r="Q33" i="17"/>
  <c r="O35" i="17"/>
  <c r="O37" i="17"/>
  <c r="O41" i="17"/>
  <c r="BJ63" i="14"/>
  <c r="BJ64" i="14" s="1"/>
  <c r="BL16" i="14"/>
  <c r="BL17" i="14" s="1"/>
  <c r="BL18" i="14" s="1"/>
  <c r="BL19" i="14" s="1"/>
  <c r="BL20" i="14" s="1"/>
  <c r="BL21" i="14" s="1"/>
  <c r="BL22" i="14" s="1"/>
  <c r="BL23" i="14" s="1"/>
  <c r="BL24" i="14" s="1"/>
  <c r="BL25" i="14" s="1"/>
  <c r="BL26" i="14" s="1"/>
  <c r="BL27" i="14" s="1"/>
  <c r="BL28" i="14" s="1"/>
  <c r="BL29" i="14" s="1"/>
  <c r="BL30" i="14" s="1"/>
  <c r="BL31" i="14" s="1"/>
  <c r="BL32" i="14" s="1"/>
  <c r="BL33" i="14" s="1"/>
  <c r="BL34" i="14" s="1"/>
  <c r="BL35" i="14" s="1"/>
  <c r="BL36" i="14" s="1"/>
  <c r="BL37" i="14" s="1"/>
  <c r="BL38" i="14" s="1"/>
  <c r="BL39" i="14" s="1"/>
  <c r="BL40" i="14" s="1"/>
  <c r="BL41" i="14" s="1"/>
  <c r="BL42" i="14" s="1"/>
  <c r="BL43" i="14" s="1"/>
  <c r="BL44" i="14" s="1"/>
  <c r="BL45" i="14" s="1"/>
  <c r="BL46" i="14" s="1"/>
  <c r="BL47" i="14" s="1"/>
  <c r="BL48" i="14" s="1"/>
  <c r="BL49" i="14" s="1"/>
  <c r="BL50" i="14" s="1"/>
  <c r="BL51" i="14" s="1"/>
  <c r="BL52" i="14" s="1"/>
  <c r="BL53" i="14" s="1"/>
  <c r="BL54" i="14" s="1"/>
  <c r="BL55" i="14" s="1"/>
  <c r="BL56" i="14" s="1"/>
  <c r="BL57" i="14" s="1"/>
  <c r="BL58" i="14" s="1"/>
  <c r="BL59" i="14" s="1"/>
  <c r="BL60" i="14" s="1"/>
  <c r="BL61" i="14" s="1"/>
  <c r="BL62" i="14" s="1"/>
  <c r="BK59" i="13"/>
  <c r="BH45" i="13"/>
  <c r="BH54" i="13"/>
  <c r="BH60" i="13"/>
  <c r="BJ49" i="13"/>
  <c r="BI55" i="13"/>
  <c r="W35" i="17"/>
  <c r="Y54" i="17"/>
  <c r="Y50" i="17"/>
  <c r="Y20" i="17"/>
  <c r="Y35" i="17"/>
  <c r="X49" i="17"/>
  <c r="X18" i="17"/>
  <c r="Y49" i="17"/>
  <c r="X22" i="17"/>
  <c r="Y39" i="17"/>
  <c r="X19" i="17"/>
  <c r="W48" i="17"/>
  <c r="W10" i="17"/>
  <c r="W30" i="17"/>
  <c r="T19" i="17"/>
  <c r="X44" i="17"/>
  <c r="S45" i="17"/>
  <c r="BL10" i="11"/>
  <c r="BL11" i="11" s="1"/>
  <c r="BL12" i="11" s="1"/>
  <c r="BL13" i="11" s="1"/>
  <c r="BL14" i="11" s="1"/>
  <c r="BL15" i="11" s="1"/>
  <c r="BL16" i="11" s="1"/>
  <c r="BL17" i="11" s="1"/>
  <c r="BL18" i="11" s="1"/>
  <c r="BL19" i="11" s="1"/>
  <c r="BL20" i="11" s="1"/>
  <c r="BL21" i="11" s="1"/>
  <c r="BL22" i="11" s="1"/>
  <c r="BL23" i="11" s="1"/>
  <c r="BL24" i="11" s="1"/>
  <c r="BL25" i="11" s="1"/>
  <c r="BL26" i="11" s="1"/>
  <c r="BL27" i="11" s="1"/>
  <c r="BL28" i="11" s="1"/>
  <c r="BL29" i="11" s="1"/>
  <c r="BL30" i="11" s="1"/>
  <c r="BL31" i="11" s="1"/>
  <c r="BL32" i="11" s="1"/>
  <c r="BL33" i="11" s="1"/>
  <c r="BL34" i="11" s="1"/>
  <c r="BL35" i="11" s="1"/>
  <c r="BL36" i="11" s="1"/>
  <c r="BL37" i="11" s="1"/>
  <c r="BL38" i="11" s="1"/>
  <c r="BL39" i="11" s="1"/>
  <c r="BL40" i="11" s="1"/>
  <c r="BL41" i="11" s="1"/>
  <c r="BL42" i="11" s="1"/>
  <c r="BL43" i="11" s="1"/>
  <c r="BL44" i="11" s="1"/>
  <c r="BL45" i="11" s="1"/>
  <c r="BL46" i="11" s="1"/>
  <c r="BL47" i="11" s="1"/>
  <c r="BL48" i="11" s="1"/>
  <c r="BL49" i="11" s="1"/>
  <c r="BL50" i="11" s="1"/>
  <c r="BL51" i="11" s="1"/>
  <c r="BL52" i="11" s="1"/>
  <c r="BL53" i="11" s="1"/>
  <c r="BL54" i="11" s="1"/>
  <c r="BL55" i="11" s="1"/>
  <c r="BL56" i="11" s="1"/>
  <c r="BL57" i="11" s="1"/>
  <c r="BL58" i="11" s="1"/>
  <c r="BL59" i="11" s="1"/>
  <c r="BL60" i="11" s="1"/>
  <c r="BL61" i="11" s="1"/>
  <c r="BL62" i="11" s="1"/>
  <c r="BL10" i="15"/>
  <c r="BL11" i="15" s="1"/>
  <c r="BL12" i="15" s="1"/>
  <c r="BL13" i="15" s="1"/>
  <c r="BL14" i="15" s="1"/>
  <c r="BL15" i="15" s="1"/>
  <c r="BL16" i="15" s="1"/>
  <c r="BL17" i="15" s="1"/>
  <c r="BL18" i="15" s="1"/>
  <c r="BL19" i="15" s="1"/>
  <c r="BL20" i="15" s="1"/>
  <c r="BL21" i="15" s="1"/>
  <c r="BL22" i="15" s="1"/>
  <c r="BL23" i="15" s="1"/>
  <c r="BL24" i="15" s="1"/>
  <c r="BL25" i="15" s="1"/>
  <c r="BL26" i="15" s="1"/>
  <c r="BL27" i="15" s="1"/>
  <c r="BL28" i="15" s="1"/>
  <c r="BL29" i="15" s="1"/>
  <c r="BL30" i="15" s="1"/>
  <c r="BL31" i="15" s="1"/>
  <c r="BL32" i="15" s="1"/>
  <c r="BL33" i="15" s="1"/>
  <c r="BL34" i="15" s="1"/>
  <c r="BL35" i="15" s="1"/>
  <c r="BL36" i="15" s="1"/>
  <c r="BL37" i="15" s="1"/>
  <c r="BL38" i="15" s="1"/>
  <c r="BL39" i="15" s="1"/>
  <c r="BL40" i="15" s="1"/>
  <c r="BL41" i="15" s="1"/>
  <c r="BL42" i="15" s="1"/>
  <c r="BL43" i="15" s="1"/>
  <c r="BL44" i="15" s="1"/>
  <c r="BL45" i="15" s="1"/>
  <c r="BL46" i="15" s="1"/>
  <c r="BL47" i="15" s="1"/>
  <c r="BL48" i="15" s="1"/>
  <c r="BL49" i="15" s="1"/>
  <c r="BL50" i="15" s="1"/>
  <c r="BL51" i="15" s="1"/>
  <c r="BL52" i="15" s="1"/>
  <c r="BL53" i="15" s="1"/>
  <c r="BL54" i="15" s="1"/>
  <c r="BL55" i="15" s="1"/>
  <c r="BL56" i="15" s="1"/>
  <c r="BL57" i="15" s="1"/>
  <c r="BL58" i="15" s="1"/>
  <c r="BL59" i="15" s="1"/>
  <c r="BL60" i="15" s="1"/>
  <c r="BL61" i="15" s="1"/>
  <c r="BL62" i="15" s="1"/>
  <c r="BK15" i="13"/>
  <c r="BK23" i="13"/>
  <c r="BK26" i="13"/>
  <c r="BK34" i="13"/>
  <c r="BK42" i="13"/>
  <c r="BK16" i="13"/>
  <c r="BK24" i="13"/>
  <c r="BH31" i="13"/>
  <c r="BH39" i="13"/>
  <c r="BK17" i="13"/>
  <c r="BK25" i="13"/>
  <c r="BK28" i="13"/>
  <c r="BK36" i="13"/>
  <c r="BK10" i="13"/>
  <c r="BK18" i="13"/>
  <c r="BK29" i="13"/>
  <c r="BK37" i="13"/>
  <c r="BH13" i="13"/>
  <c r="BH19" i="13"/>
  <c r="BH30" i="13"/>
  <c r="BH38" i="13"/>
  <c r="BH12" i="13"/>
  <c r="BH20" i="13"/>
  <c r="BK27" i="13"/>
  <c r="BK35" i="13"/>
  <c r="BK43" i="13"/>
  <c r="BI9" i="13"/>
  <c r="BL9" i="13"/>
  <c r="BH21" i="13"/>
  <c r="BH44" i="13"/>
  <c r="BH32" i="13"/>
  <c r="BH40" i="13"/>
  <c r="BH14" i="13"/>
  <c r="BH22" i="13"/>
  <c r="BH33" i="13"/>
  <c r="BH41" i="13"/>
  <c r="BH11" i="13"/>
  <c r="T26" i="17"/>
  <c r="S29" i="17"/>
  <c r="Y7" i="17"/>
  <c r="BL10" i="16"/>
  <c r="BL11" i="16" s="1"/>
  <c r="BL12" i="16" s="1"/>
  <c r="BL13" i="16" s="1"/>
  <c r="BL14" i="16" s="1"/>
  <c r="BL15" i="16" s="1"/>
  <c r="BL16" i="16" s="1"/>
  <c r="BL17" i="16" s="1"/>
  <c r="BL18" i="16" s="1"/>
  <c r="BL19" i="16" s="1"/>
  <c r="BL20" i="16" s="1"/>
  <c r="BL21" i="16" s="1"/>
  <c r="BL22" i="16" s="1"/>
  <c r="BL23" i="16" s="1"/>
  <c r="BL24" i="16" s="1"/>
  <c r="BL25" i="16" s="1"/>
  <c r="BL26" i="16" s="1"/>
  <c r="BL27" i="16" s="1"/>
  <c r="BL28" i="16" s="1"/>
  <c r="BL29" i="16" s="1"/>
  <c r="BL30" i="16" s="1"/>
  <c r="BL31" i="16" s="1"/>
  <c r="BL32" i="16" s="1"/>
  <c r="BL33" i="16" s="1"/>
  <c r="BL34" i="16" s="1"/>
  <c r="BL35" i="16" s="1"/>
  <c r="BL36" i="16" s="1"/>
  <c r="BL37" i="16" s="1"/>
  <c r="BL38" i="16" s="1"/>
  <c r="BL39" i="16" s="1"/>
  <c r="BL40" i="16" s="1"/>
  <c r="BL41" i="16" s="1"/>
  <c r="BL42" i="16" s="1"/>
  <c r="BL43" i="16" s="1"/>
  <c r="BL44" i="16" s="1"/>
  <c r="BL45" i="16" s="1"/>
  <c r="BL46" i="16" s="1"/>
  <c r="BL47" i="16" s="1"/>
  <c r="BL48" i="16" s="1"/>
  <c r="BL49" i="16" s="1"/>
  <c r="BL50" i="16" s="1"/>
  <c r="BL51" i="16" s="1"/>
  <c r="BL52" i="16" s="1"/>
  <c r="BL53" i="16" s="1"/>
  <c r="BL54" i="16" s="1"/>
  <c r="BL55" i="16" s="1"/>
  <c r="BL56" i="16" s="1"/>
  <c r="BL57" i="16" s="1"/>
  <c r="BL58" i="16" s="1"/>
  <c r="BL59" i="16" s="1"/>
  <c r="BL60" i="16" s="1"/>
  <c r="BL61" i="16" s="1"/>
  <c r="BL62" i="16" s="1"/>
  <c r="BJ63" i="16" a="1"/>
  <c r="BJ63" i="16" s="1"/>
  <c r="BJ64" i="16" s="1"/>
  <c r="S16" i="17"/>
  <c r="S46" i="17"/>
  <c r="U38" i="17"/>
  <c r="U53" i="17"/>
  <c r="U41" i="17"/>
  <c r="T56" i="17"/>
  <c r="S54" i="17"/>
  <c r="S32" i="17"/>
  <c r="T11" i="17"/>
  <c r="U45" i="17"/>
  <c r="T25" i="17"/>
  <c r="U33" i="17"/>
  <c r="S10" i="17"/>
  <c r="U7" i="17"/>
  <c r="T34" i="17"/>
  <c r="BF69" i="13"/>
  <c r="BK14" i="13"/>
  <c r="BK11" i="13"/>
  <c r="BK46" i="13"/>
  <c r="BK30" i="13"/>
  <c r="BI53" i="13"/>
  <c r="BK20" i="13"/>
  <c r="BK21" i="13"/>
  <c r="BK40" i="13"/>
  <c r="BI47" i="13"/>
  <c r="BJ57" i="13"/>
  <c r="BI35" i="13"/>
  <c r="BH43" i="13"/>
  <c r="BI11" i="13"/>
  <c r="BI15" i="13"/>
  <c r="BH23" i="13"/>
  <c r="BK51" i="13"/>
  <c r="BH26" i="13"/>
  <c r="BI34" i="13"/>
  <c r="BH42" i="13"/>
  <c r="BI61" i="13"/>
  <c r="BH16" i="13"/>
  <c r="BI24" i="13"/>
  <c r="BK58" i="13"/>
  <c r="BI27" i="13"/>
  <c r="BH9" i="13"/>
  <c r="BK13" i="13"/>
  <c r="BJ44" i="13"/>
  <c r="BK32" i="13"/>
  <c r="BJ56" i="13"/>
  <c r="BK22" i="13"/>
  <c r="BK52" i="13"/>
  <c r="BK41" i="13"/>
  <c r="BH35" i="13"/>
  <c r="BI43" i="13"/>
  <c r="BH15" i="13"/>
  <c r="BI23" i="13"/>
  <c r="BH51" i="13"/>
  <c r="BI26" i="13"/>
  <c r="BH34" i="13"/>
  <c r="BI42" i="13"/>
  <c r="BH61" i="13"/>
  <c r="BI16" i="13"/>
  <c r="BH24" i="13"/>
  <c r="BH58" i="13"/>
  <c r="BH27" i="13"/>
  <c r="BJ63" i="15" a="1"/>
  <c r="BJ63" i="15" s="1"/>
  <c r="BJ64" i="15" s="1"/>
  <c r="H49" i="17"/>
  <c r="H48" i="17"/>
  <c r="H23" i="17"/>
  <c r="H19" i="17"/>
  <c r="H15" i="17"/>
  <c r="H11" i="17"/>
  <c r="H7" i="17"/>
  <c r="H40" i="17"/>
  <c r="H36" i="17"/>
  <c r="H32" i="17"/>
  <c r="H28" i="17"/>
  <c r="H42" i="17"/>
  <c r="H57" i="17"/>
  <c r="H53" i="17"/>
  <c r="H45" i="17"/>
  <c r="H20" i="17"/>
  <c r="H16" i="17"/>
  <c r="H12" i="17"/>
  <c r="H8" i="17"/>
  <c r="H41" i="17"/>
  <c r="H37" i="17"/>
  <c r="H33" i="17"/>
  <c r="H29" i="17"/>
  <c r="H25" i="17"/>
  <c r="H58" i="17"/>
  <c r="H54" i="17"/>
  <c r="H50" i="17"/>
  <c r="H46" i="17"/>
  <c r="H21" i="17"/>
  <c r="H17" i="17"/>
  <c r="H13" i="17"/>
  <c r="H9" i="17"/>
  <c r="H38" i="17"/>
  <c r="H34" i="17"/>
  <c r="H30" i="17"/>
  <c r="H26" i="17"/>
  <c r="H59" i="17"/>
  <c r="H55" i="17"/>
  <c r="H51" i="17"/>
  <c r="H47" i="17"/>
  <c r="H43" i="17"/>
  <c r="H22" i="17"/>
  <c r="H18" i="17"/>
  <c r="H14" i="17"/>
  <c r="H10" i="17"/>
  <c r="H24" i="17"/>
  <c r="H39" i="17"/>
  <c r="H35" i="17"/>
  <c r="H31" i="17"/>
  <c r="H27" i="17"/>
  <c r="H56" i="17"/>
  <c r="H52" i="17"/>
  <c r="H44" i="17"/>
  <c r="W55" i="17"/>
  <c r="BF72" i="16"/>
  <c r="Y19" i="17"/>
  <c r="W22" i="17"/>
  <c r="X11" i="17"/>
  <c r="Y12" i="17"/>
  <c r="X26" i="17"/>
  <c r="W44" i="17"/>
  <c r="W58" i="17"/>
  <c r="X12" i="17"/>
  <c r="X25" i="17"/>
  <c r="Y57" i="17"/>
  <c r="X24" i="17"/>
  <c r="Y46" i="17"/>
  <c r="Y21" i="17"/>
  <c r="Y51" i="17"/>
  <c r="Y30" i="17"/>
  <c r="X52" i="17"/>
  <c r="X55" i="17"/>
  <c r="Y11" i="17"/>
  <c r="X57" i="17"/>
  <c r="W36" i="17"/>
  <c r="X9" i="17"/>
  <c r="X17" i="17"/>
  <c r="W29" i="17"/>
  <c r="Y41" i="17"/>
  <c r="X45" i="17"/>
  <c r="W54" i="17"/>
  <c r="X8" i="17"/>
  <c r="Y15" i="17"/>
  <c r="Y23" i="17"/>
  <c r="X31" i="17"/>
  <c r="Y38" i="17"/>
  <c r="Y45" i="17"/>
  <c r="Y53" i="17"/>
  <c r="X7" i="17"/>
  <c r="X6" i="17"/>
  <c r="W12" i="17"/>
  <c r="Y29" i="17"/>
  <c r="Y44" i="17"/>
  <c r="W50" i="17"/>
  <c r="W15" i="17"/>
  <c r="X27" i="17"/>
  <c r="Y47" i="17"/>
  <c r="W57" i="17"/>
  <c r="W8" i="17"/>
  <c r="W28" i="17"/>
  <c r="X15" i="17"/>
  <c r="Y31" i="17"/>
  <c r="W46" i="17"/>
  <c r="W52" i="17"/>
  <c r="Y32" i="17"/>
  <c r="X54" i="17"/>
  <c r="X32" i="17"/>
  <c r="W11" i="17"/>
  <c r="W13" i="17"/>
  <c r="X29" i="17"/>
  <c r="W41" i="17"/>
  <c r="W33" i="17"/>
  <c r="Y10" i="17"/>
  <c r="W16" i="17"/>
  <c r="Y18" i="17"/>
  <c r="X23" i="17"/>
  <c r="W25" i="17"/>
  <c r="Y27" i="17"/>
  <c r="W31" i="17"/>
  <c r="X38" i="17"/>
  <c r="Y42" i="17"/>
  <c r="X51" i="17"/>
  <c r="W56" i="17"/>
  <c r="X59" i="17"/>
  <c r="Y9" i="17"/>
  <c r="Y13" i="17"/>
  <c r="W17" i="17"/>
  <c r="W21" i="17"/>
  <c r="W24" i="17"/>
  <c r="Y26" i="17"/>
  <c r="W34" i="17"/>
  <c r="X37" i="17"/>
  <c r="X41" i="17"/>
  <c r="W43" i="17"/>
  <c r="W47" i="17"/>
  <c r="W51" i="17"/>
  <c r="X56" i="17"/>
  <c r="W59" i="17"/>
  <c r="Y6" i="17"/>
  <c r="W6" i="17"/>
  <c r="W20" i="17"/>
  <c r="W27" i="17"/>
  <c r="Y37" i="17"/>
  <c r="W42" i="17"/>
  <c r="Y58" i="17"/>
  <c r="X10" i="17"/>
  <c r="Y17" i="17"/>
  <c r="Y24" i="17"/>
  <c r="Y34" i="17"/>
  <c r="W49" i="17"/>
  <c r="W53" i="17"/>
  <c r="Y59" i="17"/>
  <c r="Y8" i="17"/>
  <c r="W18" i="17"/>
  <c r="Y25" i="17"/>
  <c r="Y33" i="17"/>
  <c r="X40" i="17"/>
  <c r="X53" i="17"/>
  <c r="W9" i="17"/>
  <c r="X16" i="17"/>
  <c r="W23" i="17"/>
  <c r="W40" i="17"/>
  <c r="X50" i="17"/>
  <c r="Y55" i="17"/>
  <c r="X13" i="17"/>
  <c r="Y52" i="17"/>
  <c r="X28" i="17"/>
  <c r="W26" i="17"/>
  <c r="X58" i="17"/>
  <c r="X39" i="17"/>
  <c r="X21" i="17"/>
  <c r="BI13" i="13"/>
  <c r="BJ21" i="13"/>
  <c r="BI44" i="13"/>
  <c r="BJ48" i="13"/>
  <c r="BJ32" i="13"/>
  <c r="BJ40" i="13"/>
  <c r="BK56" i="13"/>
  <c r="BJ14" i="13"/>
  <c r="BJ22" i="13"/>
  <c r="BJ47" i="13"/>
  <c r="L34" i="17" s="1"/>
  <c r="BJ52" i="13"/>
  <c r="BJ33" i="13"/>
  <c r="BJ41" i="13"/>
  <c r="BK57" i="13"/>
  <c r="BJ31" i="13"/>
  <c r="BJ39" i="13"/>
  <c r="BJ55" i="13"/>
  <c r="BJ19" i="13"/>
  <c r="BJ46" i="13"/>
  <c r="BJ62" i="13"/>
  <c r="BJ30" i="13"/>
  <c r="BJ38" i="13"/>
  <c r="BK53" i="13"/>
  <c r="BJ12" i="13"/>
  <c r="BJ20" i="13"/>
  <c r="BK50" i="13"/>
  <c r="M37" i="17" s="1"/>
  <c r="BF68" i="13"/>
  <c r="BK9" i="13"/>
  <c r="BF70" i="13"/>
  <c r="BJ9" i="13"/>
  <c r="BJ17" i="13"/>
  <c r="BI25" i="13"/>
  <c r="BJ59" i="13"/>
  <c r="BJ28" i="13"/>
  <c r="BJ36" i="13"/>
  <c r="BI45" i="13"/>
  <c r="BJ10" i="13"/>
  <c r="L14" i="17" s="1"/>
  <c r="BJ18" i="13"/>
  <c r="BK54" i="13"/>
  <c r="BK60" i="13"/>
  <c r="BJ29" i="13"/>
  <c r="BJ37" i="13"/>
  <c r="BI49" i="13"/>
  <c r="BJ35" i="13"/>
  <c r="BJ43" i="13"/>
  <c r="BJ15" i="13"/>
  <c r="BJ23" i="13"/>
  <c r="BI51" i="13"/>
  <c r="BJ26" i="13"/>
  <c r="BJ34" i="13"/>
  <c r="BJ42" i="13"/>
  <c r="BK61" i="13"/>
  <c r="BJ16" i="13"/>
  <c r="BJ24" i="13"/>
  <c r="BI58" i="13"/>
  <c r="BJ27" i="13"/>
  <c r="BF67" i="13"/>
  <c r="BF71" i="13"/>
  <c r="BI21" i="13"/>
  <c r="BK44" i="13"/>
  <c r="BI48" i="13"/>
  <c r="BI32" i="13"/>
  <c r="BI40" i="13"/>
  <c r="BI56" i="13"/>
  <c r="BI14" i="13"/>
  <c r="BI22" i="13"/>
  <c r="BH47" i="13"/>
  <c r="BI52" i="13"/>
  <c r="BI33" i="13"/>
  <c r="BI41" i="13"/>
  <c r="BI57" i="13"/>
  <c r="BI31" i="13"/>
  <c r="BI39" i="13"/>
  <c r="BK55" i="13"/>
  <c r="BI19" i="13"/>
  <c r="BI46" i="13"/>
  <c r="BK62" i="13"/>
  <c r="BI30" i="13"/>
  <c r="BI38" i="13"/>
  <c r="BJ53" i="13"/>
  <c r="BI12" i="13"/>
  <c r="BI20" i="13"/>
  <c r="BH50" i="13"/>
  <c r="G37" i="17"/>
  <c r="I43" i="17"/>
  <c r="I50" i="17"/>
  <c r="I15" i="17"/>
  <c r="BF72" i="15"/>
  <c r="S59" i="17"/>
  <c r="S50" i="17"/>
  <c r="S58" i="17"/>
  <c r="U30" i="17"/>
  <c r="U34" i="17"/>
  <c r="S24" i="17"/>
  <c r="U15" i="17"/>
  <c r="U23" i="17"/>
  <c r="U49" i="17"/>
  <c r="U57" i="17"/>
  <c r="S37" i="17"/>
  <c r="T10" i="17"/>
  <c r="S12" i="17"/>
  <c r="U20" i="17"/>
  <c r="T48" i="17"/>
  <c r="T30" i="17"/>
  <c r="U9" i="17"/>
  <c r="T37" i="17"/>
  <c r="U27" i="17"/>
  <c r="T7" i="17"/>
  <c r="T44" i="17"/>
  <c r="U48" i="17"/>
  <c r="T52" i="17"/>
  <c r="U56" i="17"/>
  <c r="S42" i="17"/>
  <c r="S28" i="17"/>
  <c r="S30" i="17"/>
  <c r="U32" i="17"/>
  <c r="S36" i="17"/>
  <c r="S40" i="17"/>
  <c r="S9" i="17"/>
  <c r="T13" i="17"/>
  <c r="S17" i="17"/>
  <c r="S21" i="17"/>
  <c r="T43" i="17"/>
  <c r="S47" i="17"/>
  <c r="T51" i="17"/>
  <c r="S55" i="17"/>
  <c r="T59" i="17"/>
  <c r="S31" i="17"/>
  <c r="U35" i="17"/>
  <c r="S39" i="17"/>
  <c r="U8" i="17"/>
  <c r="T14" i="17"/>
  <c r="T18" i="17"/>
  <c r="S22" i="17"/>
  <c r="S44" i="17"/>
  <c r="S52" i="17"/>
  <c r="U26" i="17"/>
  <c r="T32" i="17"/>
  <c r="T38" i="17"/>
  <c r="S13" i="17"/>
  <c r="S53" i="17"/>
  <c r="U31" i="17"/>
  <c r="S8" i="17"/>
  <c r="S6" i="17"/>
  <c r="U44" i="17"/>
  <c r="T46" i="17"/>
  <c r="S48" i="17"/>
  <c r="U50" i="17"/>
  <c r="U52" i="17"/>
  <c r="T54" i="17"/>
  <c r="S56" i="17"/>
  <c r="U58" i="17"/>
  <c r="U42" i="17"/>
  <c r="S26" i="17"/>
  <c r="U28" i="17"/>
  <c r="S34" i="17"/>
  <c r="U36" i="17"/>
  <c r="S38" i="17"/>
  <c r="U40" i="17"/>
  <c r="T24" i="17"/>
  <c r="T9" i="17"/>
  <c r="S11" i="17"/>
  <c r="U13" i="17"/>
  <c r="S15" i="17"/>
  <c r="T17" i="17"/>
  <c r="S19" i="17"/>
  <c r="U21" i="17"/>
  <c r="S23" i="17"/>
  <c r="U43" i="17"/>
  <c r="T45" i="17"/>
  <c r="U47" i="17"/>
  <c r="S49" i="17"/>
  <c r="U51" i="17"/>
  <c r="T53" i="17"/>
  <c r="U55" i="17"/>
  <c r="S57" i="17"/>
  <c r="U59" i="17"/>
  <c r="S25" i="17"/>
  <c r="S27" i="17"/>
  <c r="U29" i="17"/>
  <c r="T31" i="17"/>
  <c r="S33" i="17"/>
  <c r="S35" i="17"/>
  <c r="U37" i="17"/>
  <c r="T39" i="17"/>
  <c r="S41" i="17"/>
  <c r="T8" i="17"/>
  <c r="U12" i="17"/>
  <c r="U14" i="17"/>
  <c r="T16" i="17"/>
  <c r="S18" i="17"/>
  <c r="S20" i="17"/>
  <c r="U22" i="17"/>
  <c r="S7" i="17"/>
  <c r="U46" i="17"/>
  <c r="T50" i="17"/>
  <c r="U54" i="17"/>
  <c r="T58" i="17"/>
  <c r="T28" i="17"/>
  <c r="T36" i="17"/>
  <c r="U24" i="17"/>
  <c r="U11" i="17"/>
  <c r="U19" i="17"/>
  <c r="T49" i="17"/>
  <c r="T57" i="17"/>
  <c r="T27" i="17"/>
  <c r="T35" i="17"/>
  <c r="U39" i="17"/>
  <c r="T12" i="17"/>
  <c r="T20" i="17"/>
  <c r="T23" i="17"/>
  <c r="U6" i="17"/>
  <c r="I48" i="17"/>
  <c r="G13" i="17"/>
  <c r="G25" i="17"/>
  <c r="G18" i="17"/>
  <c r="I26" i="17"/>
  <c r="I30" i="17"/>
  <c r="I53" i="17"/>
  <c r="I11" i="17"/>
  <c r="I28" i="17"/>
  <c r="G53" i="17"/>
  <c r="G29" i="17"/>
  <c r="G10" i="17"/>
  <c r="G6" i="17"/>
  <c r="G56" i="17"/>
  <c r="G38" i="17"/>
  <c r="I23" i="17"/>
  <c r="I55" i="17"/>
  <c r="BF72" i="11"/>
  <c r="I45" i="17"/>
  <c r="G28" i="17"/>
  <c r="G19" i="17"/>
  <c r="I49" i="17"/>
  <c r="I27" i="17"/>
  <c r="G33" i="17"/>
  <c r="G41" i="17"/>
  <c r="G14" i="17"/>
  <c r="G22" i="17"/>
  <c r="I46" i="17"/>
  <c r="I24" i="17"/>
  <c r="I47" i="17"/>
  <c r="G23" i="17"/>
  <c r="G51" i="17"/>
  <c r="H6" i="17"/>
  <c r="I56" i="17"/>
  <c r="I42" i="17"/>
  <c r="G32" i="17"/>
  <c r="I9" i="17"/>
  <c r="G17" i="17"/>
  <c r="G55" i="17"/>
  <c r="I59" i="17"/>
  <c r="I31" i="17"/>
  <c r="I35" i="17"/>
  <c r="I39" i="17"/>
  <c r="I8" i="17"/>
  <c r="I12" i="17"/>
  <c r="I16" i="17"/>
  <c r="I20" i="17"/>
  <c r="G7" i="17"/>
  <c r="G46" i="17"/>
  <c r="G48" i="17"/>
  <c r="G54" i="17"/>
  <c r="I58" i="17"/>
  <c r="I36" i="17"/>
  <c r="I40" i="17"/>
  <c r="G15" i="17"/>
  <c r="G59" i="17"/>
  <c r="I44" i="17"/>
  <c r="I52" i="17"/>
  <c r="G42" i="17"/>
  <c r="G26" i="17"/>
  <c r="I32" i="17"/>
  <c r="G36" i="17"/>
  <c r="G40" i="17"/>
  <c r="G9" i="17"/>
  <c r="G11" i="17"/>
  <c r="I17" i="17"/>
  <c r="G21" i="17"/>
  <c r="G45" i="17"/>
  <c r="G47" i="17"/>
  <c r="I51" i="17"/>
  <c r="I57" i="17"/>
  <c r="I25" i="17"/>
  <c r="G27" i="17"/>
  <c r="I29" i="17"/>
  <c r="G31" i="17"/>
  <c r="I33" i="17"/>
  <c r="G35" i="17"/>
  <c r="I37" i="17"/>
  <c r="G39" i="17"/>
  <c r="I41" i="17"/>
  <c r="G8" i="17"/>
  <c r="I10" i="17"/>
  <c r="G12" i="17"/>
  <c r="I14" i="17"/>
  <c r="G16" i="17"/>
  <c r="I18" i="17"/>
  <c r="G20" i="17"/>
  <c r="I22" i="17"/>
  <c r="I7" i="17"/>
  <c r="I6" i="17"/>
  <c r="G44" i="17"/>
  <c r="G50" i="17"/>
  <c r="G52" i="17"/>
  <c r="I54" i="17"/>
  <c r="G58" i="17"/>
  <c r="G30" i="17"/>
  <c r="I34" i="17"/>
  <c r="I38" i="17"/>
  <c r="G24" i="17"/>
  <c r="I13" i="17"/>
  <c r="I19" i="17"/>
  <c r="I21" i="17"/>
  <c r="G43" i="17"/>
  <c r="G49" i="17"/>
  <c r="G57" i="17"/>
  <c r="W32" i="17"/>
  <c r="BJ63" i="11"/>
  <c r="BJ64" i="11" s="1"/>
  <c r="T42" i="17"/>
  <c r="T40" i="17"/>
  <c r="S43" i="17"/>
  <c r="T47" i="17"/>
  <c r="S51" i="17"/>
  <c r="T55" i="17"/>
  <c r="T41" i="17"/>
  <c r="Y28" i="17"/>
  <c r="Y36" i="17"/>
  <c r="X42" i="17"/>
  <c r="X46" i="17"/>
  <c r="Y16" i="17"/>
  <c r="X47" i="17"/>
  <c r="Y14" i="17"/>
  <c r="X43" i="17"/>
  <c r="W19" i="17"/>
  <c r="X33" i="17"/>
  <c r="X20" i="17"/>
  <c r="W45" i="17"/>
  <c r="Y22" i="17"/>
  <c r="Y43" i="17"/>
  <c r="X48" i="17"/>
  <c r="Y40" i="17"/>
  <c r="W39" i="17"/>
  <c r="T15" i="17"/>
  <c r="T21" i="17"/>
  <c r="U25" i="17"/>
  <c r="T29" i="17"/>
  <c r="T22" i="17"/>
  <c r="U17" i="17"/>
  <c r="T33" i="17"/>
  <c r="U10" i="17"/>
  <c r="S14" i="17"/>
  <c r="U18" i="17"/>
  <c r="T6" i="17"/>
  <c r="K7" i="17"/>
  <c r="K39" i="17"/>
  <c r="L29" i="17"/>
  <c r="M51" i="17"/>
  <c r="M23" i="17"/>
  <c r="L11" i="17"/>
  <c r="K58" i="17"/>
  <c r="L44" i="17"/>
  <c r="K14" i="17"/>
  <c r="M29" i="17"/>
  <c r="L55" i="17"/>
  <c r="L13" i="17"/>
  <c r="L30" i="17"/>
  <c r="K26" i="17"/>
  <c r="M58" i="17"/>
  <c r="M44" i="17"/>
  <c r="R5" i="1"/>
  <c r="AM79" i="1"/>
  <c r="AL79" i="1"/>
  <c r="AH79" i="1"/>
  <c r="AG79" i="1"/>
  <c r="AC79" i="1"/>
  <c r="AB79" i="1"/>
  <c r="AM75" i="1"/>
  <c r="AL75" i="1"/>
  <c r="AH75" i="1"/>
  <c r="AG75" i="1"/>
  <c r="AC75" i="1"/>
  <c r="AB75" i="1"/>
  <c r="AM71" i="1"/>
  <c r="AL71" i="1"/>
  <c r="AH71" i="1"/>
  <c r="AG71" i="1"/>
  <c r="AC71" i="1"/>
  <c r="AB71" i="1"/>
  <c r="AM67" i="1"/>
  <c r="AL67" i="1"/>
  <c r="AH67" i="1"/>
  <c r="AG67" i="1"/>
  <c r="AC67" i="1"/>
  <c r="AB67" i="1"/>
  <c r="AM63" i="1"/>
  <c r="AL63" i="1"/>
  <c r="AH63" i="1"/>
  <c r="AG63" i="1"/>
  <c r="AC63" i="1"/>
  <c r="AB63" i="1"/>
  <c r="AM59" i="1"/>
  <c r="AL59" i="1"/>
  <c r="AH59" i="1"/>
  <c r="AG59" i="1"/>
  <c r="AC59" i="1"/>
  <c r="AB59" i="1"/>
  <c r="AM55" i="1"/>
  <c r="AL55" i="1"/>
  <c r="AH55" i="1"/>
  <c r="AG55" i="1"/>
  <c r="AC55" i="1"/>
  <c r="AB55" i="1"/>
  <c r="AM51" i="1"/>
  <c r="AL51" i="1"/>
  <c r="AH51" i="1"/>
  <c r="AG51" i="1"/>
  <c r="AC51" i="1"/>
  <c r="AB51" i="1"/>
  <c r="AM47" i="1"/>
  <c r="AL47" i="1"/>
  <c r="AH47" i="1"/>
  <c r="AG47" i="1"/>
  <c r="AC47" i="1"/>
  <c r="AB47" i="1"/>
  <c r="AM43" i="1"/>
  <c r="AL43" i="1"/>
  <c r="AH43" i="1"/>
  <c r="AG43" i="1"/>
  <c r="AC43" i="1"/>
  <c r="AB43" i="1"/>
  <c r="AM39" i="1"/>
  <c r="AL39" i="1"/>
  <c r="AH39" i="1"/>
  <c r="AG39" i="1"/>
  <c r="AC39" i="1"/>
  <c r="AB39" i="1"/>
  <c r="AM35" i="1"/>
  <c r="AL35" i="1"/>
  <c r="AH35" i="1"/>
  <c r="AG35" i="1"/>
  <c r="AC35" i="1"/>
  <c r="AB35" i="1"/>
  <c r="AM31" i="1"/>
  <c r="AL31" i="1"/>
  <c r="AH31" i="1"/>
  <c r="AG31" i="1"/>
  <c r="AC31" i="1"/>
  <c r="AB31" i="1"/>
  <c r="AM27" i="1"/>
  <c r="AL27" i="1"/>
  <c r="AH27" i="1"/>
  <c r="AG27" i="1"/>
  <c r="AC27" i="1"/>
  <c r="AB27" i="1"/>
  <c r="AM23" i="1"/>
  <c r="AL23" i="1"/>
  <c r="AH23" i="1"/>
  <c r="AG23" i="1"/>
  <c r="AC23" i="1"/>
  <c r="AB23" i="1"/>
  <c r="AM19" i="1"/>
  <c r="AL19" i="1"/>
  <c r="AH19" i="1"/>
  <c r="AG19" i="1"/>
  <c r="AC19" i="1"/>
  <c r="AB19" i="1"/>
  <c r="AM15" i="1"/>
  <c r="AL15" i="1"/>
  <c r="AH15" i="1"/>
  <c r="AG15" i="1"/>
  <c r="AC15" i="1"/>
  <c r="AB15" i="1"/>
  <c r="AM11" i="1"/>
  <c r="AL11" i="1"/>
  <c r="AH11" i="1"/>
  <c r="AG11" i="1"/>
  <c r="AC11" i="1"/>
  <c r="AB11" i="1"/>
  <c r="L20" i="17" l="1"/>
  <c r="M6" i="17"/>
  <c r="M52" i="17"/>
  <c r="L40" i="17"/>
  <c r="L47" i="17"/>
  <c r="K25" i="17"/>
  <c r="M31" i="17"/>
  <c r="M8" i="17"/>
  <c r="M22" i="17"/>
  <c r="L52" i="17"/>
  <c r="M28" i="17"/>
  <c r="K40" i="17"/>
  <c r="M17" i="17"/>
  <c r="M47" i="17"/>
  <c r="K57" i="17"/>
  <c r="K31" i="17"/>
  <c r="M7" i="17"/>
  <c r="K6" i="17"/>
  <c r="M46" i="17"/>
  <c r="M56" i="17"/>
  <c r="L36" i="17"/>
  <c r="K9" i="17"/>
  <c r="K43" i="17"/>
  <c r="K51" i="17"/>
  <c r="K59" i="17"/>
  <c r="K33" i="17"/>
  <c r="M39" i="17"/>
  <c r="M12" i="17"/>
  <c r="K18" i="17"/>
  <c r="L7" i="17"/>
  <c r="L48" i="17"/>
  <c r="K54" i="17"/>
  <c r="K42" i="17"/>
  <c r="M30" i="17"/>
  <c r="M38" i="17"/>
  <c r="M9" i="17"/>
  <c r="M15" i="17"/>
  <c r="L19" i="17"/>
  <c r="M43" i="17"/>
  <c r="M49" i="17"/>
  <c r="M53" i="17"/>
  <c r="L35" i="17"/>
  <c r="L12" i="17"/>
  <c r="L32" i="17"/>
  <c r="Q61" i="17"/>
  <c r="O61" i="17"/>
  <c r="P61" i="17"/>
  <c r="K19" i="17"/>
  <c r="K48" i="17"/>
  <c r="L6" i="17"/>
  <c r="BF72" i="13"/>
  <c r="K20" i="17"/>
  <c r="K44" i="17"/>
  <c r="M48" i="17"/>
  <c r="M50" i="17"/>
  <c r="K52" i="17"/>
  <c r="K56" i="17"/>
  <c r="M42" i="17"/>
  <c r="L28" i="17"/>
  <c r="K32" i="17"/>
  <c r="L38" i="17"/>
  <c r="K24" i="17"/>
  <c r="K11" i="17"/>
  <c r="K17" i="17"/>
  <c r="L21" i="17"/>
  <c r="K45" i="17"/>
  <c r="L49" i="17"/>
  <c r="K53" i="17"/>
  <c r="L57" i="17"/>
  <c r="M25" i="17"/>
  <c r="M27" i="17"/>
  <c r="K29" i="17"/>
  <c r="M33" i="17"/>
  <c r="M35" i="17"/>
  <c r="K37" i="17"/>
  <c r="K41" i="17"/>
  <c r="M10" i="17"/>
  <c r="M14" i="17"/>
  <c r="M16" i="17"/>
  <c r="M20" i="17"/>
  <c r="K22" i="17"/>
  <c r="K46" i="17"/>
  <c r="K50" i="17"/>
  <c r="L54" i="17"/>
  <c r="L58" i="17"/>
  <c r="L42" i="17"/>
  <c r="M26" i="17"/>
  <c r="K28" i="17"/>
  <c r="K30" i="17"/>
  <c r="M34" i="17"/>
  <c r="K36" i="17"/>
  <c r="M40" i="17"/>
  <c r="M24" i="17"/>
  <c r="M11" i="17"/>
  <c r="M13" i="17"/>
  <c r="K15" i="17"/>
  <c r="M19" i="17"/>
  <c r="M21" i="17"/>
  <c r="K23" i="17"/>
  <c r="M45" i="17"/>
  <c r="K47" i="17"/>
  <c r="K49" i="17"/>
  <c r="L51" i="17"/>
  <c r="K55" i="17"/>
  <c r="L59" i="17"/>
  <c r="L31" i="17"/>
  <c r="L33" i="17"/>
  <c r="L37" i="17"/>
  <c r="L10" i="17"/>
  <c r="K12" i="17"/>
  <c r="L18" i="17"/>
  <c r="BL10" i="13"/>
  <c r="BL11" i="13" s="1"/>
  <c r="BL12" i="13" s="1"/>
  <c r="BL13" i="13" s="1"/>
  <c r="BL14" i="13" s="1"/>
  <c r="BL15" i="13" s="1"/>
  <c r="BL16" i="13" s="1"/>
  <c r="BL17" i="13" s="1"/>
  <c r="BL18" i="13" s="1"/>
  <c r="BL19" i="13" s="1"/>
  <c r="BL20" i="13" s="1"/>
  <c r="BL21" i="13" s="1"/>
  <c r="BL22" i="13" s="1"/>
  <c r="BL23" i="13" s="1"/>
  <c r="BL24" i="13" s="1"/>
  <c r="BL25" i="13" s="1"/>
  <c r="BL26" i="13" s="1"/>
  <c r="BL27" i="13" s="1"/>
  <c r="BL28" i="13" s="1"/>
  <c r="BL29" i="13" s="1"/>
  <c r="BL30" i="13" s="1"/>
  <c r="BL31" i="13" s="1"/>
  <c r="BL32" i="13" s="1"/>
  <c r="BL33" i="13" s="1"/>
  <c r="BL34" i="13" s="1"/>
  <c r="BL35" i="13" s="1"/>
  <c r="BL36" i="13" s="1"/>
  <c r="BL37" i="13" s="1"/>
  <c r="BL38" i="13" s="1"/>
  <c r="BL39" i="13" s="1"/>
  <c r="BL40" i="13" s="1"/>
  <c r="BL41" i="13" s="1"/>
  <c r="BL42" i="13" s="1"/>
  <c r="BL43" i="13" s="1"/>
  <c r="BL44" i="13" s="1"/>
  <c r="BL45" i="13" s="1"/>
  <c r="BL46" i="13" s="1"/>
  <c r="BL47" i="13" s="1"/>
  <c r="BL48" i="13" s="1"/>
  <c r="BL49" i="13" s="1"/>
  <c r="BL50" i="13" s="1"/>
  <c r="BL51" i="13" s="1"/>
  <c r="BL52" i="13" s="1"/>
  <c r="BL53" i="13" s="1"/>
  <c r="BL54" i="13" s="1"/>
  <c r="BL55" i="13" s="1"/>
  <c r="BL56" i="13" s="1"/>
  <c r="BL57" i="13" s="1"/>
  <c r="BL58" i="13" s="1"/>
  <c r="BL59" i="13" s="1"/>
  <c r="BL60" i="13" s="1"/>
  <c r="BL61" i="13" s="1"/>
  <c r="BL62" i="13" s="1"/>
  <c r="K21" i="17"/>
  <c r="M41" i="17"/>
  <c r="K34" i="17"/>
  <c r="K13" i="17"/>
  <c r="K38" i="17"/>
  <c r="K35" i="17"/>
  <c r="K10" i="17"/>
  <c r="M18" i="17"/>
  <c r="L24" i="17"/>
  <c r="L17" i="17"/>
  <c r="L43" i="17"/>
  <c r="L45" i="17"/>
  <c r="L25" i="17"/>
  <c r="L50" i="17"/>
  <c r="L56" i="17"/>
  <c r="L53" i="17"/>
  <c r="M36" i="17"/>
  <c r="L8" i="17"/>
  <c r="L46" i="17"/>
  <c r="L16" i="17"/>
  <c r="M54" i="17"/>
  <c r="L26" i="17"/>
  <c r="L15" i="17"/>
  <c r="L9" i="17"/>
  <c r="L23" i="17"/>
  <c r="L27" i="17"/>
  <c r="M32" i="17"/>
  <c r="K8" i="17"/>
  <c r="K27" i="17"/>
  <c r="BJ63" i="13" a="1"/>
  <c r="BJ63" i="13" s="1"/>
  <c r="BJ64" i="13" s="1"/>
  <c r="T61" i="17"/>
  <c r="I61" i="17"/>
  <c r="G61" i="17"/>
  <c r="K16" i="17"/>
  <c r="W61" i="17"/>
  <c r="X61" i="17"/>
  <c r="Y61" i="17"/>
  <c r="H61" i="17"/>
  <c r="U61" i="17"/>
  <c r="S61" i="17"/>
  <c r="M55" i="17"/>
  <c r="M57" i="17"/>
  <c r="M59" i="17"/>
  <c r="L39" i="17"/>
  <c r="L41" i="17"/>
  <c r="L22" i="17"/>
  <c r="D22" i="7"/>
  <c r="G84" i="6"/>
  <c r="I84" i="6" s="1"/>
  <c r="B84" i="6"/>
  <c r="D84" i="6" s="1"/>
  <c r="L83" i="6"/>
  <c r="N83" i="6" s="1"/>
  <c r="G83" i="6"/>
  <c r="I83" i="6" s="1"/>
  <c r="B83" i="6"/>
  <c r="D83" i="6" s="1"/>
  <c r="O82" i="6"/>
  <c r="N82" i="6"/>
  <c r="L82" i="6"/>
  <c r="J82" i="6"/>
  <c r="I82" i="6"/>
  <c r="G82" i="6"/>
  <c r="E82" i="6"/>
  <c r="D82" i="6"/>
  <c r="B82" i="6"/>
  <c r="L80" i="6"/>
  <c r="N80" i="6" s="1"/>
  <c r="G80" i="6"/>
  <c r="I80" i="6" s="1"/>
  <c r="B80" i="6"/>
  <c r="D80" i="6" s="1"/>
  <c r="L79" i="6"/>
  <c r="N79" i="6" s="1"/>
  <c r="G79" i="6"/>
  <c r="I79" i="6" s="1"/>
  <c r="B79" i="6"/>
  <c r="D79" i="6" s="1"/>
  <c r="O78" i="6"/>
  <c r="N78" i="6"/>
  <c r="L78" i="6"/>
  <c r="J78" i="6"/>
  <c r="I78" i="6"/>
  <c r="G78" i="6"/>
  <c r="E78" i="6"/>
  <c r="D78" i="6"/>
  <c r="B78" i="6"/>
  <c r="B59" i="9"/>
  <c r="B58" i="9"/>
  <c r="B57" i="9"/>
  <c r="B56" i="9"/>
  <c r="B55" i="9"/>
  <c r="B54" i="9"/>
  <c r="M61" i="17" l="1"/>
  <c r="K61" i="17"/>
  <c r="L61" i="17"/>
  <c r="C79" i="6"/>
  <c r="J79" i="6"/>
  <c r="M79" i="6"/>
  <c r="E80" i="6"/>
  <c r="H80" i="6"/>
  <c r="O80" i="6"/>
  <c r="E79" i="6"/>
  <c r="H79" i="6"/>
  <c r="O79" i="6"/>
  <c r="C80" i="6"/>
  <c r="J80" i="6"/>
  <c r="M80" i="6"/>
  <c r="C83" i="6"/>
  <c r="E83" i="6"/>
  <c r="H83" i="6"/>
  <c r="J83" i="6"/>
  <c r="M83" i="6"/>
  <c r="O83" i="6"/>
  <c r="C84" i="6"/>
  <c r="E84" i="6"/>
  <c r="H84" i="6"/>
  <c r="J84" i="6"/>
  <c r="D54" i="9"/>
  <c r="F54" i="9"/>
  <c r="H54" i="9"/>
  <c r="J54" i="9"/>
  <c r="D55" i="9"/>
  <c r="F55" i="9"/>
  <c r="H55" i="9"/>
  <c r="J55" i="9"/>
  <c r="D56" i="9"/>
  <c r="F56" i="9"/>
  <c r="H56" i="9"/>
  <c r="J56" i="9"/>
  <c r="D57" i="9"/>
  <c r="F57" i="9"/>
  <c r="H57" i="9"/>
  <c r="J57" i="9"/>
  <c r="D58" i="9"/>
  <c r="F58" i="9"/>
  <c r="H58" i="9"/>
  <c r="J58" i="9"/>
  <c r="D59" i="9"/>
  <c r="F59" i="9"/>
  <c r="H59" i="9"/>
  <c r="J59" i="9"/>
  <c r="C54" i="9"/>
  <c r="L54" i="9" s="1"/>
  <c r="E54" i="9"/>
  <c r="G54" i="9"/>
  <c r="I54" i="9"/>
  <c r="K54" i="9"/>
  <c r="C55" i="9"/>
  <c r="E55" i="9"/>
  <c r="N55" i="9" s="1"/>
  <c r="G55" i="9"/>
  <c r="I55" i="9"/>
  <c r="K55" i="9"/>
  <c r="C56" i="9"/>
  <c r="L56" i="9" s="1"/>
  <c r="E56" i="9"/>
  <c r="G56" i="9"/>
  <c r="I56" i="9"/>
  <c r="K56" i="9"/>
  <c r="C57" i="9"/>
  <c r="E57" i="9"/>
  <c r="N57" i="9" s="1"/>
  <c r="G57" i="9"/>
  <c r="I57" i="9"/>
  <c r="K57" i="9"/>
  <c r="C58" i="9"/>
  <c r="L58" i="9" s="1"/>
  <c r="E58" i="9"/>
  <c r="G58" i="9"/>
  <c r="I58" i="9"/>
  <c r="K58" i="9"/>
  <c r="C59" i="9"/>
  <c r="E59" i="9"/>
  <c r="N59" i="9" s="1"/>
  <c r="G59" i="9"/>
  <c r="I59" i="9"/>
  <c r="K59" i="9"/>
  <c r="M58" i="9" l="1"/>
  <c r="M56" i="9"/>
  <c r="M54" i="9"/>
  <c r="L59" i="9"/>
  <c r="N58" i="9"/>
  <c r="L57" i="9"/>
  <c r="N56" i="9"/>
  <c r="L55" i="9"/>
  <c r="N54" i="9"/>
  <c r="M59" i="9"/>
  <c r="M57" i="9"/>
  <c r="M55" i="9"/>
  <c r="O55" i="9" l="1"/>
  <c r="P55" i="9"/>
  <c r="O59" i="9"/>
  <c r="P59" i="9"/>
  <c r="O56" i="9"/>
  <c r="P56" i="9"/>
  <c r="O57" i="9"/>
  <c r="P57" i="9"/>
  <c r="O54" i="9"/>
  <c r="P54" i="9"/>
  <c r="O58" i="9"/>
  <c r="P58" i="9"/>
  <c r="A5" i="1" l="1"/>
  <c r="Z75" i="1" l="1"/>
  <c r="Z77" i="1"/>
  <c r="Z81" i="1"/>
  <c r="Z80" i="1"/>
  <c r="Z20" i="1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39" i="9"/>
  <c r="B38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23" i="9"/>
  <c r="B22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7" i="9"/>
  <c r="B6" i="9"/>
  <c r="O74" i="6"/>
  <c r="N74" i="6"/>
  <c r="J74" i="6"/>
  <c r="I74" i="6"/>
  <c r="E74" i="6"/>
  <c r="D74" i="6"/>
  <c r="O70" i="6"/>
  <c r="N70" i="6"/>
  <c r="J70" i="6"/>
  <c r="I70" i="6"/>
  <c r="E70" i="6"/>
  <c r="D70" i="6"/>
  <c r="O66" i="6"/>
  <c r="N66" i="6"/>
  <c r="J66" i="6"/>
  <c r="I66" i="6"/>
  <c r="E66" i="6"/>
  <c r="D66" i="6"/>
  <c r="O62" i="6"/>
  <c r="N62" i="6"/>
  <c r="J62" i="6"/>
  <c r="I62" i="6"/>
  <c r="E62" i="6"/>
  <c r="D62" i="6"/>
  <c r="O58" i="6"/>
  <c r="N58" i="6"/>
  <c r="J58" i="6"/>
  <c r="I58" i="6"/>
  <c r="E58" i="6"/>
  <c r="D58" i="6"/>
  <c r="O54" i="6"/>
  <c r="N54" i="6"/>
  <c r="J54" i="6"/>
  <c r="I54" i="6"/>
  <c r="E54" i="6"/>
  <c r="D54" i="6"/>
  <c r="O46" i="6"/>
  <c r="N46" i="6"/>
  <c r="J46" i="6"/>
  <c r="I46" i="6"/>
  <c r="E46" i="6"/>
  <c r="D46" i="6"/>
  <c r="O42" i="6"/>
  <c r="N42" i="6"/>
  <c r="J42" i="6"/>
  <c r="I42" i="6"/>
  <c r="E42" i="6"/>
  <c r="D42" i="6"/>
  <c r="O38" i="6"/>
  <c r="N38" i="6"/>
  <c r="J38" i="6"/>
  <c r="I38" i="6"/>
  <c r="E38" i="6"/>
  <c r="D38" i="6"/>
  <c r="O34" i="6"/>
  <c r="N34" i="6"/>
  <c r="J34" i="6"/>
  <c r="I34" i="6"/>
  <c r="E34" i="6"/>
  <c r="D34" i="6"/>
  <c r="O30" i="6"/>
  <c r="N30" i="6"/>
  <c r="J30" i="6"/>
  <c r="I30" i="6"/>
  <c r="E30" i="6"/>
  <c r="D30" i="6"/>
  <c r="O26" i="6"/>
  <c r="N26" i="6"/>
  <c r="J26" i="6"/>
  <c r="I26" i="6"/>
  <c r="E26" i="6"/>
  <c r="D26" i="6"/>
  <c r="O22" i="6"/>
  <c r="N22" i="6"/>
  <c r="J22" i="6"/>
  <c r="I22" i="6"/>
  <c r="E22" i="6"/>
  <c r="D22" i="6"/>
  <c r="O18" i="6"/>
  <c r="N18" i="6"/>
  <c r="J18" i="6"/>
  <c r="I18" i="6"/>
  <c r="E18" i="6"/>
  <c r="D18" i="6"/>
  <c r="O14" i="6"/>
  <c r="N14" i="6"/>
  <c r="J14" i="6"/>
  <c r="I14" i="6"/>
  <c r="E14" i="6"/>
  <c r="D14" i="6"/>
  <c r="O10" i="6"/>
  <c r="N10" i="6"/>
  <c r="J10" i="6"/>
  <c r="I10" i="6"/>
  <c r="E10" i="6"/>
  <c r="D10" i="6"/>
  <c r="AB20" i="1" l="1"/>
  <c r="AA20" i="1"/>
  <c r="AC20" i="1"/>
  <c r="AC80" i="1"/>
  <c r="AB80" i="1"/>
  <c r="AA80" i="1"/>
  <c r="AB77" i="1"/>
  <c r="AA77" i="1"/>
  <c r="AC77" i="1"/>
  <c r="AC81" i="1"/>
  <c r="AB81" i="1"/>
  <c r="AA81" i="1"/>
  <c r="AE61" i="1"/>
  <c r="AE72" i="1"/>
  <c r="Z76" i="1"/>
  <c r="Z79" i="1"/>
  <c r="AE51" i="1"/>
  <c r="Z23" i="1"/>
  <c r="AE67" i="1"/>
  <c r="AE15" i="1"/>
  <c r="AE39" i="1"/>
  <c r="AE27" i="1"/>
  <c r="AE35" i="1"/>
  <c r="AE47" i="1"/>
  <c r="AE59" i="1"/>
  <c r="AE71" i="1"/>
  <c r="Z16" i="1"/>
  <c r="B19" i="6"/>
  <c r="C19" i="6" s="1"/>
  <c r="Z21" i="1"/>
  <c r="AE73" i="1"/>
  <c r="Z12" i="1"/>
  <c r="AE68" i="1"/>
  <c r="Z27" i="1"/>
  <c r="Z17" i="1"/>
  <c r="AE69" i="1"/>
  <c r="Z13" i="1"/>
  <c r="AE65" i="1"/>
  <c r="Z56" i="1"/>
  <c r="Z48" i="1"/>
  <c r="Z71" i="1"/>
  <c r="Z47" i="1"/>
  <c r="Z67" i="1"/>
  <c r="Z59" i="1"/>
  <c r="Z43" i="1"/>
  <c r="Z35" i="1"/>
  <c r="Z15" i="1"/>
  <c r="Z19" i="1"/>
  <c r="AE13" i="1" l="1"/>
  <c r="AG13" i="1" s="1"/>
  <c r="Z39" i="1"/>
  <c r="B27" i="6"/>
  <c r="D27" i="6" s="1"/>
  <c r="Z28" i="1"/>
  <c r="B67" i="6"/>
  <c r="D67" i="6" s="1"/>
  <c r="Z64" i="1"/>
  <c r="AC48" i="1"/>
  <c r="AB48" i="1"/>
  <c r="AA48" i="1"/>
  <c r="AE33" i="1"/>
  <c r="Z44" i="1"/>
  <c r="B68" i="6"/>
  <c r="E68" i="6" s="1"/>
  <c r="Z65" i="1"/>
  <c r="B32" i="6"/>
  <c r="C32" i="6" s="1"/>
  <c r="Z33" i="1"/>
  <c r="B40" i="6"/>
  <c r="E40" i="6" s="1"/>
  <c r="Z41" i="1"/>
  <c r="AG69" i="1"/>
  <c r="AF69" i="1"/>
  <c r="AH69" i="1"/>
  <c r="B71" i="6"/>
  <c r="C71" i="6" s="1"/>
  <c r="Z68" i="1"/>
  <c r="B76" i="6"/>
  <c r="E76" i="6" s="1"/>
  <c r="Z73" i="1"/>
  <c r="B44" i="6"/>
  <c r="E44" i="6" s="1"/>
  <c r="Z45" i="1"/>
  <c r="B72" i="6"/>
  <c r="E72" i="6" s="1"/>
  <c r="Z69" i="1"/>
  <c r="B36" i="6"/>
  <c r="E36" i="6" s="1"/>
  <c r="Z37" i="1"/>
  <c r="AB21" i="1"/>
  <c r="AA21" i="1"/>
  <c r="AC21" i="1"/>
  <c r="B75" i="6"/>
  <c r="D75" i="6" s="1"/>
  <c r="Z72" i="1"/>
  <c r="B39" i="6"/>
  <c r="E39" i="6" s="1"/>
  <c r="Z40" i="1"/>
  <c r="AB76" i="1"/>
  <c r="AC76" i="1"/>
  <c r="AA76" i="1"/>
  <c r="AG61" i="1"/>
  <c r="AH61" i="1"/>
  <c r="AF61" i="1"/>
  <c r="AE24" i="1"/>
  <c r="Z31" i="1"/>
  <c r="AJ43" i="1"/>
  <c r="Z51" i="1"/>
  <c r="AE52" i="1"/>
  <c r="Z63" i="1"/>
  <c r="B31" i="6"/>
  <c r="C31" i="6" s="1"/>
  <c r="Z32" i="1"/>
  <c r="AE55" i="1"/>
  <c r="Z55" i="1"/>
  <c r="AC56" i="1"/>
  <c r="AB56" i="1"/>
  <c r="AA56" i="1"/>
  <c r="B48" i="6"/>
  <c r="C48" i="6" s="1"/>
  <c r="Z49" i="1"/>
  <c r="AG65" i="1"/>
  <c r="AH65" i="1"/>
  <c r="AF65" i="1"/>
  <c r="B60" i="6"/>
  <c r="E60" i="6" s="1"/>
  <c r="Z57" i="1"/>
  <c r="B24" i="6"/>
  <c r="C24" i="6" s="1"/>
  <c r="Z25" i="1"/>
  <c r="AG68" i="1"/>
  <c r="AF68" i="1"/>
  <c r="AH68" i="1"/>
  <c r="AE40" i="1"/>
  <c r="Z36" i="1"/>
  <c r="B23" i="6"/>
  <c r="C23" i="6" s="1"/>
  <c r="Z24" i="1"/>
  <c r="B64" i="6"/>
  <c r="D64" i="6" s="1"/>
  <c r="Z61" i="1"/>
  <c r="B28" i="6"/>
  <c r="D28" i="6" s="1"/>
  <c r="Z29" i="1"/>
  <c r="B56" i="6"/>
  <c r="E56" i="6" s="1"/>
  <c r="Z53" i="1"/>
  <c r="AH73" i="1"/>
  <c r="AF73" i="1"/>
  <c r="AG73" i="1"/>
  <c r="B55" i="6"/>
  <c r="C55" i="6" s="1"/>
  <c r="Z52" i="1"/>
  <c r="B63" i="6"/>
  <c r="D63" i="6" s="1"/>
  <c r="Z60" i="1"/>
  <c r="AE11" i="1"/>
  <c r="AH72" i="1"/>
  <c r="AG72" i="1"/>
  <c r="AF72" i="1"/>
  <c r="AE79" i="1"/>
  <c r="Z11" i="1"/>
  <c r="AQ9" i="1" s="1"/>
  <c r="AB13" i="1"/>
  <c r="AC13" i="1"/>
  <c r="AA13" i="1"/>
  <c r="AB12" i="1"/>
  <c r="AC12" i="1"/>
  <c r="AA12" i="1"/>
  <c r="AC16" i="1"/>
  <c r="AB16" i="1"/>
  <c r="AA16" i="1"/>
  <c r="AC17" i="1"/>
  <c r="AB17" i="1"/>
  <c r="AA17" i="1"/>
  <c r="AJ75" i="1"/>
  <c r="AE77" i="1"/>
  <c r="AE81" i="1"/>
  <c r="AE12" i="1"/>
  <c r="AJ79" i="1"/>
  <c r="AE21" i="1"/>
  <c r="AE25" i="1"/>
  <c r="AE29" i="1"/>
  <c r="AE43" i="1"/>
  <c r="AE37" i="1"/>
  <c r="AE41" i="1"/>
  <c r="AE60" i="1"/>
  <c r="AE63" i="1"/>
  <c r="AE45" i="1"/>
  <c r="AE49" i="1"/>
  <c r="AE53" i="1"/>
  <c r="AE57" i="1"/>
  <c r="AJ80" i="1"/>
  <c r="B11" i="6"/>
  <c r="D11" i="6" s="1"/>
  <c r="AE64" i="1"/>
  <c r="B15" i="6"/>
  <c r="C15" i="6" s="1"/>
  <c r="B20" i="6"/>
  <c r="E20" i="6" s="1"/>
  <c r="AE32" i="1"/>
  <c r="B59" i="6"/>
  <c r="D59" i="6" s="1"/>
  <c r="B47" i="6"/>
  <c r="E47" i="6" s="1"/>
  <c r="B43" i="6"/>
  <c r="D43" i="6" s="1"/>
  <c r="B16" i="6"/>
  <c r="C16" i="6" s="1"/>
  <c r="B35" i="6"/>
  <c r="C35" i="6" s="1"/>
  <c r="B12" i="6"/>
  <c r="D12" i="6" s="1"/>
  <c r="B26" i="6"/>
  <c r="B14" i="6"/>
  <c r="B22" i="6"/>
  <c r="B30" i="6"/>
  <c r="B42" i="6"/>
  <c r="B66" i="6"/>
  <c r="B70" i="6"/>
  <c r="B46" i="6"/>
  <c r="B10" i="6"/>
  <c r="B18" i="6"/>
  <c r="B34" i="6"/>
  <c r="B38" i="6"/>
  <c r="B54" i="6"/>
  <c r="B62" i="6"/>
  <c r="B74" i="6"/>
  <c r="B58" i="6"/>
  <c r="D19" i="6"/>
  <c r="E19" i="6"/>
  <c r="AR10" i="1" l="1"/>
  <c r="AQ11" i="1"/>
  <c r="AS11" i="1"/>
  <c r="AR12" i="1"/>
  <c r="AQ13" i="1"/>
  <c r="AS13" i="1"/>
  <c r="AR14" i="1"/>
  <c r="AQ15" i="1"/>
  <c r="AS15" i="1"/>
  <c r="AR16" i="1"/>
  <c r="AQ17" i="1"/>
  <c r="AS17" i="1"/>
  <c r="AR18" i="1"/>
  <c r="AQ19" i="1"/>
  <c r="AS19" i="1"/>
  <c r="AR20" i="1"/>
  <c r="AQ21" i="1"/>
  <c r="AS21" i="1"/>
  <c r="AR22" i="1"/>
  <c r="AQ23" i="1"/>
  <c r="AS23" i="1"/>
  <c r="AR24" i="1"/>
  <c r="AQ25" i="1"/>
  <c r="AS25" i="1"/>
  <c r="AR26" i="1"/>
  <c r="AR27" i="1"/>
  <c r="AQ28" i="1"/>
  <c r="AS28" i="1"/>
  <c r="AR29" i="1"/>
  <c r="AQ38" i="1"/>
  <c r="AS38" i="1"/>
  <c r="AR43" i="1"/>
  <c r="AQ44" i="1"/>
  <c r="AS44" i="1"/>
  <c r="AQ45" i="1"/>
  <c r="AS45" i="1"/>
  <c r="AQ61" i="1"/>
  <c r="AS61" i="1"/>
  <c r="AR62" i="1"/>
  <c r="AR9" i="1"/>
  <c r="AQ10" i="1"/>
  <c r="AS10" i="1"/>
  <c r="AR11" i="1"/>
  <c r="AQ12" i="1"/>
  <c r="AS12" i="1"/>
  <c r="AR13" i="1"/>
  <c r="AQ14" i="1"/>
  <c r="AS14" i="1"/>
  <c r="AR15" i="1"/>
  <c r="AQ16" i="1"/>
  <c r="AS16" i="1"/>
  <c r="AR17" i="1"/>
  <c r="AQ18" i="1"/>
  <c r="AS18" i="1"/>
  <c r="AR19" i="1"/>
  <c r="AQ20" i="1"/>
  <c r="AS20" i="1"/>
  <c r="AR21" i="1"/>
  <c r="AQ22" i="1"/>
  <c r="AS22" i="1"/>
  <c r="AR23" i="1"/>
  <c r="AQ24" i="1"/>
  <c r="AS24" i="1"/>
  <c r="AR25" i="1"/>
  <c r="AQ26" i="1"/>
  <c r="AS26" i="1"/>
  <c r="AQ27" i="1"/>
  <c r="AS27" i="1"/>
  <c r="AR28" i="1"/>
  <c r="AQ29" i="1"/>
  <c r="AS29" i="1"/>
  <c r="AR38" i="1"/>
  <c r="AQ43" i="1"/>
  <c r="AS43" i="1"/>
  <c r="AR44" i="1"/>
  <c r="AR45" i="1"/>
  <c r="AR61" i="1"/>
  <c r="AQ62" i="1"/>
  <c r="AS62" i="1"/>
  <c r="AS9" i="1"/>
  <c r="C76" i="6"/>
  <c r="C28" i="6"/>
  <c r="D71" i="6"/>
  <c r="AJ69" i="1"/>
  <c r="E23" i="6"/>
  <c r="C27" i="6"/>
  <c r="E26" i="9" s="1"/>
  <c r="E67" i="6"/>
  <c r="D24" i="6"/>
  <c r="D39" i="6"/>
  <c r="D55" i="6"/>
  <c r="C75" i="6"/>
  <c r="AJ16" i="1"/>
  <c r="E48" i="6"/>
  <c r="D23" i="6"/>
  <c r="D36" i="6"/>
  <c r="C64" i="6"/>
  <c r="E27" i="6"/>
  <c r="D72" i="6"/>
  <c r="C56" i="6"/>
  <c r="C44" i="6"/>
  <c r="D44" i="6"/>
  <c r="AH13" i="1"/>
  <c r="C40" i="6"/>
  <c r="D60" i="6"/>
  <c r="D68" i="6"/>
  <c r="E31" i="6"/>
  <c r="E75" i="6"/>
  <c r="E64" i="6"/>
  <c r="D48" i="6"/>
  <c r="C36" i="6"/>
  <c r="E28" i="6"/>
  <c r="C72" i="6"/>
  <c r="D56" i="6"/>
  <c r="C67" i="6"/>
  <c r="E71" i="6"/>
  <c r="D76" i="6"/>
  <c r="AF13" i="1"/>
  <c r="E24" i="6"/>
  <c r="C39" i="6"/>
  <c r="E29" i="9" s="1"/>
  <c r="E32" i="6"/>
  <c r="C68" i="6"/>
  <c r="D40" i="6"/>
  <c r="D32" i="6"/>
  <c r="D31" i="6"/>
  <c r="C63" i="6"/>
  <c r="E34" i="9" s="1"/>
  <c r="AJ44" i="1"/>
  <c r="C60" i="6"/>
  <c r="E55" i="6"/>
  <c r="E63" i="6"/>
  <c r="L42" i="6"/>
  <c r="AJ20" i="1"/>
  <c r="AE28" i="1"/>
  <c r="AE36" i="1"/>
  <c r="L75" i="6"/>
  <c r="M75" i="6" s="1"/>
  <c r="AJ73" i="1"/>
  <c r="L55" i="6"/>
  <c r="N55" i="6" s="1"/>
  <c r="AJ53" i="1"/>
  <c r="AE75" i="1"/>
  <c r="AE76" i="1"/>
  <c r="AM80" i="1"/>
  <c r="AL80" i="1"/>
  <c r="AK80" i="1"/>
  <c r="AE80" i="1"/>
  <c r="L71" i="6"/>
  <c r="M71" i="6" s="1"/>
  <c r="AG53" i="1"/>
  <c r="AF53" i="1"/>
  <c r="AH53" i="1"/>
  <c r="L60" i="6"/>
  <c r="O60" i="6" s="1"/>
  <c r="AJ59" i="1"/>
  <c r="AE56" i="1"/>
  <c r="AH41" i="1"/>
  <c r="AG41" i="1"/>
  <c r="AF41" i="1"/>
  <c r="AE48" i="1"/>
  <c r="AE31" i="1"/>
  <c r="AG29" i="1"/>
  <c r="AF29" i="1"/>
  <c r="AH29" i="1"/>
  <c r="AH25" i="1"/>
  <c r="AG25" i="1"/>
  <c r="AF25" i="1"/>
  <c r="AG21" i="1"/>
  <c r="AF21" i="1"/>
  <c r="AH21" i="1"/>
  <c r="AG77" i="1"/>
  <c r="AF77" i="1"/>
  <c r="AH77" i="1"/>
  <c r="AB60" i="1"/>
  <c r="AQ39" i="1" s="1"/>
  <c r="AA60" i="1"/>
  <c r="AS39" i="1" s="1"/>
  <c r="AC60" i="1"/>
  <c r="AR39" i="1" s="1"/>
  <c r="AB52" i="1"/>
  <c r="AQ37" i="1" s="1"/>
  <c r="AA52" i="1"/>
  <c r="AS37" i="1" s="1"/>
  <c r="AC52" i="1"/>
  <c r="AR37" i="1" s="1"/>
  <c r="AH40" i="1"/>
  <c r="AG40" i="1"/>
  <c r="AF40" i="1"/>
  <c r="AC25" i="1"/>
  <c r="AB25" i="1"/>
  <c r="AA25" i="1"/>
  <c r="AC57" i="1"/>
  <c r="AA57" i="1"/>
  <c r="AB57" i="1"/>
  <c r="AC32" i="1"/>
  <c r="AR32" i="1" s="1"/>
  <c r="AB32" i="1"/>
  <c r="AQ32" i="1" s="1"/>
  <c r="AA32" i="1"/>
  <c r="AS32" i="1" s="1"/>
  <c r="AC40" i="1"/>
  <c r="AR34" i="1" s="1"/>
  <c r="AB40" i="1"/>
  <c r="AQ34" i="1" s="1"/>
  <c r="AA40" i="1"/>
  <c r="AS34" i="1" s="1"/>
  <c r="AC72" i="1"/>
  <c r="AR42" i="1" s="1"/>
  <c r="AA72" i="1"/>
  <c r="AS42" i="1" s="1"/>
  <c r="AB72" i="1"/>
  <c r="AQ42" i="1" s="1"/>
  <c r="AC41" i="1"/>
  <c r="AB41" i="1"/>
  <c r="AA41" i="1"/>
  <c r="AC33" i="1"/>
  <c r="AB33" i="1"/>
  <c r="AA33" i="1"/>
  <c r="AC65" i="1"/>
  <c r="AB65" i="1"/>
  <c r="AA65" i="1"/>
  <c r="AB44" i="1"/>
  <c r="AQ35" i="1" s="1"/>
  <c r="AA44" i="1"/>
  <c r="AS35" i="1" s="1"/>
  <c r="AC44" i="1"/>
  <c r="AR35" i="1" s="1"/>
  <c r="AE44" i="1"/>
  <c r="AH32" i="1"/>
  <c r="AG32" i="1"/>
  <c r="AF32" i="1"/>
  <c r="L12" i="6"/>
  <c r="AH64" i="1"/>
  <c r="AG64" i="1"/>
  <c r="AF64" i="1"/>
  <c r="L62" i="6"/>
  <c r="AJ60" i="1"/>
  <c r="L68" i="6"/>
  <c r="O68" i="6" s="1"/>
  <c r="AJ67" i="1"/>
  <c r="AH57" i="1"/>
  <c r="AG57" i="1"/>
  <c r="AF57" i="1"/>
  <c r="AH49" i="1"/>
  <c r="AG49" i="1"/>
  <c r="AF49" i="1"/>
  <c r="AG45" i="1"/>
  <c r="AF45" i="1"/>
  <c r="AH45" i="1"/>
  <c r="L64" i="6"/>
  <c r="N64" i="6" s="1"/>
  <c r="AJ63" i="1"/>
  <c r="AG60" i="1"/>
  <c r="AH60" i="1"/>
  <c r="AF60" i="1"/>
  <c r="AG37" i="1"/>
  <c r="AF37" i="1"/>
  <c r="AH37" i="1"/>
  <c r="L48" i="6"/>
  <c r="M48" i="6" s="1"/>
  <c r="AJ51" i="1"/>
  <c r="AG20" i="1"/>
  <c r="AF20" i="1"/>
  <c r="AH20" i="1"/>
  <c r="AH81" i="1"/>
  <c r="AG81" i="1"/>
  <c r="AF81" i="1"/>
  <c r="AB53" i="1"/>
  <c r="AQ55" i="1" s="1"/>
  <c r="AA53" i="1"/>
  <c r="AC53" i="1"/>
  <c r="AR55" i="1" s="1"/>
  <c r="AB29" i="1"/>
  <c r="AA29" i="1"/>
  <c r="AC29" i="1"/>
  <c r="AB61" i="1"/>
  <c r="AC61" i="1"/>
  <c r="AA61" i="1"/>
  <c r="AC24" i="1"/>
  <c r="AR30" i="1" s="1"/>
  <c r="AB24" i="1"/>
  <c r="AQ30" i="1" s="1"/>
  <c r="AA24" i="1"/>
  <c r="AS30" i="1" s="1"/>
  <c r="AB36" i="1"/>
  <c r="AQ33" i="1" s="1"/>
  <c r="AA36" i="1"/>
  <c r="AS33" i="1" s="1"/>
  <c r="AC36" i="1"/>
  <c r="AR33" i="1" s="1"/>
  <c r="AC49" i="1"/>
  <c r="AA49" i="1"/>
  <c r="AB49" i="1"/>
  <c r="AG52" i="1"/>
  <c r="AF52" i="1"/>
  <c r="AH52" i="1"/>
  <c r="AH24" i="1"/>
  <c r="AG24" i="1"/>
  <c r="AF24" i="1"/>
  <c r="AB37" i="1"/>
  <c r="AQ51" i="1" s="1"/>
  <c r="AA37" i="1"/>
  <c r="AC37" i="1"/>
  <c r="AR51" i="1" s="1"/>
  <c r="AB69" i="1"/>
  <c r="AA69" i="1"/>
  <c r="AC69" i="1"/>
  <c r="AB45" i="1"/>
  <c r="AQ53" i="1" s="1"/>
  <c r="AA45" i="1"/>
  <c r="AC45" i="1"/>
  <c r="AR53" i="1" s="1"/>
  <c r="AC73" i="1"/>
  <c r="AB73" i="1"/>
  <c r="AA73" i="1"/>
  <c r="AS60" i="1" s="1"/>
  <c r="AB68" i="1"/>
  <c r="AQ41" i="1" s="1"/>
  <c r="AA68" i="1"/>
  <c r="AS41" i="1" s="1"/>
  <c r="AC68" i="1"/>
  <c r="AR41" i="1" s="1"/>
  <c r="AH33" i="1"/>
  <c r="AG33" i="1"/>
  <c r="AF33" i="1"/>
  <c r="AC64" i="1"/>
  <c r="AR40" i="1" s="1"/>
  <c r="AB64" i="1"/>
  <c r="AQ40" i="1" s="1"/>
  <c r="AA64" i="1"/>
  <c r="AS40" i="1" s="1"/>
  <c r="AB28" i="1"/>
  <c r="AQ31" i="1" s="1"/>
  <c r="AA28" i="1"/>
  <c r="AS31" i="1" s="1"/>
  <c r="AC28" i="1"/>
  <c r="AR31" i="1" s="1"/>
  <c r="AG12" i="1"/>
  <c r="AH12" i="1"/>
  <c r="AF12" i="1"/>
  <c r="AE17" i="1"/>
  <c r="AE16" i="1"/>
  <c r="AJ77" i="1"/>
  <c r="AJ81" i="1"/>
  <c r="D20" i="6"/>
  <c r="C11" i="6"/>
  <c r="E22" i="9" s="1"/>
  <c r="D15" i="6"/>
  <c r="C47" i="6"/>
  <c r="AJ17" i="1"/>
  <c r="E35" i="6"/>
  <c r="E59" i="6"/>
  <c r="D16" i="6"/>
  <c r="C59" i="6"/>
  <c r="E15" i="6"/>
  <c r="AJ76" i="1"/>
  <c r="D47" i="6"/>
  <c r="D35" i="6"/>
  <c r="E16" i="6"/>
  <c r="E43" i="6"/>
  <c r="E11" i="6"/>
  <c r="C43" i="6"/>
  <c r="E30" i="9" s="1"/>
  <c r="C20" i="6"/>
  <c r="L40" i="6"/>
  <c r="N40" i="6" s="1"/>
  <c r="L84" i="6"/>
  <c r="E12" i="6"/>
  <c r="C12" i="6"/>
  <c r="E38" i="9" s="1"/>
  <c r="E24" i="9"/>
  <c r="E18" i="9"/>
  <c r="E16" i="9"/>
  <c r="E14" i="9"/>
  <c r="E12" i="9"/>
  <c r="E10" i="9"/>
  <c r="E8" i="9"/>
  <c r="E27" i="9"/>
  <c r="E25" i="9"/>
  <c r="E23" i="9"/>
  <c r="E39" i="9"/>
  <c r="E7" i="9"/>
  <c r="E17" i="9"/>
  <c r="E15" i="9"/>
  <c r="E13" i="9"/>
  <c r="E11" i="9"/>
  <c r="E9" i="9"/>
  <c r="E32" i="9"/>
  <c r="E28" i="9"/>
  <c r="E41" i="9"/>
  <c r="D6" i="9"/>
  <c r="G24" i="6"/>
  <c r="H24" i="6" s="1"/>
  <c r="G19" i="6"/>
  <c r="I19" i="6" s="1"/>
  <c r="G40" i="6"/>
  <c r="G55" i="6"/>
  <c r="G76" i="6"/>
  <c r="G12" i="6"/>
  <c r="G28" i="6"/>
  <c r="G39" i="6"/>
  <c r="G64" i="6"/>
  <c r="G75" i="6"/>
  <c r="G11" i="6"/>
  <c r="G15" i="6"/>
  <c r="G20" i="6"/>
  <c r="G31" i="6"/>
  <c r="G36" i="6"/>
  <c r="G47" i="6"/>
  <c r="G56" i="6"/>
  <c r="G67" i="6"/>
  <c r="G72" i="6"/>
  <c r="G35" i="6"/>
  <c r="G60" i="6"/>
  <c r="G71" i="6"/>
  <c r="G23" i="6"/>
  <c r="G44" i="6"/>
  <c r="G59" i="6"/>
  <c r="G16" i="6"/>
  <c r="G27" i="6"/>
  <c r="G32" i="6"/>
  <c r="G43" i="6"/>
  <c r="G48" i="6"/>
  <c r="G63" i="6"/>
  <c r="G68" i="6"/>
  <c r="E6" i="9" l="1"/>
  <c r="AR60" i="1"/>
  <c r="AR59" i="1"/>
  <c r="AQ59" i="1"/>
  <c r="AS59" i="1"/>
  <c r="AS55" i="1"/>
  <c r="AS51" i="1"/>
  <c r="AC83" i="1" a="1"/>
  <c r="AC83" i="1" s="1"/>
  <c r="AC84" i="1" s="1"/>
  <c r="AB83" i="1" a="1"/>
  <c r="AB83" i="1" s="1"/>
  <c r="AQ60" i="1"/>
  <c r="AS46" i="1"/>
  <c r="AQ46" i="1"/>
  <c r="AR46" i="1"/>
  <c r="AS53" i="1"/>
  <c r="C6" i="9"/>
  <c r="AR49" i="1"/>
  <c r="AT11" i="1"/>
  <c r="AQ49" i="1"/>
  <c r="AQ47" i="1"/>
  <c r="AR47" i="1"/>
  <c r="AS47" i="1"/>
  <c r="AS48" i="1"/>
  <c r="AR48" i="1"/>
  <c r="AV11" i="1"/>
  <c r="AU11" i="1"/>
  <c r="AQ48" i="1"/>
  <c r="E43" i="9"/>
  <c r="AV10" i="1"/>
  <c r="AS49" i="1"/>
  <c r="AQ50" i="1"/>
  <c r="AT10" i="1"/>
  <c r="AS50" i="1"/>
  <c r="AR50" i="1"/>
  <c r="AU10" i="1"/>
  <c r="AS52" i="1"/>
  <c r="AR52" i="1"/>
  <c r="AQ52" i="1"/>
  <c r="AR36" i="1"/>
  <c r="AS36" i="1"/>
  <c r="AQ36" i="1"/>
  <c r="AS54" i="1"/>
  <c r="AQ54" i="1"/>
  <c r="AR54" i="1"/>
  <c r="AS56" i="1"/>
  <c r="AQ56" i="1"/>
  <c r="AR56" i="1"/>
  <c r="AS57" i="1"/>
  <c r="AQ57" i="1"/>
  <c r="AR57" i="1"/>
  <c r="AS58" i="1"/>
  <c r="AR58" i="1"/>
  <c r="AQ58" i="1"/>
  <c r="AT12" i="1"/>
  <c r="AU9" i="1"/>
  <c r="AV57" i="1"/>
  <c r="AU56" i="1"/>
  <c r="AT55" i="1"/>
  <c r="AV53" i="1"/>
  <c r="AT44" i="1"/>
  <c r="AV42" i="1"/>
  <c r="AU41" i="1"/>
  <c r="AU26" i="1"/>
  <c r="AT25" i="1"/>
  <c r="AV23" i="1"/>
  <c r="AU22" i="1"/>
  <c r="AT21" i="1"/>
  <c r="AV19" i="1"/>
  <c r="AU18" i="1"/>
  <c r="AT17" i="1"/>
  <c r="AV15" i="1"/>
  <c r="AU14" i="1"/>
  <c r="AT13" i="1"/>
  <c r="AV9" i="1"/>
  <c r="AV62" i="1"/>
  <c r="AV58" i="1"/>
  <c r="AU57" i="1"/>
  <c r="AT56" i="1"/>
  <c r="AV43" i="1"/>
  <c r="AU42" i="1"/>
  <c r="AT41" i="1"/>
  <c r="AV39" i="1"/>
  <c r="AT26" i="1"/>
  <c r="AV24" i="1"/>
  <c r="AU23" i="1"/>
  <c r="AT22" i="1"/>
  <c r="AV20" i="1"/>
  <c r="AU19" i="1"/>
  <c r="AT18" i="1"/>
  <c r="AV16" i="1"/>
  <c r="AU15" i="1"/>
  <c r="AT14" i="1"/>
  <c r="AV12" i="1"/>
  <c r="AU62" i="1"/>
  <c r="AU58" i="1"/>
  <c r="AT57" i="1"/>
  <c r="AV55" i="1"/>
  <c r="AV44" i="1"/>
  <c r="AU43" i="1"/>
  <c r="AT42" i="1"/>
  <c r="AU39" i="1"/>
  <c r="AV25" i="1"/>
  <c r="AU24" i="1"/>
  <c r="AT23" i="1"/>
  <c r="AV21" i="1"/>
  <c r="AU20" i="1"/>
  <c r="AT19" i="1"/>
  <c r="AV17" i="1"/>
  <c r="AU16" i="1"/>
  <c r="AT15" i="1"/>
  <c r="AV13" i="1"/>
  <c r="AU12" i="1"/>
  <c r="AT9" i="1"/>
  <c r="AT62" i="1"/>
  <c r="AT58" i="1"/>
  <c r="AV56" i="1"/>
  <c r="AU55" i="1"/>
  <c r="AU44" i="1"/>
  <c r="AT43" i="1"/>
  <c r="AV41" i="1"/>
  <c r="AT39" i="1"/>
  <c r="AV37" i="1"/>
  <c r="AV26" i="1"/>
  <c r="AU25" i="1"/>
  <c r="AT24" i="1"/>
  <c r="AV22" i="1"/>
  <c r="AU21" i="1"/>
  <c r="AT20" i="1"/>
  <c r="AV18" i="1"/>
  <c r="AU17" i="1"/>
  <c r="AT16" i="1"/>
  <c r="AV14" i="1"/>
  <c r="AU13" i="1"/>
  <c r="E47" i="9"/>
  <c r="E42" i="9"/>
  <c r="E20" i="9"/>
  <c r="E53" i="9"/>
  <c r="E21" i="9"/>
  <c r="E52" i="9"/>
  <c r="E36" i="9"/>
  <c r="E19" i="9"/>
  <c r="E51" i="9"/>
  <c r="E37" i="9"/>
  <c r="L14" i="6"/>
  <c r="E35" i="9"/>
  <c r="E33" i="9"/>
  <c r="E44" i="9"/>
  <c r="E45" i="9"/>
  <c r="E48" i="9"/>
  <c r="E50" i="9"/>
  <c r="M64" i="6"/>
  <c r="M55" i="6"/>
  <c r="AJ15" i="1"/>
  <c r="E46" i="9"/>
  <c r="N48" i="6"/>
  <c r="M60" i="6"/>
  <c r="O64" i="6"/>
  <c r="O75" i="6"/>
  <c r="O55" i="6"/>
  <c r="E31" i="9"/>
  <c r="M68" i="6"/>
  <c r="N71" i="6"/>
  <c r="N68" i="6"/>
  <c r="O71" i="6"/>
  <c r="L15" i="6"/>
  <c r="M15" i="6" s="1"/>
  <c r="E49" i="9"/>
  <c r="N12" i="6"/>
  <c r="M12" i="6"/>
  <c r="N60" i="6"/>
  <c r="O48" i="6"/>
  <c r="L18" i="6"/>
  <c r="N75" i="6"/>
  <c r="L31" i="6"/>
  <c r="M31" i="6" s="1"/>
  <c r="AJ33" i="1"/>
  <c r="L58" i="6"/>
  <c r="AJ56" i="1"/>
  <c r="L27" i="6"/>
  <c r="N27" i="6" s="1"/>
  <c r="AJ29" i="1"/>
  <c r="L20" i="6"/>
  <c r="N20" i="6" s="1"/>
  <c r="AJ23" i="1"/>
  <c r="L19" i="6"/>
  <c r="O19" i="6" s="1"/>
  <c r="AJ21" i="1"/>
  <c r="L30" i="6"/>
  <c r="AJ32" i="1"/>
  <c r="L36" i="6"/>
  <c r="O36" i="6" s="1"/>
  <c r="AJ39" i="1"/>
  <c r="L24" i="6"/>
  <c r="O24" i="6" s="1"/>
  <c r="AJ27" i="1"/>
  <c r="AM81" i="1"/>
  <c r="AL81" i="1"/>
  <c r="AK81" i="1"/>
  <c r="L59" i="6"/>
  <c r="AJ57" i="1"/>
  <c r="L63" i="6"/>
  <c r="AJ61" i="1"/>
  <c r="AL60" i="1"/>
  <c r="AM60" i="1"/>
  <c r="AK60" i="1"/>
  <c r="AG44" i="1"/>
  <c r="AT37" i="1" s="1"/>
  <c r="AH44" i="1"/>
  <c r="AU37" i="1" s="1"/>
  <c r="AH48" i="1"/>
  <c r="AU52" i="1" s="1"/>
  <c r="AF48" i="1"/>
  <c r="AV52" i="1" s="1"/>
  <c r="AG48" i="1"/>
  <c r="AT52" i="1" s="1"/>
  <c r="L46" i="6"/>
  <c r="AJ48" i="1"/>
  <c r="AL69" i="1"/>
  <c r="AM69" i="1"/>
  <c r="AK69" i="1"/>
  <c r="AH80" i="1"/>
  <c r="AG80" i="1"/>
  <c r="AT60" i="1" s="1"/>
  <c r="AF80" i="1"/>
  <c r="L70" i="6"/>
  <c r="AJ68" i="1"/>
  <c r="L72" i="6"/>
  <c r="AJ71" i="1"/>
  <c r="L44" i="6"/>
  <c r="AJ47" i="1"/>
  <c r="AL20" i="1"/>
  <c r="AK20" i="1"/>
  <c r="AM20" i="1"/>
  <c r="L26" i="6"/>
  <c r="AJ28" i="1"/>
  <c r="AL76" i="1"/>
  <c r="AK76" i="1"/>
  <c r="AM76" i="1"/>
  <c r="L43" i="6"/>
  <c r="M43" i="6" s="1"/>
  <c r="AJ45" i="1"/>
  <c r="L35" i="6"/>
  <c r="O35" i="6" s="1"/>
  <c r="AJ37" i="1"/>
  <c r="L54" i="6"/>
  <c r="AJ52" i="1"/>
  <c r="L56" i="6"/>
  <c r="O56" i="6" s="1"/>
  <c r="AJ55" i="1"/>
  <c r="L16" i="6"/>
  <c r="N16" i="6" s="1"/>
  <c r="AJ19" i="1"/>
  <c r="L22" i="6"/>
  <c r="AJ24" i="1"/>
  <c r="L39" i="6"/>
  <c r="O39" i="6" s="1"/>
  <c r="AJ41" i="1"/>
  <c r="L32" i="6"/>
  <c r="N32" i="6" s="1"/>
  <c r="AJ35" i="1"/>
  <c r="L66" i="6"/>
  <c r="AJ64" i="1"/>
  <c r="L47" i="6"/>
  <c r="O47" i="6" s="1"/>
  <c r="AJ49" i="1"/>
  <c r="AL77" i="1"/>
  <c r="AK77" i="1"/>
  <c r="AM77" i="1"/>
  <c r="L23" i="6"/>
  <c r="AJ25" i="1"/>
  <c r="L67" i="6"/>
  <c r="N67" i="6" s="1"/>
  <c r="AJ65" i="1"/>
  <c r="L34" i="6"/>
  <c r="AJ36" i="1"/>
  <c r="L28" i="6"/>
  <c r="AJ31" i="1"/>
  <c r="L38" i="6"/>
  <c r="AJ40" i="1"/>
  <c r="AH56" i="1"/>
  <c r="AU40" i="1" s="1"/>
  <c r="AF56" i="1"/>
  <c r="AV40" i="1" s="1"/>
  <c r="AG56" i="1"/>
  <c r="AT40" i="1" s="1"/>
  <c r="L74" i="6"/>
  <c r="AJ72" i="1"/>
  <c r="AG76" i="1"/>
  <c r="AH76" i="1"/>
  <c r="AF76" i="1"/>
  <c r="AL53" i="1"/>
  <c r="AK53" i="1"/>
  <c r="AM53" i="1"/>
  <c r="AM73" i="1"/>
  <c r="AL73" i="1"/>
  <c r="AK73" i="1"/>
  <c r="AG36" i="1"/>
  <c r="AT35" i="1" s="1"/>
  <c r="AF36" i="1"/>
  <c r="AV35" i="1" s="1"/>
  <c r="AH36" i="1"/>
  <c r="AU35" i="1" s="1"/>
  <c r="AG28" i="1"/>
  <c r="AF28" i="1"/>
  <c r="AH28" i="1"/>
  <c r="AL44" i="1"/>
  <c r="AK44" i="1"/>
  <c r="AM44" i="1"/>
  <c r="M47" i="6"/>
  <c r="O12" i="6"/>
  <c r="L11" i="6"/>
  <c r="O11" i="6" s="1"/>
  <c r="AJ13" i="1"/>
  <c r="L76" i="6"/>
  <c r="N76" i="6" s="1"/>
  <c r="AJ11" i="1"/>
  <c r="AM17" i="1"/>
  <c r="AL17" i="1"/>
  <c r="AK17" i="1"/>
  <c r="L10" i="6"/>
  <c r="AJ12" i="1"/>
  <c r="AH16" i="1"/>
  <c r="AU30" i="1" s="1"/>
  <c r="AG16" i="1"/>
  <c r="AT30" i="1" s="1"/>
  <c r="AF16" i="1"/>
  <c r="AV30" i="1" s="1"/>
  <c r="AH17" i="1"/>
  <c r="AU49" i="1" s="1"/>
  <c r="AG17" i="1"/>
  <c r="AT49" i="1" s="1"/>
  <c r="AF17" i="1"/>
  <c r="AV49" i="1" s="1"/>
  <c r="AM16" i="1"/>
  <c r="AL16" i="1"/>
  <c r="AK16" i="1"/>
  <c r="E40" i="9"/>
  <c r="D86" i="6"/>
  <c r="E86" i="6"/>
  <c r="E87" i="6" s="1"/>
  <c r="O40" i="6"/>
  <c r="M40" i="6"/>
  <c r="N84" i="6"/>
  <c r="O84" i="6"/>
  <c r="M84" i="6"/>
  <c r="I24" i="6"/>
  <c r="J24" i="6"/>
  <c r="H19" i="6"/>
  <c r="J19" i="6"/>
  <c r="G10" i="6"/>
  <c r="I63" i="6"/>
  <c r="H63" i="6"/>
  <c r="J63" i="6"/>
  <c r="I71" i="6"/>
  <c r="H71" i="6"/>
  <c r="J71" i="6"/>
  <c r="H47" i="6"/>
  <c r="J47" i="6"/>
  <c r="I47" i="6"/>
  <c r="J75" i="6"/>
  <c r="H75" i="6"/>
  <c r="I75" i="6"/>
  <c r="H68" i="6"/>
  <c r="J68" i="6"/>
  <c r="I68" i="6"/>
  <c r="J56" i="6"/>
  <c r="H56" i="6"/>
  <c r="I56" i="6"/>
  <c r="I11" i="6"/>
  <c r="H11" i="6"/>
  <c r="J11" i="6"/>
  <c r="H32" i="6"/>
  <c r="J32" i="6"/>
  <c r="I32" i="6"/>
  <c r="J60" i="6"/>
  <c r="H60" i="6"/>
  <c r="I60" i="6"/>
  <c r="J67" i="6"/>
  <c r="H67" i="6"/>
  <c r="I67" i="6"/>
  <c r="I20" i="6"/>
  <c r="H20" i="6"/>
  <c r="J20" i="6"/>
  <c r="I64" i="6"/>
  <c r="J64" i="6"/>
  <c r="H64" i="6"/>
  <c r="I55" i="6"/>
  <c r="J55" i="6"/>
  <c r="H55" i="6"/>
  <c r="G38" i="6"/>
  <c r="G26" i="6"/>
  <c r="G30" i="6"/>
  <c r="G58" i="6"/>
  <c r="G34" i="6"/>
  <c r="G42" i="6"/>
  <c r="G18" i="6"/>
  <c r="H16" i="6"/>
  <c r="I16" i="6"/>
  <c r="J16" i="6"/>
  <c r="I44" i="6"/>
  <c r="H44" i="6"/>
  <c r="J44" i="6"/>
  <c r="I72" i="6"/>
  <c r="H72" i="6"/>
  <c r="J72" i="6"/>
  <c r="I28" i="6"/>
  <c r="J28" i="6"/>
  <c r="H28" i="6"/>
  <c r="I43" i="6"/>
  <c r="J43" i="6"/>
  <c r="H43" i="6"/>
  <c r="H59" i="6"/>
  <c r="J59" i="6"/>
  <c r="I59" i="6"/>
  <c r="J35" i="6"/>
  <c r="H35" i="6"/>
  <c r="I35" i="6"/>
  <c r="J31" i="6"/>
  <c r="H31" i="6"/>
  <c r="I31" i="6"/>
  <c r="J39" i="6"/>
  <c r="H39" i="6"/>
  <c r="I39" i="6"/>
  <c r="H76" i="6"/>
  <c r="J76" i="6"/>
  <c r="I76" i="6"/>
  <c r="J48" i="6"/>
  <c r="H48" i="6"/>
  <c r="I48" i="6"/>
  <c r="I27" i="6"/>
  <c r="H27" i="6"/>
  <c r="J27" i="6"/>
  <c r="J23" i="6"/>
  <c r="H23" i="6"/>
  <c r="I23" i="6"/>
  <c r="I36" i="6"/>
  <c r="H36" i="6"/>
  <c r="J36" i="6"/>
  <c r="H15" i="6"/>
  <c r="I15" i="6"/>
  <c r="J15" i="6"/>
  <c r="I12" i="6"/>
  <c r="J12" i="6"/>
  <c r="H12" i="6"/>
  <c r="H40" i="6"/>
  <c r="J40" i="6"/>
  <c r="I40" i="6"/>
  <c r="G14" i="6"/>
  <c r="G66" i="6"/>
  <c r="G22" i="6"/>
  <c r="G74" i="6"/>
  <c r="G70" i="6"/>
  <c r="G46" i="6"/>
  <c r="G62" i="6"/>
  <c r="G54" i="6"/>
  <c r="AV33" i="1" l="1"/>
  <c r="AU33" i="1"/>
  <c r="AT33" i="1"/>
  <c r="AQ63" i="1"/>
  <c r="AQ72" i="1" s="1"/>
  <c r="AG83" i="1" a="1"/>
  <c r="AH83" i="1" a="1"/>
  <c r="AR63" i="1" a="1"/>
  <c r="AR63" i="1" s="1"/>
  <c r="AR64" i="1" s="1"/>
  <c r="AH83" i="1"/>
  <c r="AH84" i="1" s="1"/>
  <c r="AG83" i="1"/>
  <c r="N15" i="6"/>
  <c r="AU29" i="1"/>
  <c r="AV29" i="1"/>
  <c r="AT29" i="1"/>
  <c r="AU47" i="1"/>
  <c r="AV61" i="1"/>
  <c r="AT47" i="1"/>
  <c r="AU50" i="1"/>
  <c r="AT50" i="1"/>
  <c r="AV50" i="1"/>
  <c r="AU51" i="1"/>
  <c r="AV51" i="1"/>
  <c r="AT51" i="1"/>
  <c r="AV27" i="1"/>
  <c r="AV48" i="1"/>
  <c r="AU48" i="1"/>
  <c r="AT48" i="1"/>
  <c r="AU53" i="1"/>
  <c r="AT36" i="1"/>
  <c r="AU36" i="1"/>
  <c r="AT53" i="1"/>
  <c r="AV54" i="1"/>
  <c r="AU31" i="1"/>
  <c r="AU54" i="1"/>
  <c r="AT32" i="1"/>
  <c r="AT54" i="1"/>
  <c r="AV38" i="1"/>
  <c r="AT31" i="1"/>
  <c r="AT34" i="1"/>
  <c r="AU34" i="1"/>
  <c r="AV46" i="1"/>
  <c r="AU27" i="1"/>
  <c r="AT38" i="1"/>
  <c r="AU38" i="1"/>
  <c r="AU32" i="1"/>
  <c r="AT46" i="1"/>
  <c r="AV32" i="1"/>
  <c r="AV36" i="1"/>
  <c r="AV31" i="1"/>
  <c r="AV34" i="1"/>
  <c r="AU45" i="1"/>
  <c r="AV45" i="1"/>
  <c r="AT45" i="1"/>
  <c r="AT27" i="1"/>
  <c r="AU59" i="1"/>
  <c r="AV59" i="1"/>
  <c r="AT59" i="1"/>
  <c r="AV47" i="1"/>
  <c r="AU46" i="1"/>
  <c r="AU61" i="1"/>
  <c r="AV60" i="1"/>
  <c r="AU60" i="1"/>
  <c r="AT28" i="1"/>
  <c r="AT61" i="1"/>
  <c r="AV28" i="1"/>
  <c r="AU28" i="1"/>
  <c r="AX10" i="1"/>
  <c r="BA10" i="1" s="1"/>
  <c r="AW11" i="1"/>
  <c r="AY11" i="1"/>
  <c r="BB11" i="1" s="1"/>
  <c r="AX12" i="1"/>
  <c r="BA12" i="1" s="1"/>
  <c r="AW13" i="1"/>
  <c r="AZ13" i="1" s="1"/>
  <c r="AY13" i="1"/>
  <c r="BB13" i="1" s="1"/>
  <c r="AX14" i="1"/>
  <c r="BA14" i="1" s="1"/>
  <c r="AW15" i="1"/>
  <c r="AZ15" i="1" s="1"/>
  <c r="AY15" i="1"/>
  <c r="BB15" i="1" s="1"/>
  <c r="AX16" i="1"/>
  <c r="BA16" i="1" s="1"/>
  <c r="AW17" i="1"/>
  <c r="AZ17" i="1" s="1"/>
  <c r="AY17" i="1"/>
  <c r="BB17" i="1" s="1"/>
  <c r="AX18" i="1"/>
  <c r="BA18" i="1" s="1"/>
  <c r="AW19" i="1"/>
  <c r="AZ19" i="1" s="1"/>
  <c r="AY19" i="1"/>
  <c r="BB19" i="1" s="1"/>
  <c r="AX20" i="1"/>
  <c r="BA20" i="1" s="1"/>
  <c r="AW21" i="1"/>
  <c r="AZ21" i="1" s="1"/>
  <c r="AY21" i="1"/>
  <c r="BB21" i="1" s="1"/>
  <c r="AX22" i="1"/>
  <c r="AW23" i="1"/>
  <c r="AY23" i="1"/>
  <c r="AX24" i="1"/>
  <c r="AW25" i="1"/>
  <c r="AY25" i="1"/>
  <c r="AX26" i="1"/>
  <c r="AX39" i="1"/>
  <c r="BA39" i="1" s="1"/>
  <c r="AX43" i="1"/>
  <c r="AW61" i="1"/>
  <c r="AY61" i="1"/>
  <c r="AX9" i="1"/>
  <c r="AW10" i="1"/>
  <c r="AZ10" i="1" s="1"/>
  <c r="AY10" i="1"/>
  <c r="BB10" i="1" s="1"/>
  <c r="AX11" i="1"/>
  <c r="BA11" i="1" s="1"/>
  <c r="AW12" i="1"/>
  <c r="AZ12" i="1" s="1"/>
  <c r="AY12" i="1"/>
  <c r="BB12" i="1" s="1"/>
  <c r="AX13" i="1"/>
  <c r="BA13" i="1" s="1"/>
  <c r="AW14" i="1"/>
  <c r="AZ14" i="1" s="1"/>
  <c r="AY14" i="1"/>
  <c r="BB14" i="1" s="1"/>
  <c r="AX15" i="1"/>
  <c r="BA15" i="1" s="1"/>
  <c r="AW16" i="1"/>
  <c r="AZ16" i="1" s="1"/>
  <c r="AY16" i="1"/>
  <c r="BB16" i="1" s="1"/>
  <c r="AX17" i="1"/>
  <c r="BA17" i="1" s="1"/>
  <c r="AW18" i="1"/>
  <c r="AZ18" i="1" s="1"/>
  <c r="AY18" i="1"/>
  <c r="BB18" i="1" s="1"/>
  <c r="AX19" i="1"/>
  <c r="BA19" i="1" s="1"/>
  <c r="AW20" i="1"/>
  <c r="AZ20" i="1" s="1"/>
  <c r="AY20" i="1"/>
  <c r="BB20" i="1" s="1"/>
  <c r="AX21" i="1"/>
  <c r="BA21" i="1" s="1"/>
  <c r="AW22" i="1"/>
  <c r="AY22" i="1"/>
  <c r="AX23" i="1"/>
  <c r="AW24" i="1"/>
  <c r="AY24" i="1"/>
  <c r="AX25" i="1"/>
  <c r="AW26" i="1"/>
  <c r="AY26" i="1"/>
  <c r="AW39" i="1"/>
  <c r="AZ39" i="1" s="1"/>
  <c r="AY39" i="1"/>
  <c r="BB39" i="1" s="1"/>
  <c r="AW43" i="1"/>
  <c r="AY43" i="1"/>
  <c r="AX61" i="1"/>
  <c r="AY9" i="1"/>
  <c r="BB9" i="1" s="1"/>
  <c r="AW9" i="1"/>
  <c r="O20" i="6"/>
  <c r="N24" i="6"/>
  <c r="AQ70" i="1"/>
  <c r="AQ71" i="1"/>
  <c r="AQ68" i="1"/>
  <c r="AQ67" i="1"/>
  <c r="AZ11" i="1"/>
  <c r="O15" i="6"/>
  <c r="J28" i="9" s="1"/>
  <c r="O27" i="6"/>
  <c r="O32" i="6"/>
  <c r="J14" i="9" s="1"/>
  <c r="O16" i="6"/>
  <c r="J10" i="9" s="1"/>
  <c r="N47" i="6"/>
  <c r="N31" i="6"/>
  <c r="O43" i="6"/>
  <c r="M19" i="6"/>
  <c r="N36" i="6"/>
  <c r="I14" i="9" s="1"/>
  <c r="M24" i="6"/>
  <c r="N35" i="6"/>
  <c r="N56" i="6"/>
  <c r="I32" i="9" s="1"/>
  <c r="M39" i="6"/>
  <c r="O31" i="6"/>
  <c r="J46" i="9" s="1"/>
  <c r="N43" i="6"/>
  <c r="M35" i="6"/>
  <c r="M56" i="6"/>
  <c r="K31" i="9" s="1"/>
  <c r="M27" i="6"/>
  <c r="N39" i="6"/>
  <c r="M16" i="6"/>
  <c r="N19" i="6"/>
  <c r="M20" i="6"/>
  <c r="K10" i="9" s="1"/>
  <c r="M32" i="6"/>
  <c r="M36" i="6"/>
  <c r="K28" i="9" s="1"/>
  <c r="I33" i="9"/>
  <c r="I10" i="9"/>
  <c r="AM40" i="1"/>
  <c r="AL40" i="1"/>
  <c r="AK40" i="1"/>
  <c r="AL36" i="1"/>
  <c r="AK36" i="1"/>
  <c r="AM36" i="1"/>
  <c r="AK65" i="1"/>
  <c r="AM65" i="1"/>
  <c r="AL65" i="1"/>
  <c r="AM25" i="1"/>
  <c r="AL25" i="1"/>
  <c r="AK25" i="1"/>
  <c r="AL28" i="1"/>
  <c r="AK28" i="1"/>
  <c r="AM28" i="1"/>
  <c r="O44" i="6"/>
  <c r="J15" i="9" s="1"/>
  <c r="M44" i="6"/>
  <c r="N44" i="6"/>
  <c r="I17" i="9" s="1"/>
  <c r="N72" i="6"/>
  <c r="M72" i="6"/>
  <c r="O72" i="6"/>
  <c r="AL61" i="1"/>
  <c r="AM61" i="1"/>
  <c r="AK61" i="1"/>
  <c r="AM57" i="1"/>
  <c r="AX62" i="1" s="1"/>
  <c r="AK57" i="1"/>
  <c r="AY62" i="1" s="1"/>
  <c r="AL57" i="1"/>
  <c r="AW62" i="1" s="1"/>
  <c r="AM72" i="1"/>
  <c r="AK72" i="1"/>
  <c r="AL72" i="1"/>
  <c r="N28" i="6"/>
  <c r="M28" i="6"/>
  <c r="K26" i="9" s="1"/>
  <c r="O28" i="6"/>
  <c r="J12" i="9" s="1"/>
  <c r="M67" i="6"/>
  <c r="O67" i="6"/>
  <c r="O23" i="6"/>
  <c r="N23" i="6"/>
  <c r="M23" i="6"/>
  <c r="AM49" i="1"/>
  <c r="AX60" i="1" s="1"/>
  <c r="AK49" i="1"/>
  <c r="AY60" i="1" s="1"/>
  <c r="AL49" i="1"/>
  <c r="AW60" i="1" s="1"/>
  <c r="AM64" i="1"/>
  <c r="AX44" i="1" s="1"/>
  <c r="AL64" i="1"/>
  <c r="AW44" i="1" s="1"/>
  <c r="AK64" i="1"/>
  <c r="AY44" i="1" s="1"/>
  <c r="AM41" i="1"/>
  <c r="AL41" i="1"/>
  <c r="AW58" i="1" s="1"/>
  <c r="AK41" i="1"/>
  <c r="AY58" i="1" s="1"/>
  <c r="AM24" i="1"/>
  <c r="AL24" i="1"/>
  <c r="AK24" i="1"/>
  <c r="AL52" i="1"/>
  <c r="AW41" i="1" s="1"/>
  <c r="AK52" i="1"/>
  <c r="AY41" i="1" s="1"/>
  <c r="AM52" i="1"/>
  <c r="AX41" i="1" s="1"/>
  <c r="AL37" i="1"/>
  <c r="AW57" i="1" s="1"/>
  <c r="AK37" i="1"/>
  <c r="AY57" i="1" s="1"/>
  <c r="AM37" i="1"/>
  <c r="AX57" i="1" s="1"/>
  <c r="AL45" i="1"/>
  <c r="AW59" i="1" s="1"/>
  <c r="AK45" i="1"/>
  <c r="AY59" i="1" s="1"/>
  <c r="AM45" i="1"/>
  <c r="AX59" i="1" s="1"/>
  <c r="AL68" i="1"/>
  <c r="AK68" i="1"/>
  <c r="AM68" i="1"/>
  <c r="AM48" i="1"/>
  <c r="AX40" i="1" s="1"/>
  <c r="AL48" i="1"/>
  <c r="AW40" i="1" s="1"/>
  <c r="AK48" i="1"/>
  <c r="AY40" i="1" s="1"/>
  <c r="M63" i="6"/>
  <c r="O63" i="6"/>
  <c r="J35" i="9" s="1"/>
  <c r="N63" i="6"/>
  <c r="M59" i="6"/>
  <c r="O59" i="6"/>
  <c r="N59" i="6"/>
  <c r="AM32" i="1"/>
  <c r="AL32" i="1"/>
  <c r="AK32" i="1"/>
  <c r="AL21" i="1"/>
  <c r="AK21" i="1"/>
  <c r="AM21" i="1"/>
  <c r="AL29" i="1"/>
  <c r="AK29" i="1"/>
  <c r="AM29" i="1"/>
  <c r="AM56" i="1"/>
  <c r="AX42" i="1" s="1"/>
  <c r="AL56" i="1"/>
  <c r="AW42" i="1" s="1"/>
  <c r="AK56" i="1"/>
  <c r="AY42" i="1" s="1"/>
  <c r="AM33" i="1"/>
  <c r="AX56" i="1" s="1"/>
  <c r="AL33" i="1"/>
  <c r="AW56" i="1" s="1"/>
  <c r="AK33" i="1"/>
  <c r="AY56" i="1" s="1"/>
  <c r="J19" i="9"/>
  <c r="J29" i="9"/>
  <c r="I22" i="9"/>
  <c r="J16" i="9"/>
  <c r="I8" i="9"/>
  <c r="I16" i="9"/>
  <c r="J23" i="9"/>
  <c r="K23" i="9"/>
  <c r="J32" i="9"/>
  <c r="J20" i="9"/>
  <c r="K34" i="9"/>
  <c r="K29" i="9"/>
  <c r="N11" i="6"/>
  <c r="M11" i="6"/>
  <c r="K24" i="9"/>
  <c r="I9" i="9"/>
  <c r="J18" i="9"/>
  <c r="J37" i="9"/>
  <c r="J33" i="9"/>
  <c r="J31" i="9"/>
  <c r="J27" i="9"/>
  <c r="I23" i="9"/>
  <c r="I34" i="9"/>
  <c r="J30" i="9"/>
  <c r="I26" i="9"/>
  <c r="K30" i="9"/>
  <c r="K18" i="9"/>
  <c r="I18" i="9"/>
  <c r="J34" i="9"/>
  <c r="I29" i="9"/>
  <c r="K33" i="9"/>
  <c r="M76" i="6"/>
  <c r="O76" i="6"/>
  <c r="AL12" i="1"/>
  <c r="AM12" i="1"/>
  <c r="AK12" i="1"/>
  <c r="AY31" i="1" s="1"/>
  <c r="AK13" i="1"/>
  <c r="AL13" i="1"/>
  <c r="AM13" i="1"/>
  <c r="K16" i="9"/>
  <c r="H20" i="9"/>
  <c r="H16" i="9"/>
  <c r="H12" i="9"/>
  <c r="H8" i="9"/>
  <c r="H37" i="9"/>
  <c r="H29" i="9"/>
  <c r="H25" i="9"/>
  <c r="H53" i="9"/>
  <c r="H49" i="9"/>
  <c r="H45" i="9"/>
  <c r="H41" i="9"/>
  <c r="H7" i="9"/>
  <c r="H21" i="9"/>
  <c r="H17" i="9"/>
  <c r="H13" i="9"/>
  <c r="H9" i="9"/>
  <c r="H34" i="9"/>
  <c r="H30" i="9"/>
  <c r="H26" i="9"/>
  <c r="H38" i="9"/>
  <c r="H52" i="9"/>
  <c r="H18" i="9"/>
  <c r="H14" i="9"/>
  <c r="H10" i="9"/>
  <c r="H35" i="9"/>
  <c r="H33" i="9"/>
  <c r="H31" i="9"/>
  <c r="H27" i="9"/>
  <c r="H23" i="9"/>
  <c r="H39" i="9"/>
  <c r="H51" i="9"/>
  <c r="H47" i="9"/>
  <c r="H43" i="9"/>
  <c r="H19" i="9"/>
  <c r="H15" i="9"/>
  <c r="H11" i="9"/>
  <c r="H22" i="9"/>
  <c r="H36" i="9"/>
  <c r="H32" i="9"/>
  <c r="H28" i="9"/>
  <c r="H6" i="9"/>
  <c r="H40" i="9"/>
  <c r="H50" i="9"/>
  <c r="H46" i="9"/>
  <c r="H42" i="9"/>
  <c r="H24" i="9"/>
  <c r="H48" i="9"/>
  <c r="H44" i="9"/>
  <c r="J86" i="6"/>
  <c r="J87" i="6" s="1"/>
  <c r="I86" i="6"/>
  <c r="F24" i="9"/>
  <c r="F12" i="9"/>
  <c r="F8" i="9"/>
  <c r="G24" i="9"/>
  <c r="G16" i="9"/>
  <c r="G12" i="9"/>
  <c r="G8" i="9"/>
  <c r="F35" i="9"/>
  <c r="F16" i="9"/>
  <c r="G35" i="9"/>
  <c r="F22" i="9"/>
  <c r="F10" i="9"/>
  <c r="G22" i="9"/>
  <c r="G14" i="9"/>
  <c r="G10" i="9"/>
  <c r="F14" i="9"/>
  <c r="F23" i="9"/>
  <c r="F33" i="9"/>
  <c r="F7" i="9"/>
  <c r="F37" i="9"/>
  <c r="F6" i="9"/>
  <c r="F17" i="9"/>
  <c r="F11" i="9"/>
  <c r="F20" i="9"/>
  <c r="F15" i="9"/>
  <c r="F31" i="9"/>
  <c r="AW36" i="1" l="1"/>
  <c r="AZ36" i="1" s="1"/>
  <c r="AY55" i="1"/>
  <c r="BB55" i="1" s="1"/>
  <c r="AX36" i="1"/>
  <c r="BA36" i="1" s="1"/>
  <c r="BD36" i="1" s="1"/>
  <c r="AT63" i="1"/>
  <c r="AT72" i="1" s="1"/>
  <c r="AM83" i="1" a="1"/>
  <c r="AM83" i="1" s="1"/>
  <c r="AM84" i="1" s="1"/>
  <c r="AL83" i="1" a="1"/>
  <c r="AL83" i="1" s="1"/>
  <c r="AU63" i="1" a="1"/>
  <c r="AU63" i="1" s="1"/>
  <c r="AU64" i="1" s="1"/>
  <c r="AW38" i="1"/>
  <c r="AZ38" i="1" s="1"/>
  <c r="AX31" i="1"/>
  <c r="BA31" i="1" s="1"/>
  <c r="BD31" i="1" s="1"/>
  <c r="AW31" i="1"/>
  <c r="AZ31" i="1" s="1"/>
  <c r="AX55" i="1"/>
  <c r="BA55" i="1" s="1"/>
  <c r="BD55" i="1" s="1"/>
  <c r="AW55" i="1"/>
  <c r="AZ55" i="1" s="1"/>
  <c r="AY36" i="1"/>
  <c r="BB36" i="1" s="1"/>
  <c r="AY51" i="1"/>
  <c r="BB51" i="1" s="1"/>
  <c r="BA9" i="1"/>
  <c r="AZ9" i="1"/>
  <c r="BE16" i="1" s="1"/>
  <c r="AX35" i="1"/>
  <c r="BA35" i="1" s="1"/>
  <c r="BD35" i="1" s="1"/>
  <c r="AW35" i="1"/>
  <c r="AZ35" i="1" s="1"/>
  <c r="AY35" i="1"/>
  <c r="BB35" i="1" s="1"/>
  <c r="AX52" i="1"/>
  <c r="BA52" i="1" s="1"/>
  <c r="BD52" i="1" s="1"/>
  <c r="AX32" i="1"/>
  <c r="BA32" i="1" s="1"/>
  <c r="BC32" i="1" s="1"/>
  <c r="AW51" i="1"/>
  <c r="AZ51" i="1" s="1"/>
  <c r="AY32" i="1"/>
  <c r="BB32" i="1" s="1"/>
  <c r="AW32" i="1"/>
  <c r="AZ32" i="1" s="1"/>
  <c r="AY53" i="1"/>
  <c r="BB53" i="1" s="1"/>
  <c r="AY34" i="1"/>
  <c r="BB34" i="1" s="1"/>
  <c r="AX34" i="1"/>
  <c r="BA34" i="1" s="1"/>
  <c r="BD34" i="1" s="1"/>
  <c r="AY54" i="1"/>
  <c r="BB54" i="1" s="1"/>
  <c r="AX54" i="1"/>
  <c r="BA54" i="1" s="1"/>
  <c r="BD54" i="1" s="1"/>
  <c r="AX37" i="1"/>
  <c r="BA37" i="1" s="1"/>
  <c r="BC37" i="1" s="1"/>
  <c r="AW54" i="1"/>
  <c r="AZ54" i="1" s="1"/>
  <c r="AY52" i="1"/>
  <c r="BB52" i="1" s="1"/>
  <c r="AW37" i="1"/>
  <c r="AZ37" i="1" s="1"/>
  <c r="AX33" i="1"/>
  <c r="BA33" i="1" s="1"/>
  <c r="BC33" i="1" s="1"/>
  <c r="AX51" i="1"/>
  <c r="BA51" i="1" s="1"/>
  <c r="AX53" i="1"/>
  <c r="BA53" i="1" s="1"/>
  <c r="BD53" i="1" s="1"/>
  <c r="AW53" i="1"/>
  <c r="AZ53" i="1" s="1"/>
  <c r="AW34" i="1"/>
  <c r="AZ34" i="1" s="1"/>
  <c r="I11" i="9"/>
  <c r="AY37" i="1"/>
  <c r="BB37" i="1" s="1"/>
  <c r="AY38" i="1"/>
  <c r="BB38" i="1" s="1"/>
  <c r="AX38" i="1"/>
  <c r="BA38" i="1" s="1"/>
  <c r="BD38" i="1" s="1"/>
  <c r="AW52" i="1"/>
  <c r="AZ52" i="1" s="1"/>
  <c r="AW33" i="1"/>
  <c r="AZ33" i="1" s="1"/>
  <c r="AY33" i="1"/>
  <c r="BB33" i="1" s="1"/>
  <c r="AX49" i="1"/>
  <c r="BA49" i="1" s="1"/>
  <c r="BC49" i="1" s="1"/>
  <c r="AX50" i="1"/>
  <c r="BA50" i="1" s="1"/>
  <c r="BC50" i="1" s="1"/>
  <c r="AX27" i="1"/>
  <c r="BA27" i="1" s="1"/>
  <c r="BD27" i="1" s="1"/>
  <c r="AW27" i="1"/>
  <c r="AZ27" i="1" s="1"/>
  <c r="AY50" i="1"/>
  <c r="BB50" i="1" s="1"/>
  <c r="AW48" i="1"/>
  <c r="AZ48" i="1" s="1"/>
  <c r="AY45" i="1"/>
  <c r="BB45" i="1" s="1"/>
  <c r="AX47" i="1"/>
  <c r="BA47" i="1" s="1"/>
  <c r="BD47" i="1" s="1"/>
  <c r="AW46" i="1"/>
  <c r="AZ46" i="1" s="1"/>
  <c r="AX30" i="1"/>
  <c r="BA30" i="1" s="1"/>
  <c r="BD30" i="1" s="1"/>
  <c r="AY49" i="1"/>
  <c r="BB49" i="1" s="1"/>
  <c r="AY30" i="1"/>
  <c r="BB30" i="1" s="1"/>
  <c r="AX58" i="1"/>
  <c r="BA58" i="1" s="1"/>
  <c r="BC58" i="1" s="1"/>
  <c r="AW45" i="1"/>
  <c r="AZ45" i="1" s="1"/>
  <c r="AX45" i="1"/>
  <c r="BA45" i="1" s="1"/>
  <c r="BC45" i="1" s="1"/>
  <c r="AW50" i="1"/>
  <c r="AZ50" i="1" s="1"/>
  <c r="AW49" i="1"/>
  <c r="AZ49" i="1" s="1"/>
  <c r="AW30" i="1"/>
  <c r="AZ30" i="1" s="1"/>
  <c r="AY46" i="1"/>
  <c r="BB46" i="1" s="1"/>
  <c r="AX48" i="1"/>
  <c r="BA48" i="1" s="1"/>
  <c r="BC48" i="1" s="1"/>
  <c r="AX46" i="1"/>
  <c r="BA46" i="1" s="1"/>
  <c r="BC46" i="1" s="1"/>
  <c r="AW47" i="1"/>
  <c r="AZ47" i="1" s="1"/>
  <c r="AY47" i="1"/>
  <c r="BB47" i="1" s="1"/>
  <c r="AY48" i="1"/>
  <c r="BB48" i="1" s="1"/>
  <c r="AY27" i="1"/>
  <c r="BB27" i="1" s="1"/>
  <c r="AW28" i="1"/>
  <c r="AZ28" i="1" s="1"/>
  <c r="AX28" i="1"/>
  <c r="BA28" i="1" s="1"/>
  <c r="BC28" i="1" s="1"/>
  <c r="AW29" i="1"/>
  <c r="AZ29" i="1" s="1"/>
  <c r="AY28" i="1"/>
  <c r="BB28" i="1" s="1"/>
  <c r="AY29" i="1"/>
  <c r="BB29" i="1" s="1"/>
  <c r="AX29" i="1"/>
  <c r="BA29" i="1" s="1"/>
  <c r="BD29" i="1" s="1"/>
  <c r="K32" i="9"/>
  <c r="N32" i="9" s="1"/>
  <c r="I30" i="9"/>
  <c r="I31" i="9"/>
  <c r="K15" i="9"/>
  <c r="N15" i="9" s="1"/>
  <c r="I27" i="9"/>
  <c r="I48" i="9"/>
  <c r="K27" i="9"/>
  <c r="N27" i="9" s="1"/>
  <c r="AZ56" i="1"/>
  <c r="J47" i="9"/>
  <c r="BA56" i="1"/>
  <c r="BD56" i="1" s="1"/>
  <c r="I50" i="9"/>
  <c r="K48" i="9"/>
  <c r="N48" i="9" s="1"/>
  <c r="I49" i="9"/>
  <c r="J50" i="9"/>
  <c r="K49" i="9"/>
  <c r="N49" i="9" s="1"/>
  <c r="BB56" i="1"/>
  <c r="BA57" i="1"/>
  <c r="BD57" i="1" s="1"/>
  <c r="AZ57" i="1"/>
  <c r="K50" i="9"/>
  <c r="N50" i="9" s="1"/>
  <c r="BB57" i="1"/>
  <c r="I28" i="9"/>
  <c r="J25" i="9"/>
  <c r="I25" i="9"/>
  <c r="J26" i="9"/>
  <c r="J52" i="9"/>
  <c r="J51" i="9"/>
  <c r="J36" i="9"/>
  <c r="J21" i="9"/>
  <c r="J53" i="9"/>
  <c r="BB31" i="1"/>
  <c r="K51" i="9"/>
  <c r="N51" i="9" s="1"/>
  <c r="I24" i="9"/>
  <c r="BB42" i="1"/>
  <c r="I53" i="9"/>
  <c r="K36" i="9"/>
  <c r="N36" i="9" s="1"/>
  <c r="BB40" i="1"/>
  <c r="BA42" i="1"/>
  <c r="BC42" i="1" s="1"/>
  <c r="BA40" i="1"/>
  <c r="BC40" i="1" s="1"/>
  <c r="K22" i="9"/>
  <c r="N22" i="9" s="1"/>
  <c r="K37" i="9"/>
  <c r="N37" i="9" s="1"/>
  <c r="I20" i="9"/>
  <c r="I35" i="9"/>
  <c r="I19" i="9"/>
  <c r="AZ42" i="1"/>
  <c r="AZ40" i="1"/>
  <c r="K47" i="9"/>
  <c r="N47" i="9" s="1"/>
  <c r="I52" i="9"/>
  <c r="K35" i="9"/>
  <c r="N35" i="9" s="1"/>
  <c r="K53" i="9"/>
  <c r="N53" i="9" s="1"/>
  <c r="K19" i="9"/>
  <c r="N19" i="9" s="1"/>
  <c r="K21" i="9"/>
  <c r="N21" i="9" s="1"/>
  <c r="I36" i="9"/>
  <c r="I37" i="9"/>
  <c r="I21" i="9"/>
  <c r="BA59" i="1"/>
  <c r="BC59" i="1" s="1"/>
  <c r="AZ59" i="1"/>
  <c r="BA41" i="1"/>
  <c r="BC41" i="1" s="1"/>
  <c r="AZ41" i="1"/>
  <c r="AZ44" i="1"/>
  <c r="AZ60" i="1"/>
  <c r="BB41" i="1"/>
  <c r="AZ58" i="1"/>
  <c r="BB44" i="1"/>
  <c r="BA44" i="1"/>
  <c r="BD44" i="1" s="1"/>
  <c r="K52" i="9"/>
  <c r="N52" i="9" s="1"/>
  <c r="K20" i="9"/>
  <c r="N20" i="9" s="1"/>
  <c r="I51" i="9"/>
  <c r="BB62" i="1"/>
  <c r="BB26" i="1"/>
  <c r="BA25" i="1"/>
  <c r="BC25" i="1" s="1"/>
  <c r="AZ24" i="1"/>
  <c r="BE24" i="1" s="1"/>
  <c r="BB22" i="1"/>
  <c r="BA62" i="1"/>
  <c r="BD62" i="1" s="1"/>
  <c r="AZ61" i="1"/>
  <c r="BB43" i="1"/>
  <c r="BB25" i="1"/>
  <c r="BA24" i="1"/>
  <c r="BC24" i="1" s="1"/>
  <c r="AZ23" i="1"/>
  <c r="BB58" i="1"/>
  <c r="BA60" i="1"/>
  <c r="BD60" i="1" s="1"/>
  <c r="AZ62" i="1"/>
  <c r="BA43" i="1"/>
  <c r="BC43" i="1" s="1"/>
  <c r="AZ26" i="1"/>
  <c r="BB24" i="1"/>
  <c r="BA23" i="1"/>
  <c r="BC23" i="1" s="1"/>
  <c r="AZ22" i="1"/>
  <c r="BE18" i="1" s="1"/>
  <c r="AZ43" i="1"/>
  <c r="BE43" i="1" s="1"/>
  <c r="BA26" i="1"/>
  <c r="BD26" i="1" s="1"/>
  <c r="AZ25" i="1"/>
  <c r="BB23" i="1"/>
  <c r="BA22" i="1"/>
  <c r="BC22" i="1" s="1"/>
  <c r="AQ73" i="1"/>
  <c r="AT70" i="1"/>
  <c r="BB59" i="1"/>
  <c r="BB60" i="1"/>
  <c r="BA61" i="1"/>
  <c r="BC61" i="1" s="1"/>
  <c r="AT68" i="1"/>
  <c r="AT67" i="1"/>
  <c r="AT71" i="1"/>
  <c r="BB61" i="1"/>
  <c r="BC39" i="1"/>
  <c r="BD39" i="1"/>
  <c r="BC12" i="1"/>
  <c r="BD12" i="1"/>
  <c r="BC21" i="1"/>
  <c r="BD21" i="1"/>
  <c r="BC17" i="1"/>
  <c r="BD17" i="1"/>
  <c r="BC13" i="1"/>
  <c r="BD13" i="1"/>
  <c r="BC18" i="1"/>
  <c r="BD18" i="1"/>
  <c r="BC14" i="1"/>
  <c r="BD14" i="1"/>
  <c r="BC10" i="1"/>
  <c r="BD10" i="1"/>
  <c r="BC19" i="1"/>
  <c r="BD19" i="1"/>
  <c r="BC15" i="1"/>
  <c r="BD15" i="1"/>
  <c r="BC11" i="1"/>
  <c r="BD11" i="1"/>
  <c r="BC20" i="1"/>
  <c r="BD20" i="1"/>
  <c r="BC16" i="1"/>
  <c r="BD16" i="1"/>
  <c r="K25" i="9"/>
  <c r="N25" i="9" s="1"/>
  <c r="I45" i="9"/>
  <c r="J24" i="9"/>
  <c r="J42" i="9"/>
  <c r="J13" i="9"/>
  <c r="J22" i="9"/>
  <c r="I46" i="9"/>
  <c r="J38" i="9"/>
  <c r="J48" i="9"/>
  <c r="K46" i="9"/>
  <c r="N46" i="9" s="1"/>
  <c r="I15" i="9"/>
  <c r="I6" i="9"/>
  <c r="J17" i="9"/>
  <c r="K14" i="9"/>
  <c r="N14" i="9" s="1"/>
  <c r="J45" i="9"/>
  <c r="K17" i="9"/>
  <c r="N17" i="9" s="1"/>
  <c r="J49" i="9"/>
  <c r="I47" i="9"/>
  <c r="K42" i="9"/>
  <c r="N42" i="9" s="1"/>
  <c r="K38" i="9"/>
  <c r="N38" i="9" s="1"/>
  <c r="J41" i="9"/>
  <c r="K13" i="9"/>
  <c r="N13" i="9" s="1"/>
  <c r="I40" i="9"/>
  <c r="I12" i="9"/>
  <c r="K9" i="9"/>
  <c r="N9" i="9" s="1"/>
  <c r="I38" i="9"/>
  <c r="J39" i="9"/>
  <c r="K40" i="9"/>
  <c r="N40" i="9" s="1"/>
  <c r="N31" i="9"/>
  <c r="N26" i="9"/>
  <c r="N34" i="9"/>
  <c r="J9" i="9"/>
  <c r="I39" i="9"/>
  <c r="J40" i="9"/>
  <c r="J8" i="9"/>
  <c r="K11" i="9"/>
  <c r="N11" i="9" s="1"/>
  <c r="I41" i="9"/>
  <c r="J11" i="9"/>
  <c r="N16" i="9"/>
  <c r="K12" i="9"/>
  <c r="N12" i="9" s="1"/>
  <c r="I13" i="9"/>
  <c r="I44" i="9"/>
  <c r="J43" i="9"/>
  <c r="K43" i="9"/>
  <c r="N43" i="9" s="1"/>
  <c r="K39" i="9"/>
  <c r="N39" i="9" s="1"/>
  <c r="K7" i="9"/>
  <c r="N7" i="9" s="1"/>
  <c r="K45" i="9"/>
  <c r="N45" i="9" s="1"/>
  <c r="I43" i="9"/>
  <c r="I42" i="9"/>
  <c r="N28" i="9"/>
  <c r="N10" i="9"/>
  <c r="N29" i="9"/>
  <c r="J44" i="9"/>
  <c r="K44" i="9"/>
  <c r="N44" i="9" s="1"/>
  <c r="K41" i="9"/>
  <c r="N41" i="9" s="1"/>
  <c r="N86" i="6"/>
  <c r="N24" i="9"/>
  <c r="N23" i="9"/>
  <c r="O86" i="6"/>
  <c r="O87" i="6" s="1"/>
  <c r="N33" i="9"/>
  <c r="N18" i="9"/>
  <c r="N30" i="9"/>
  <c r="K6" i="9"/>
  <c r="N6" i="9" s="1"/>
  <c r="K8" i="9"/>
  <c r="N8" i="9" s="1"/>
  <c r="I7" i="9"/>
  <c r="F18" i="9"/>
  <c r="F21" i="9"/>
  <c r="F26" i="9"/>
  <c r="F36" i="9"/>
  <c r="F9" i="9"/>
  <c r="F13" i="9"/>
  <c r="F19" i="9"/>
  <c r="F34" i="9"/>
  <c r="F32" i="9"/>
  <c r="F30" i="9"/>
  <c r="BE47" i="1" l="1"/>
  <c r="BE45" i="1"/>
  <c r="BE48" i="1"/>
  <c r="BE52" i="1"/>
  <c r="BE22" i="1"/>
  <c r="BE23" i="1"/>
  <c r="BE58" i="1"/>
  <c r="BE35" i="1"/>
  <c r="BE31" i="1"/>
  <c r="BE14" i="1"/>
  <c r="BE40" i="1"/>
  <c r="BE29" i="1"/>
  <c r="BE27" i="1"/>
  <c r="BE37" i="1"/>
  <c r="BE36" i="1"/>
  <c r="BE60" i="1"/>
  <c r="BE42" i="1"/>
  <c r="BE32" i="1"/>
  <c r="BE9" i="1"/>
  <c r="BE38" i="1"/>
  <c r="BE21" i="1"/>
  <c r="BE13" i="1"/>
  <c r="BE26" i="1"/>
  <c r="BE44" i="1"/>
  <c r="BE28" i="1"/>
  <c r="BE30" i="1"/>
  <c r="BE54" i="1"/>
  <c r="BE39" i="1"/>
  <c r="BE19" i="1"/>
  <c r="BE61" i="1"/>
  <c r="BE41" i="1"/>
  <c r="BE57" i="1"/>
  <c r="BE49" i="1"/>
  <c r="BE46" i="1"/>
  <c r="BE34" i="1"/>
  <c r="BE51" i="1"/>
  <c r="BE12" i="1"/>
  <c r="BE20" i="1"/>
  <c r="BE25" i="1"/>
  <c r="BE62" i="1"/>
  <c r="BE50" i="1"/>
  <c r="BE53" i="1"/>
  <c r="BE15" i="1"/>
  <c r="BE11" i="1"/>
  <c r="BE59" i="1"/>
  <c r="BE56" i="1"/>
  <c r="BE33" i="1"/>
  <c r="BE55" i="1"/>
  <c r="BE17" i="1"/>
  <c r="BE10" i="1"/>
  <c r="BA63" i="1" a="1"/>
  <c r="BA63" i="1" s="1"/>
  <c r="BA64" i="1" s="1"/>
  <c r="AZ63" i="1" a="1"/>
  <c r="AZ63" i="1" s="1"/>
  <c r="AZ71" i="1" s="1"/>
  <c r="BD9" i="1"/>
  <c r="AW63" i="1" a="1"/>
  <c r="AW63" i="1" s="1"/>
  <c r="AW72" i="1" s="1"/>
  <c r="AX63" i="1" a="1"/>
  <c r="AX63" i="1" s="1"/>
  <c r="AX64" i="1" s="1"/>
  <c r="BC9" i="1"/>
  <c r="BC56" i="1"/>
  <c r="BC57" i="1"/>
  <c r="BC31" i="1"/>
  <c r="BC35" i="1"/>
  <c r="BD51" i="1"/>
  <c r="BC51" i="1"/>
  <c r="BC54" i="1"/>
  <c r="BD32" i="1"/>
  <c r="BC55" i="1"/>
  <c r="BC38" i="1"/>
  <c r="BC53" i="1"/>
  <c r="BC52" i="1"/>
  <c r="BD33" i="1"/>
  <c r="BC34" i="1"/>
  <c r="BD40" i="1"/>
  <c r="BD43" i="1"/>
  <c r="BD25" i="1"/>
  <c r="BD37" i="1"/>
  <c r="BC44" i="1"/>
  <c r="BC36" i="1"/>
  <c r="BC60" i="1"/>
  <c r="BD22" i="1"/>
  <c r="BD61" i="1"/>
  <c r="BD45" i="1"/>
  <c r="BD24" i="1"/>
  <c r="BD58" i="1"/>
  <c r="BC62" i="1"/>
  <c r="BC27" i="1"/>
  <c r="BD59" i="1"/>
  <c r="BD23" i="1"/>
  <c r="BC26" i="1"/>
  <c r="BD41" i="1"/>
  <c r="BD42" i="1"/>
  <c r="BD48" i="1"/>
  <c r="BC29" i="1"/>
  <c r="BD46" i="1"/>
  <c r="BD50" i="1"/>
  <c r="BC30" i="1"/>
  <c r="BC47" i="1"/>
  <c r="BD49" i="1"/>
  <c r="AZ72" i="1"/>
  <c r="AZ70" i="1"/>
  <c r="AZ68" i="1"/>
  <c r="AZ67" i="1"/>
  <c r="AW71" i="1"/>
  <c r="AT73" i="1"/>
  <c r="BD28" i="1"/>
  <c r="AW70" i="1"/>
  <c r="AW68" i="1"/>
  <c r="AW67" i="1"/>
  <c r="I67" i="9"/>
  <c r="F27" i="9"/>
  <c r="F28" i="9"/>
  <c r="F25" i="9"/>
  <c r="F29" i="9"/>
  <c r="BF9" i="1" l="1"/>
  <c r="BL9" i="1" s="1"/>
  <c r="BF61" i="1"/>
  <c r="BF57" i="1"/>
  <c r="BF53" i="1"/>
  <c r="BF49" i="1"/>
  <c r="BF46" i="1"/>
  <c r="BF44" i="1"/>
  <c r="BF40" i="1"/>
  <c r="BF37" i="1"/>
  <c r="BF34" i="1"/>
  <c r="BF31" i="1"/>
  <c r="BF28" i="1"/>
  <c r="BF26" i="1"/>
  <c r="BF24" i="1"/>
  <c r="BF21" i="1"/>
  <c r="BF18" i="1"/>
  <c r="BF16" i="1"/>
  <c r="BF13" i="1"/>
  <c r="BF11" i="1"/>
  <c r="BF59" i="1"/>
  <c r="BF55" i="1"/>
  <c r="BF51" i="1"/>
  <c r="BF48" i="1"/>
  <c r="BF45" i="1"/>
  <c r="BF42" i="1"/>
  <c r="BF39" i="1"/>
  <c r="BF36" i="1"/>
  <c r="BF33" i="1"/>
  <c r="BF30" i="1"/>
  <c r="BF27" i="1"/>
  <c r="BF25" i="1"/>
  <c r="BF22" i="1"/>
  <c r="BF19" i="1"/>
  <c r="BF17" i="1"/>
  <c r="BF14" i="1"/>
  <c r="BF12" i="1"/>
  <c r="BF15" i="1"/>
  <c r="BF10" i="1"/>
  <c r="BF58" i="1"/>
  <c r="BF29" i="1"/>
  <c r="BF35" i="1"/>
  <c r="BF50" i="1"/>
  <c r="BF62" i="1"/>
  <c r="BF23" i="1"/>
  <c r="BF32" i="1"/>
  <c r="BF41" i="1"/>
  <c r="BF20" i="1"/>
  <c r="BF60" i="1"/>
  <c r="BF52" i="1"/>
  <c r="BF43" i="1"/>
  <c r="BF38" i="1"/>
  <c r="BF56" i="1"/>
  <c r="BF54" i="1"/>
  <c r="BF47" i="1"/>
  <c r="BC70" i="1"/>
  <c r="BC68" i="1"/>
  <c r="BC71" i="1"/>
  <c r="BC67" i="1"/>
  <c r="BC69" i="1"/>
  <c r="AZ69" i="1"/>
  <c r="AZ73" i="1" s="1"/>
  <c r="AW73" i="1"/>
  <c r="F44" i="9"/>
  <c r="F45" i="9"/>
  <c r="G31" i="9"/>
  <c r="G21" i="9"/>
  <c r="F40" i="9"/>
  <c r="G51" i="9"/>
  <c r="F51" i="9"/>
  <c r="F53" i="9"/>
  <c r="BH17" i="1" l="1"/>
  <c r="BJ17" i="1"/>
  <c r="BI17" i="1"/>
  <c r="BK17" i="1"/>
  <c r="BH13" i="1"/>
  <c r="BJ13" i="1"/>
  <c r="BI13" i="1"/>
  <c r="BK13" i="1"/>
  <c r="BH29" i="1"/>
  <c r="BJ29" i="1"/>
  <c r="BI29" i="1"/>
  <c r="BK29" i="1"/>
  <c r="BH37" i="1"/>
  <c r="BJ37" i="1"/>
  <c r="BI37" i="1"/>
  <c r="BK37" i="1"/>
  <c r="BH45" i="1"/>
  <c r="BJ45" i="1"/>
  <c r="BI45" i="1"/>
  <c r="BK45" i="1"/>
  <c r="BH53" i="1"/>
  <c r="BI53" i="1"/>
  <c r="BK53" i="1"/>
  <c r="BJ53" i="1"/>
  <c r="BH61" i="1"/>
  <c r="BI61" i="1"/>
  <c r="BK61" i="1"/>
  <c r="BJ61" i="1"/>
  <c r="BH14" i="1"/>
  <c r="BJ14" i="1"/>
  <c r="BI14" i="1"/>
  <c r="BK14" i="1"/>
  <c r="BH22" i="1"/>
  <c r="BJ22" i="1"/>
  <c r="BI22" i="1"/>
  <c r="BK22" i="1"/>
  <c r="BH30" i="1"/>
  <c r="BJ30" i="1"/>
  <c r="BI30" i="1"/>
  <c r="BK30" i="1"/>
  <c r="BH38" i="1"/>
  <c r="BJ38" i="1"/>
  <c r="BI38" i="1"/>
  <c r="BK38" i="1"/>
  <c r="BH46" i="1"/>
  <c r="BI46" i="1"/>
  <c r="BK46" i="1"/>
  <c r="BJ46" i="1"/>
  <c r="BJ54" i="1"/>
  <c r="BI54" i="1"/>
  <c r="BK54" i="1"/>
  <c r="BH54" i="1"/>
  <c r="BJ62" i="1"/>
  <c r="BI62" i="1"/>
  <c r="BK62" i="1"/>
  <c r="BH62" i="1"/>
  <c r="BH43" i="1"/>
  <c r="BJ43" i="1"/>
  <c r="BI43" i="1"/>
  <c r="BK43" i="1"/>
  <c r="BJ59" i="1"/>
  <c r="BI59" i="1"/>
  <c r="BK59" i="1"/>
  <c r="BH59" i="1"/>
  <c r="BH20" i="1"/>
  <c r="BJ20" i="1"/>
  <c r="BI20" i="1"/>
  <c r="BK20" i="1"/>
  <c r="BH36" i="1"/>
  <c r="BJ36" i="1"/>
  <c r="BI36" i="1"/>
  <c r="BK36" i="1"/>
  <c r="BJ52" i="1"/>
  <c r="BI52" i="1"/>
  <c r="BK52" i="1"/>
  <c r="BH52" i="1"/>
  <c r="BH27" i="1"/>
  <c r="BN28" i="1" s="1"/>
  <c r="BJ27" i="1"/>
  <c r="BI27" i="1"/>
  <c r="BK27" i="1"/>
  <c r="BH39" i="1"/>
  <c r="BJ39" i="1"/>
  <c r="BI39" i="1"/>
  <c r="BK39" i="1"/>
  <c r="BH16" i="1"/>
  <c r="BJ16" i="1"/>
  <c r="BI16" i="1"/>
  <c r="BK16" i="1"/>
  <c r="BJ48" i="1"/>
  <c r="BI48" i="1"/>
  <c r="BK48" i="1"/>
  <c r="BH48" i="1"/>
  <c r="BH15" i="1"/>
  <c r="BJ15" i="1"/>
  <c r="BI15" i="1"/>
  <c r="BK15" i="1"/>
  <c r="BH56" i="1"/>
  <c r="BI56" i="1"/>
  <c r="BK56" i="1"/>
  <c r="BJ56" i="1"/>
  <c r="BH40" i="1"/>
  <c r="BJ40" i="1"/>
  <c r="BI40" i="1"/>
  <c r="BK40" i="1"/>
  <c r="BH10" i="1"/>
  <c r="BJ10" i="1"/>
  <c r="BI10" i="1"/>
  <c r="BK10" i="1"/>
  <c r="BH21" i="1"/>
  <c r="BJ21" i="1"/>
  <c r="BI21" i="1"/>
  <c r="BK21" i="1"/>
  <c r="BH25" i="1"/>
  <c r="BJ25" i="1"/>
  <c r="BI25" i="1"/>
  <c r="BK25" i="1"/>
  <c r="BH33" i="1"/>
  <c r="BJ33" i="1"/>
  <c r="BI33" i="1"/>
  <c r="BK33" i="1"/>
  <c r="BH41" i="1"/>
  <c r="BJ41" i="1"/>
  <c r="BI41" i="1"/>
  <c r="BK41" i="1"/>
  <c r="BH49" i="1"/>
  <c r="BI49" i="1"/>
  <c r="BK49" i="1"/>
  <c r="BJ49" i="1"/>
  <c r="BH57" i="1"/>
  <c r="BI57" i="1"/>
  <c r="BK57" i="1"/>
  <c r="BJ57" i="1"/>
  <c r="BK9" i="1"/>
  <c r="BJ9" i="1"/>
  <c r="BH9" i="1"/>
  <c r="BI9" i="1"/>
  <c r="BH18" i="1"/>
  <c r="BJ18" i="1"/>
  <c r="BI18" i="1"/>
  <c r="BK18" i="1"/>
  <c r="BH26" i="1"/>
  <c r="BJ26" i="1"/>
  <c r="BI26" i="1"/>
  <c r="BK26" i="1"/>
  <c r="BH34" i="1"/>
  <c r="BJ34" i="1"/>
  <c r="BI34" i="1"/>
  <c r="BK34" i="1"/>
  <c r="BH42" i="1"/>
  <c r="BJ42" i="1"/>
  <c r="BI42" i="1"/>
  <c r="BK42" i="1"/>
  <c r="BJ50" i="1"/>
  <c r="BI50" i="1"/>
  <c r="BK50" i="1"/>
  <c r="BH50" i="1"/>
  <c r="BJ58" i="1"/>
  <c r="BI58" i="1"/>
  <c r="BK58" i="1"/>
  <c r="BH58" i="1"/>
  <c r="BH19" i="1"/>
  <c r="BJ19" i="1"/>
  <c r="BI19" i="1"/>
  <c r="BK19" i="1"/>
  <c r="BH35" i="1"/>
  <c r="BJ35" i="1"/>
  <c r="BI35" i="1"/>
  <c r="BK35" i="1"/>
  <c r="BH51" i="1"/>
  <c r="BI51" i="1"/>
  <c r="BK51" i="1"/>
  <c r="BJ51" i="1"/>
  <c r="BH12" i="1"/>
  <c r="BJ12" i="1"/>
  <c r="BI12" i="1"/>
  <c r="BK12" i="1"/>
  <c r="BH28" i="1"/>
  <c r="BJ28" i="1"/>
  <c r="BI28" i="1"/>
  <c r="BK28" i="1"/>
  <c r="BH44" i="1"/>
  <c r="BJ44" i="1"/>
  <c r="BI44" i="1"/>
  <c r="BK44" i="1"/>
  <c r="BH60" i="1"/>
  <c r="BI60" i="1"/>
  <c r="BK60" i="1"/>
  <c r="BJ60" i="1"/>
  <c r="BH23" i="1"/>
  <c r="BJ23" i="1"/>
  <c r="BI23" i="1"/>
  <c r="BK23" i="1"/>
  <c r="BJ55" i="1"/>
  <c r="BI55" i="1"/>
  <c r="BK55" i="1"/>
  <c r="BH55" i="1"/>
  <c r="BH32" i="1"/>
  <c r="BJ32" i="1"/>
  <c r="BI32" i="1"/>
  <c r="BK32" i="1"/>
  <c r="BH11" i="1"/>
  <c r="BJ11" i="1"/>
  <c r="BI11" i="1"/>
  <c r="BK11" i="1"/>
  <c r="BH24" i="1"/>
  <c r="BJ24" i="1"/>
  <c r="BI24" i="1"/>
  <c r="BK24" i="1"/>
  <c r="BH47" i="1"/>
  <c r="BJ47" i="1"/>
  <c r="BI47" i="1"/>
  <c r="BK47" i="1"/>
  <c r="BH31" i="1"/>
  <c r="BJ31" i="1"/>
  <c r="BI31" i="1"/>
  <c r="BK31" i="1"/>
  <c r="BC72" i="1"/>
  <c r="BF71" i="1"/>
  <c r="BF70" i="1"/>
  <c r="BF69" i="1"/>
  <c r="BF68" i="1"/>
  <c r="BF67" i="1"/>
  <c r="F50" i="9"/>
  <c r="F52" i="9"/>
  <c r="F47" i="9"/>
  <c r="F49" i="9"/>
  <c r="F41" i="9"/>
  <c r="F38" i="9"/>
  <c r="F46" i="9"/>
  <c r="F48" i="9"/>
  <c r="F42" i="9"/>
  <c r="F43" i="9"/>
  <c r="F39" i="9"/>
  <c r="G18" i="9"/>
  <c r="G17" i="9"/>
  <c r="G9" i="9"/>
  <c r="G20" i="9"/>
  <c r="G15" i="9"/>
  <c r="D6" i="17" l="1"/>
  <c r="C6" i="17"/>
  <c r="BL10" i="1"/>
  <c r="BL11" i="1" s="1"/>
  <c r="BL12" i="1" s="1"/>
  <c r="BL13" i="1" s="1"/>
  <c r="BL14" i="1" s="1"/>
  <c r="BL15" i="1" s="1"/>
  <c r="BL16" i="1" s="1"/>
  <c r="BL17" i="1" s="1"/>
  <c r="BL18" i="1" s="1"/>
  <c r="BL19" i="1" s="1"/>
  <c r="BL20" i="1" s="1"/>
  <c r="BL21" i="1" s="1"/>
  <c r="BL22" i="1" s="1"/>
  <c r="BL23" i="1" s="1"/>
  <c r="BL24" i="1" s="1"/>
  <c r="BL25" i="1" s="1"/>
  <c r="BL26" i="1" s="1"/>
  <c r="BL27" i="1" s="1"/>
  <c r="BL28" i="1" s="1"/>
  <c r="BL29" i="1" s="1"/>
  <c r="BL30" i="1" s="1"/>
  <c r="BL31" i="1" s="1"/>
  <c r="BL32" i="1" s="1"/>
  <c r="BL33" i="1" s="1"/>
  <c r="BL34" i="1" s="1"/>
  <c r="BL35" i="1" s="1"/>
  <c r="BL36" i="1" s="1"/>
  <c r="BL37" i="1" s="1"/>
  <c r="BL38" i="1" s="1"/>
  <c r="BL39" i="1" s="1"/>
  <c r="BL40" i="1" s="1"/>
  <c r="BL41" i="1" s="1"/>
  <c r="BL42" i="1" s="1"/>
  <c r="BL43" i="1" s="1"/>
  <c r="BL44" i="1" s="1"/>
  <c r="BL45" i="1" s="1"/>
  <c r="BL46" i="1" s="1"/>
  <c r="BL47" i="1" s="1"/>
  <c r="BL48" i="1" s="1"/>
  <c r="BL49" i="1" s="1"/>
  <c r="BL50" i="1" s="1"/>
  <c r="BL51" i="1" s="1"/>
  <c r="BL52" i="1" s="1"/>
  <c r="BL53" i="1" s="1"/>
  <c r="BL54" i="1" s="1"/>
  <c r="BL55" i="1" s="1"/>
  <c r="BL56" i="1" s="1"/>
  <c r="BL57" i="1" s="1"/>
  <c r="BL58" i="1" s="1"/>
  <c r="BL59" i="1" s="1"/>
  <c r="BL60" i="1" s="1"/>
  <c r="BL61" i="1" s="1"/>
  <c r="BL62" i="1" s="1"/>
  <c r="BJ63" i="1" a="1"/>
  <c r="BJ63" i="1" s="1"/>
  <c r="BJ64" i="1" s="1"/>
  <c r="D47" i="17"/>
  <c r="C55" i="17"/>
  <c r="AB55" i="17" s="1"/>
  <c r="D55" i="17"/>
  <c r="AC55" i="17" s="1"/>
  <c r="C7" i="17"/>
  <c r="AB7" i="17" s="1"/>
  <c r="E7" i="17"/>
  <c r="AD7" i="17" s="1"/>
  <c r="C8" i="17"/>
  <c r="AB8" i="17" s="1"/>
  <c r="E8" i="17"/>
  <c r="AD8" i="17" s="1"/>
  <c r="C9" i="17"/>
  <c r="AB9" i="17" s="1"/>
  <c r="E9" i="17"/>
  <c r="AD9" i="17" s="1"/>
  <c r="C10" i="17"/>
  <c r="AB10" i="17" s="1"/>
  <c r="E10" i="17"/>
  <c r="AD10" i="17" s="1"/>
  <c r="C11" i="17"/>
  <c r="AB11" i="17" s="1"/>
  <c r="E11" i="17"/>
  <c r="AD11" i="17" s="1"/>
  <c r="C12" i="17"/>
  <c r="AB12" i="17" s="1"/>
  <c r="E12" i="17"/>
  <c r="AD12" i="17" s="1"/>
  <c r="C13" i="17"/>
  <c r="AB13" i="17" s="1"/>
  <c r="E13" i="17"/>
  <c r="AD13" i="17" s="1"/>
  <c r="C14" i="17"/>
  <c r="AB14" i="17" s="1"/>
  <c r="E14" i="17"/>
  <c r="AD14" i="17" s="1"/>
  <c r="C15" i="17"/>
  <c r="AB15" i="17" s="1"/>
  <c r="E15" i="17"/>
  <c r="AD15" i="17" s="1"/>
  <c r="C16" i="17"/>
  <c r="AB16" i="17" s="1"/>
  <c r="E16" i="17"/>
  <c r="AD16" i="17" s="1"/>
  <c r="C17" i="17"/>
  <c r="AB17" i="17" s="1"/>
  <c r="E17" i="17"/>
  <c r="AD17" i="17" s="1"/>
  <c r="C18" i="17"/>
  <c r="AB18" i="17" s="1"/>
  <c r="E18" i="17"/>
  <c r="AD18" i="17" s="1"/>
  <c r="C19" i="17"/>
  <c r="AB19" i="17" s="1"/>
  <c r="E19" i="17"/>
  <c r="AD19" i="17" s="1"/>
  <c r="C20" i="17"/>
  <c r="AB20" i="17" s="1"/>
  <c r="E20" i="17"/>
  <c r="AD20" i="17" s="1"/>
  <c r="C21" i="17"/>
  <c r="AB21" i="17" s="1"/>
  <c r="E21" i="17"/>
  <c r="AD21" i="17" s="1"/>
  <c r="C22" i="17"/>
  <c r="AB22" i="17" s="1"/>
  <c r="E22" i="17"/>
  <c r="AD22" i="17" s="1"/>
  <c r="C23" i="17"/>
  <c r="AB23" i="17" s="1"/>
  <c r="E23" i="17"/>
  <c r="AD23" i="17" s="1"/>
  <c r="C24" i="17"/>
  <c r="AB24" i="17" s="1"/>
  <c r="E24" i="17"/>
  <c r="AD24" i="17" s="1"/>
  <c r="C25" i="17"/>
  <c r="AB25" i="17" s="1"/>
  <c r="E25" i="17"/>
  <c r="AD25" i="17" s="1"/>
  <c r="C26" i="17"/>
  <c r="AB26" i="17" s="1"/>
  <c r="E26" i="17"/>
  <c r="AD26" i="17" s="1"/>
  <c r="C27" i="17"/>
  <c r="AB27" i="17" s="1"/>
  <c r="E27" i="17"/>
  <c r="AD27" i="17" s="1"/>
  <c r="C28" i="17"/>
  <c r="AB28" i="17" s="1"/>
  <c r="E28" i="17"/>
  <c r="AD28" i="17" s="1"/>
  <c r="C29" i="17"/>
  <c r="AB29" i="17" s="1"/>
  <c r="E29" i="17"/>
  <c r="AD29" i="17" s="1"/>
  <c r="C30" i="17"/>
  <c r="AB30" i="17" s="1"/>
  <c r="E30" i="17"/>
  <c r="AD30" i="17" s="1"/>
  <c r="C31" i="17"/>
  <c r="AB31" i="17" s="1"/>
  <c r="E31" i="17"/>
  <c r="AD31" i="17" s="1"/>
  <c r="C32" i="17"/>
  <c r="AB32" i="17" s="1"/>
  <c r="E32" i="17"/>
  <c r="AD32" i="17" s="1"/>
  <c r="C33" i="17"/>
  <c r="AB33" i="17" s="1"/>
  <c r="E33" i="17"/>
  <c r="AD33" i="17" s="1"/>
  <c r="C34" i="17"/>
  <c r="AB34" i="17" s="1"/>
  <c r="E34" i="17"/>
  <c r="AD34" i="17" s="1"/>
  <c r="C35" i="17"/>
  <c r="AB35" i="17" s="1"/>
  <c r="E35" i="17"/>
  <c r="AD35" i="17" s="1"/>
  <c r="C36" i="17"/>
  <c r="AB36" i="17" s="1"/>
  <c r="E36" i="17"/>
  <c r="AD36" i="17" s="1"/>
  <c r="C37" i="17"/>
  <c r="AB37" i="17" s="1"/>
  <c r="E37" i="17"/>
  <c r="AD37" i="17" s="1"/>
  <c r="C38" i="17"/>
  <c r="AB38" i="17" s="1"/>
  <c r="E38" i="17"/>
  <c r="AD38" i="17" s="1"/>
  <c r="C39" i="17"/>
  <c r="AB39" i="17" s="1"/>
  <c r="E39" i="17"/>
  <c r="AD39" i="17" s="1"/>
  <c r="C40" i="17"/>
  <c r="AB40" i="17" s="1"/>
  <c r="E40" i="17"/>
  <c r="AD40" i="17" s="1"/>
  <c r="C41" i="17"/>
  <c r="AB41" i="17" s="1"/>
  <c r="E41" i="17"/>
  <c r="AD41" i="17" s="1"/>
  <c r="C42" i="17"/>
  <c r="AB42" i="17" s="1"/>
  <c r="E42" i="17"/>
  <c r="AD42" i="17" s="1"/>
  <c r="C43" i="17"/>
  <c r="AB43" i="17" s="1"/>
  <c r="E43" i="17"/>
  <c r="AD43" i="17" s="1"/>
  <c r="C44" i="17"/>
  <c r="AB44" i="17" s="1"/>
  <c r="E44" i="17"/>
  <c r="AD44" i="17" s="1"/>
  <c r="C45" i="17"/>
  <c r="AB45" i="17" s="1"/>
  <c r="E45" i="17"/>
  <c r="AD45" i="17" s="1"/>
  <c r="C46" i="17"/>
  <c r="AB46" i="17" s="1"/>
  <c r="E46" i="17"/>
  <c r="AD46" i="17" s="1"/>
  <c r="C47" i="17"/>
  <c r="AB47" i="17" s="1"/>
  <c r="E47" i="17"/>
  <c r="AD47" i="17" s="1"/>
  <c r="C48" i="17"/>
  <c r="AB48" i="17" s="1"/>
  <c r="E48" i="17"/>
  <c r="AD48" i="17" s="1"/>
  <c r="C49" i="17"/>
  <c r="AB49" i="17" s="1"/>
  <c r="E49" i="17"/>
  <c r="AD49" i="17" s="1"/>
  <c r="C50" i="17"/>
  <c r="AB50" i="17" s="1"/>
  <c r="E50" i="17"/>
  <c r="AD50" i="17" s="1"/>
  <c r="C51" i="17"/>
  <c r="AB51" i="17" s="1"/>
  <c r="E51" i="17"/>
  <c r="AD51" i="17" s="1"/>
  <c r="C52" i="17"/>
  <c r="AB52" i="17" s="1"/>
  <c r="E52" i="17"/>
  <c r="AD52" i="17" s="1"/>
  <c r="C53" i="17"/>
  <c r="AB53" i="17" s="1"/>
  <c r="E53" i="17"/>
  <c r="AD53" i="17" s="1"/>
  <c r="C54" i="17"/>
  <c r="AB54" i="17" s="1"/>
  <c r="E54" i="17"/>
  <c r="AD54" i="17" s="1"/>
  <c r="E55" i="17"/>
  <c r="AD55" i="17" s="1"/>
  <c r="C56" i="17"/>
  <c r="AB56" i="17" s="1"/>
  <c r="E56" i="17"/>
  <c r="AD56" i="17" s="1"/>
  <c r="C57" i="17"/>
  <c r="AB57" i="17" s="1"/>
  <c r="E57" i="17"/>
  <c r="AD57" i="17" s="1"/>
  <c r="C58" i="17"/>
  <c r="AB58" i="17" s="1"/>
  <c r="E58" i="17"/>
  <c r="AD58" i="17" s="1"/>
  <c r="C59" i="17"/>
  <c r="AB59" i="17" s="1"/>
  <c r="E59" i="17"/>
  <c r="AD59" i="17" s="1"/>
  <c r="D7" i="17"/>
  <c r="AC7" i="17" s="1"/>
  <c r="D8" i="17"/>
  <c r="AC8" i="17" s="1"/>
  <c r="D9" i="17"/>
  <c r="AC9" i="17" s="1"/>
  <c r="D10" i="17"/>
  <c r="AC10" i="17" s="1"/>
  <c r="D11" i="17"/>
  <c r="AC11" i="17" s="1"/>
  <c r="D12" i="17"/>
  <c r="AC12" i="17" s="1"/>
  <c r="D13" i="17"/>
  <c r="AC13" i="17" s="1"/>
  <c r="D14" i="17"/>
  <c r="AC14" i="17" s="1"/>
  <c r="D15" i="17"/>
  <c r="AC15" i="17" s="1"/>
  <c r="D16" i="17"/>
  <c r="AC16" i="17" s="1"/>
  <c r="D17" i="17"/>
  <c r="AC17" i="17" s="1"/>
  <c r="D18" i="17"/>
  <c r="AC18" i="17" s="1"/>
  <c r="D19" i="17"/>
  <c r="AC19" i="17" s="1"/>
  <c r="D20" i="17"/>
  <c r="AC20" i="17" s="1"/>
  <c r="D21" i="17"/>
  <c r="AC21" i="17" s="1"/>
  <c r="D22" i="17"/>
  <c r="AC22" i="17" s="1"/>
  <c r="D23" i="17"/>
  <c r="AC23" i="17" s="1"/>
  <c r="D24" i="17"/>
  <c r="AC24" i="17" s="1"/>
  <c r="D25" i="17"/>
  <c r="AC25" i="17" s="1"/>
  <c r="D26" i="17"/>
  <c r="AC26" i="17" s="1"/>
  <c r="D27" i="17"/>
  <c r="AC27" i="17" s="1"/>
  <c r="D28" i="17"/>
  <c r="AC28" i="17" s="1"/>
  <c r="D29" i="17"/>
  <c r="AC29" i="17" s="1"/>
  <c r="D30" i="17"/>
  <c r="AC30" i="17" s="1"/>
  <c r="D31" i="17"/>
  <c r="AC31" i="17" s="1"/>
  <c r="D32" i="17"/>
  <c r="AC32" i="17" s="1"/>
  <c r="D33" i="17"/>
  <c r="AC33" i="17" s="1"/>
  <c r="D34" i="17"/>
  <c r="AC34" i="17" s="1"/>
  <c r="D35" i="17"/>
  <c r="AC35" i="17" s="1"/>
  <c r="D36" i="17"/>
  <c r="AC36" i="17" s="1"/>
  <c r="D37" i="17"/>
  <c r="AC37" i="17" s="1"/>
  <c r="D38" i="17"/>
  <c r="AC38" i="17" s="1"/>
  <c r="D39" i="17"/>
  <c r="AC39" i="17" s="1"/>
  <c r="D40" i="17"/>
  <c r="AC40" i="17" s="1"/>
  <c r="D41" i="17"/>
  <c r="AC41" i="17" s="1"/>
  <c r="D42" i="17"/>
  <c r="AC42" i="17" s="1"/>
  <c r="D43" i="17"/>
  <c r="AC43" i="17" s="1"/>
  <c r="D44" i="17"/>
  <c r="AC44" i="17" s="1"/>
  <c r="D45" i="17"/>
  <c r="AC45" i="17" s="1"/>
  <c r="D46" i="17"/>
  <c r="AC46" i="17" s="1"/>
  <c r="AC47" i="17"/>
  <c r="D48" i="17"/>
  <c r="AC48" i="17" s="1"/>
  <c r="D49" i="17"/>
  <c r="AC49" i="17" s="1"/>
  <c r="D50" i="17"/>
  <c r="AC50" i="17" s="1"/>
  <c r="D51" i="17"/>
  <c r="AC51" i="17" s="1"/>
  <c r="D52" i="17"/>
  <c r="AC52" i="17" s="1"/>
  <c r="D53" i="17"/>
  <c r="AC53" i="17" s="1"/>
  <c r="D54" i="17"/>
  <c r="AC54" i="17" s="1"/>
  <c r="D56" i="17"/>
  <c r="AC56" i="17" s="1"/>
  <c r="D57" i="17"/>
  <c r="AC57" i="17" s="1"/>
  <c r="D58" i="17"/>
  <c r="AC58" i="17" s="1"/>
  <c r="D59" i="17"/>
  <c r="AC59" i="17" s="1"/>
  <c r="E6" i="17"/>
  <c r="BN9" i="1"/>
  <c r="BF72" i="1"/>
  <c r="F67" i="9"/>
  <c r="F60" i="9" a="1"/>
  <c r="F60" i="9" s="1"/>
  <c r="F68" i="9" s="1"/>
  <c r="I60" i="9" a="1"/>
  <c r="I60" i="9" s="1"/>
  <c r="I68" i="9" s="1"/>
  <c r="F64" i="9"/>
  <c r="F65" i="9"/>
  <c r="I65" i="9"/>
  <c r="I66" i="9"/>
  <c r="I64" i="9"/>
  <c r="F66" i="9"/>
  <c r="G38" i="9"/>
  <c r="J6" i="9"/>
  <c r="J7" i="9"/>
  <c r="G50" i="9"/>
  <c r="G11" i="9"/>
  <c r="G6" i="9"/>
  <c r="G44" i="9"/>
  <c r="G7" i="9"/>
  <c r="G13" i="9"/>
  <c r="G40" i="9"/>
  <c r="G19" i="9"/>
  <c r="G33" i="9"/>
  <c r="G30" i="9"/>
  <c r="G42" i="9"/>
  <c r="G41" i="9"/>
  <c r="G39" i="9"/>
  <c r="G36" i="9"/>
  <c r="G23" i="9"/>
  <c r="G26" i="9"/>
  <c r="G34" i="9"/>
  <c r="G37" i="9"/>
  <c r="G32" i="9"/>
  <c r="AE11" i="17" l="1"/>
  <c r="AE46" i="17"/>
  <c r="AE14" i="17"/>
  <c r="AE45" i="17"/>
  <c r="AE13" i="17"/>
  <c r="AE32" i="17"/>
  <c r="BN10" i="1"/>
  <c r="E61" i="17"/>
  <c r="Y63" i="17" s="1"/>
  <c r="AB6" i="17"/>
  <c r="AE6" i="17" s="1"/>
  <c r="C61" i="17"/>
  <c r="W63" i="17" s="1"/>
  <c r="D61" i="17"/>
  <c r="X63" i="17" s="1"/>
  <c r="BN11" i="1"/>
  <c r="AD6" i="17"/>
  <c r="AD61" i="17" s="1"/>
  <c r="AC6" i="17"/>
  <c r="AC61" i="17" s="1"/>
  <c r="I69" i="9"/>
  <c r="F69" i="9"/>
  <c r="M6" i="9"/>
  <c r="O6" i="9" s="1"/>
  <c r="G48" i="9"/>
  <c r="G53" i="9"/>
  <c r="G43" i="9"/>
  <c r="G46" i="9"/>
  <c r="G49" i="9"/>
  <c r="G45" i="9"/>
  <c r="G52" i="9"/>
  <c r="G47" i="9"/>
  <c r="D41" i="9"/>
  <c r="M41" i="9" s="1"/>
  <c r="D45" i="9"/>
  <c r="D47" i="9"/>
  <c r="D49" i="9"/>
  <c r="D51" i="9"/>
  <c r="M51" i="9" s="1"/>
  <c r="D50" i="9"/>
  <c r="M50" i="9" s="1"/>
  <c r="C41" i="9"/>
  <c r="L41" i="9" s="1"/>
  <c r="C47" i="9"/>
  <c r="L47" i="9" s="1"/>
  <c r="D46" i="9"/>
  <c r="C49" i="9"/>
  <c r="L49" i="9" s="1"/>
  <c r="C50" i="9"/>
  <c r="L50" i="9" s="1"/>
  <c r="D43" i="9"/>
  <c r="D39" i="9"/>
  <c r="M39" i="9" s="1"/>
  <c r="C46" i="9"/>
  <c r="L46" i="9" s="1"/>
  <c r="C45" i="9"/>
  <c r="L45" i="9" s="1"/>
  <c r="C43" i="9"/>
  <c r="L43" i="9" s="1"/>
  <c r="C39" i="9"/>
  <c r="L39" i="9" s="1"/>
  <c r="C51" i="9"/>
  <c r="L51" i="9" s="1"/>
  <c r="C38" i="9"/>
  <c r="L38" i="9" s="1"/>
  <c r="D38" i="9"/>
  <c r="M38" i="9" s="1"/>
  <c r="D48" i="9"/>
  <c r="C53" i="9"/>
  <c r="L53" i="9" s="1"/>
  <c r="D52" i="9"/>
  <c r="M52" i="9" s="1"/>
  <c r="D42" i="9"/>
  <c r="M42" i="9" s="1"/>
  <c r="D40" i="9"/>
  <c r="M40" i="9" s="1"/>
  <c r="C40" i="9"/>
  <c r="L40" i="9" s="1"/>
  <c r="C44" i="9"/>
  <c r="L44" i="9" s="1"/>
  <c r="D53" i="9"/>
  <c r="C48" i="9"/>
  <c r="L48" i="9" s="1"/>
  <c r="C42" i="9"/>
  <c r="L42" i="9" s="1"/>
  <c r="D44" i="9"/>
  <c r="M44" i="9" s="1"/>
  <c r="C52" i="9"/>
  <c r="L52" i="9" s="1"/>
  <c r="G25" i="9"/>
  <c r="G29" i="9"/>
  <c r="G27" i="9"/>
  <c r="G28" i="9"/>
  <c r="C12" i="9"/>
  <c r="L12" i="9" s="1"/>
  <c r="C14" i="9"/>
  <c r="L14" i="9" s="1"/>
  <c r="C16" i="9"/>
  <c r="L16" i="9" s="1"/>
  <c r="C18" i="9"/>
  <c r="L18" i="9" s="1"/>
  <c r="C20" i="9"/>
  <c r="L20" i="9" s="1"/>
  <c r="C22" i="9"/>
  <c r="L22" i="9" s="1"/>
  <c r="C24" i="9"/>
  <c r="L24" i="9" s="1"/>
  <c r="C26" i="9"/>
  <c r="L26" i="9" s="1"/>
  <c r="C28" i="9"/>
  <c r="L28" i="9" s="1"/>
  <c r="C30" i="9"/>
  <c r="L30" i="9" s="1"/>
  <c r="C32" i="9"/>
  <c r="L32" i="9" s="1"/>
  <c r="C34" i="9"/>
  <c r="L34" i="9" s="1"/>
  <c r="C36" i="9"/>
  <c r="L36" i="9" s="1"/>
  <c r="C8" i="9"/>
  <c r="L8" i="9" s="1"/>
  <c r="C10" i="9"/>
  <c r="L10" i="9" s="1"/>
  <c r="C11" i="9"/>
  <c r="L11" i="9" s="1"/>
  <c r="C13" i="9"/>
  <c r="L13" i="9" s="1"/>
  <c r="C15" i="9"/>
  <c r="L15" i="9" s="1"/>
  <c r="C17" i="9"/>
  <c r="L17" i="9" s="1"/>
  <c r="C19" i="9"/>
  <c r="L19" i="9" s="1"/>
  <c r="C21" i="9"/>
  <c r="L21" i="9" s="1"/>
  <c r="C23" i="9"/>
  <c r="L23" i="9" s="1"/>
  <c r="C25" i="9"/>
  <c r="L25" i="9" s="1"/>
  <c r="C27" i="9"/>
  <c r="L27" i="9" s="1"/>
  <c r="C29" i="9"/>
  <c r="L29" i="9" s="1"/>
  <c r="C31" i="9"/>
  <c r="L31" i="9" s="1"/>
  <c r="C33" i="9"/>
  <c r="L33" i="9" s="1"/>
  <c r="C35" i="9"/>
  <c r="L35" i="9" s="1"/>
  <c r="C37" i="9"/>
  <c r="L37" i="9" s="1"/>
  <c r="C9" i="9"/>
  <c r="L9" i="9" s="1"/>
  <c r="C7" i="9"/>
  <c r="D37" i="9"/>
  <c r="M37" i="9" s="1"/>
  <c r="D33" i="9"/>
  <c r="M33" i="9" s="1"/>
  <c r="D29" i="9"/>
  <c r="D25" i="9"/>
  <c r="M25" i="9" s="1"/>
  <c r="D19" i="9"/>
  <c r="M19" i="9" s="1"/>
  <c r="D15" i="9"/>
  <c r="M15" i="9" s="1"/>
  <c r="D11" i="9"/>
  <c r="M11" i="9" s="1"/>
  <c r="D7" i="9"/>
  <c r="M7" i="9" s="1"/>
  <c r="D34" i="9"/>
  <c r="M34" i="9" s="1"/>
  <c r="D30" i="9"/>
  <c r="M30" i="9" s="1"/>
  <c r="D26" i="9"/>
  <c r="M26" i="9" s="1"/>
  <c r="D22" i="9"/>
  <c r="M22" i="9" s="1"/>
  <c r="D20" i="9"/>
  <c r="M20" i="9" s="1"/>
  <c r="D16" i="9"/>
  <c r="M16" i="9" s="1"/>
  <c r="D12" i="9"/>
  <c r="M12" i="9" s="1"/>
  <c r="D8" i="9"/>
  <c r="M8" i="9" s="1"/>
  <c r="D35" i="9"/>
  <c r="M35" i="9" s="1"/>
  <c r="D31" i="9"/>
  <c r="M31" i="9" s="1"/>
  <c r="D27" i="9"/>
  <c r="D23" i="9"/>
  <c r="M23" i="9" s="1"/>
  <c r="D21" i="9"/>
  <c r="M21" i="9" s="1"/>
  <c r="D17" i="9"/>
  <c r="M17" i="9" s="1"/>
  <c r="D13" i="9"/>
  <c r="M13" i="9" s="1"/>
  <c r="D9" i="9"/>
  <c r="M9" i="9" s="1"/>
  <c r="D36" i="9"/>
  <c r="M36" i="9" s="1"/>
  <c r="D32" i="9"/>
  <c r="M32" i="9" s="1"/>
  <c r="D24" i="9"/>
  <c r="M24" i="9" s="1"/>
  <c r="D14" i="9"/>
  <c r="M14" i="9" s="1"/>
  <c r="D28" i="9"/>
  <c r="M28" i="9" s="1"/>
  <c r="D18" i="9"/>
  <c r="M18" i="9" s="1"/>
  <c r="D10" i="9"/>
  <c r="M10" i="9" s="1"/>
  <c r="AE24" i="17" l="1"/>
  <c r="AE57" i="17"/>
  <c r="AE37" i="17"/>
  <c r="AE55" i="17"/>
  <c r="AE38" i="17"/>
  <c r="AE59" i="17"/>
  <c r="AE28" i="17"/>
  <c r="AE9" i="17"/>
  <c r="AE41" i="17"/>
  <c r="AE10" i="17"/>
  <c r="AE42" i="17"/>
  <c r="AE7" i="17"/>
  <c r="AE56" i="17"/>
  <c r="AE36" i="17"/>
  <c r="AE17" i="17"/>
  <c r="AE49" i="17"/>
  <c r="AE18" i="17"/>
  <c r="AE50" i="17"/>
  <c r="AE19" i="17"/>
  <c r="AE8" i="17"/>
  <c r="AE40" i="17"/>
  <c r="AE21" i="17"/>
  <c r="AE53" i="17"/>
  <c r="AE22" i="17"/>
  <c r="AE54" i="17"/>
  <c r="AE31" i="17"/>
  <c r="AE12" i="17"/>
  <c r="AE44" i="17"/>
  <c r="AE25" i="17"/>
  <c r="AE35" i="17"/>
  <c r="AE26" i="17"/>
  <c r="AE15" i="17"/>
  <c r="AE51" i="17"/>
  <c r="AE16" i="17"/>
  <c r="AE48" i="17"/>
  <c r="AE29" i="17"/>
  <c r="AE58" i="17"/>
  <c r="AE30" i="17"/>
  <c r="AE27" i="17"/>
  <c r="AE23" i="17"/>
  <c r="AE20" i="17"/>
  <c r="AE52" i="17"/>
  <c r="AE33" i="17"/>
  <c r="AE47" i="17"/>
  <c r="AE34" i="17"/>
  <c r="AE43" i="17"/>
  <c r="AE39" i="17"/>
  <c r="AB61" i="17"/>
  <c r="M53" i="9"/>
  <c r="O53" i="9" s="1"/>
  <c r="M46" i="9"/>
  <c r="O46" i="9" s="1"/>
  <c r="M27" i="9"/>
  <c r="O27" i="9" s="1"/>
  <c r="M43" i="9"/>
  <c r="P43" i="9" s="1"/>
  <c r="M49" i="9"/>
  <c r="O49" i="9" s="1"/>
  <c r="M29" i="9"/>
  <c r="O29" i="9" s="1"/>
  <c r="M48" i="9"/>
  <c r="O48" i="9" s="1"/>
  <c r="M47" i="9"/>
  <c r="O47" i="9" s="1"/>
  <c r="M45" i="9"/>
  <c r="P45" i="9" s="1"/>
  <c r="O10" i="9"/>
  <c r="P10" i="9"/>
  <c r="P28" i="9"/>
  <c r="O28" i="9"/>
  <c r="P24" i="9"/>
  <c r="O24" i="9"/>
  <c r="P36" i="9"/>
  <c r="O36" i="9"/>
  <c r="O9" i="9"/>
  <c r="P9" i="9"/>
  <c r="O17" i="9"/>
  <c r="P17" i="9"/>
  <c r="O35" i="9"/>
  <c r="P35" i="9"/>
  <c r="O12" i="9"/>
  <c r="P12" i="9"/>
  <c r="O20" i="9"/>
  <c r="P20" i="9"/>
  <c r="O22" i="9"/>
  <c r="P22" i="9"/>
  <c r="O30" i="9"/>
  <c r="P30" i="9"/>
  <c r="P15" i="9"/>
  <c r="O15" i="9"/>
  <c r="P25" i="9"/>
  <c r="O25" i="9"/>
  <c r="P33" i="9"/>
  <c r="O33" i="9"/>
  <c r="O44" i="9"/>
  <c r="P44" i="9"/>
  <c r="O40" i="9"/>
  <c r="P40" i="9"/>
  <c r="O52" i="9"/>
  <c r="P52" i="9"/>
  <c r="O38" i="9"/>
  <c r="P38" i="9"/>
  <c r="P39" i="9"/>
  <c r="O39" i="9"/>
  <c r="P51" i="9"/>
  <c r="O51" i="9"/>
  <c r="O18" i="9"/>
  <c r="P18" i="9"/>
  <c r="P14" i="9"/>
  <c r="O14" i="9"/>
  <c r="O32" i="9"/>
  <c r="P32" i="9"/>
  <c r="P13" i="9"/>
  <c r="O13" i="9"/>
  <c r="P21" i="9"/>
  <c r="O21" i="9"/>
  <c r="P23" i="9"/>
  <c r="O23" i="9"/>
  <c r="P31" i="9"/>
  <c r="O31" i="9"/>
  <c r="O8" i="9"/>
  <c r="P8" i="9"/>
  <c r="O16" i="9"/>
  <c r="P16" i="9"/>
  <c r="O26" i="9"/>
  <c r="P26" i="9"/>
  <c r="O34" i="9"/>
  <c r="P34" i="9"/>
  <c r="P11" i="9"/>
  <c r="O11" i="9"/>
  <c r="P19" i="9"/>
  <c r="O19" i="9"/>
  <c r="P37" i="9"/>
  <c r="O37" i="9"/>
  <c r="L7" i="9"/>
  <c r="C67" i="9"/>
  <c r="P42" i="9"/>
  <c r="O42" i="9"/>
  <c r="O50" i="9"/>
  <c r="P50" i="9"/>
  <c r="O41" i="9"/>
  <c r="P41" i="9"/>
  <c r="P6" i="9"/>
  <c r="J60" i="9" a="1"/>
  <c r="J60" i="9" s="1"/>
  <c r="J61" i="9" s="1"/>
  <c r="G60" i="9" a="1"/>
  <c r="G60" i="9" s="1"/>
  <c r="G61" i="9" s="1"/>
  <c r="C60" i="9" a="1"/>
  <c r="C60" i="9" s="1"/>
  <c r="C68" i="9" s="1"/>
  <c r="D60" i="9" a="1"/>
  <c r="D60" i="9" s="1"/>
  <c r="D61" i="9" s="1"/>
  <c r="C64" i="9"/>
  <c r="C65" i="9"/>
  <c r="C66" i="9"/>
  <c r="AF6" i="17" l="1"/>
  <c r="AK6" i="17" s="1"/>
  <c r="AF10" i="17"/>
  <c r="AI10" i="17" s="1"/>
  <c r="AF38" i="17"/>
  <c r="AF31" i="17"/>
  <c r="AF25" i="17"/>
  <c r="AF33" i="17"/>
  <c r="AF30" i="17"/>
  <c r="AF59" i="17"/>
  <c r="AF58" i="17"/>
  <c r="AF57" i="17"/>
  <c r="AF56" i="17"/>
  <c r="AF54" i="17"/>
  <c r="AF53" i="17"/>
  <c r="AF52" i="17"/>
  <c r="AF51" i="17"/>
  <c r="AF50" i="17"/>
  <c r="AF49" i="17"/>
  <c r="AF48" i="17"/>
  <c r="AF47" i="17"/>
  <c r="AF46" i="17"/>
  <c r="AF45" i="17"/>
  <c r="AF44" i="17"/>
  <c r="AF42" i="17"/>
  <c r="AF40" i="17"/>
  <c r="AF39" i="17"/>
  <c r="AF37" i="17"/>
  <c r="AF36" i="17"/>
  <c r="AF35" i="17"/>
  <c r="AF34" i="17"/>
  <c r="AF29" i="17"/>
  <c r="AF28" i="17"/>
  <c r="AF27" i="17"/>
  <c r="AF26" i="17"/>
  <c r="AF24" i="17"/>
  <c r="AF23" i="17"/>
  <c r="AI23" i="17" s="1"/>
  <c r="AF22" i="17"/>
  <c r="AI22" i="17" s="1"/>
  <c r="AF21" i="17"/>
  <c r="AI21" i="17" s="1"/>
  <c r="AF20" i="17"/>
  <c r="AI20" i="17" s="1"/>
  <c r="AF19" i="17"/>
  <c r="AI19" i="17" s="1"/>
  <c r="AF18" i="17"/>
  <c r="AI18" i="17" s="1"/>
  <c r="AF17" i="17"/>
  <c r="AI17" i="17" s="1"/>
  <c r="AF15" i="17"/>
  <c r="AI15" i="17" s="1"/>
  <c r="AF14" i="17"/>
  <c r="AI14" i="17" s="1"/>
  <c r="AF13" i="17"/>
  <c r="AI13" i="17" s="1"/>
  <c r="AF12" i="17"/>
  <c r="AI12" i="17" s="1"/>
  <c r="AF11" i="17"/>
  <c r="AI11" i="17" s="1"/>
  <c r="AF9" i="17"/>
  <c r="AI9" i="17" s="1"/>
  <c r="AF8" i="17"/>
  <c r="AF16" i="17"/>
  <c r="AI16" i="17" s="1"/>
  <c r="AF43" i="17"/>
  <c r="AF41" i="17"/>
  <c r="AF7" i="17"/>
  <c r="AF55" i="17"/>
  <c r="AF32" i="17"/>
  <c r="BN12" i="1"/>
  <c r="P53" i="9"/>
  <c r="P46" i="9"/>
  <c r="O43" i="9"/>
  <c r="C69" i="9"/>
  <c r="P48" i="9"/>
  <c r="P49" i="9"/>
  <c r="P47" i="9"/>
  <c r="P27" i="9"/>
  <c r="Q27" i="9"/>
  <c r="Q29" i="9"/>
  <c r="Q30" i="9"/>
  <c r="P29" i="9"/>
  <c r="Q25" i="9"/>
  <c r="Q31" i="9"/>
  <c r="Q22" i="9"/>
  <c r="O45" i="9"/>
  <c r="Q10" i="9"/>
  <c r="Q6" i="9"/>
  <c r="Q39" i="9"/>
  <c r="Q53" i="9"/>
  <c r="Q48" i="9"/>
  <c r="Q52" i="9"/>
  <c r="Q18" i="9"/>
  <c r="Q28" i="9"/>
  <c r="Q36" i="9"/>
  <c r="Q8" i="9"/>
  <c r="Q15" i="9"/>
  <c r="Q33" i="9"/>
  <c r="Q50" i="9"/>
  <c r="Q45" i="9"/>
  <c r="Q44" i="9"/>
  <c r="Q16" i="9"/>
  <c r="Q26" i="9"/>
  <c r="Q34" i="9"/>
  <c r="Q17" i="9"/>
  <c r="Q35" i="9"/>
  <c r="Q7" i="9"/>
  <c r="Q47" i="9"/>
  <c r="Q49" i="9"/>
  <c r="Q43" i="9"/>
  <c r="Q38" i="9"/>
  <c r="Q40" i="9"/>
  <c r="Q42" i="9"/>
  <c r="Q14" i="9"/>
  <c r="Q24" i="9"/>
  <c r="Q32" i="9"/>
  <c r="Q11" i="9"/>
  <c r="Q19" i="9"/>
  <c r="Q37" i="9"/>
  <c r="Q9" i="9"/>
  <c r="Q41" i="9"/>
  <c r="Q46" i="9"/>
  <c r="Q51" i="9"/>
  <c r="Q12" i="9"/>
  <c r="Q20" i="9"/>
  <c r="Q13" i="9"/>
  <c r="Q21" i="9"/>
  <c r="Q23" i="9"/>
  <c r="M60" i="9"/>
  <c r="P7" i="9"/>
  <c r="O7" i="9"/>
  <c r="AI7" i="17" l="1"/>
  <c r="AI8" i="17"/>
  <c r="AI55" i="17"/>
  <c r="AI41" i="17"/>
  <c r="AI26" i="17"/>
  <c r="AI28" i="17"/>
  <c r="AI34" i="17"/>
  <c r="AI36" i="17"/>
  <c r="AI39" i="17"/>
  <c r="AI42" i="17"/>
  <c r="AI45" i="17"/>
  <c r="AI47" i="17"/>
  <c r="AI49" i="17"/>
  <c r="AI51" i="17"/>
  <c r="AI53" i="17"/>
  <c r="AI56" i="17"/>
  <c r="AI58" i="17"/>
  <c r="AI30" i="17"/>
  <c r="AI25" i="17"/>
  <c r="AI38" i="17"/>
  <c r="AI32" i="17"/>
  <c r="AI43" i="17"/>
  <c r="AI24" i="17"/>
  <c r="AI27" i="17"/>
  <c r="AI29" i="17"/>
  <c r="AI35" i="17"/>
  <c r="AI37" i="17"/>
  <c r="AI40" i="17"/>
  <c r="AI44" i="17"/>
  <c r="AI46" i="17"/>
  <c r="AI48" i="17"/>
  <c r="AI50" i="17"/>
  <c r="AI52" i="17"/>
  <c r="AI54" i="17"/>
  <c r="AI57" i="17"/>
  <c r="AI59" i="17"/>
  <c r="AI33" i="17"/>
  <c r="AI31" i="17"/>
  <c r="AL59" i="17"/>
  <c r="AK48" i="17"/>
  <c r="AK7" i="17"/>
  <c r="AK59" i="17"/>
  <c r="AJ59" i="17"/>
  <c r="AL6" i="17"/>
  <c r="AL42" i="17"/>
  <c r="AL12" i="17"/>
  <c r="AL24" i="17"/>
  <c r="AK9" i="17"/>
  <c r="AK22" i="17"/>
  <c r="AK40" i="17"/>
  <c r="AL39" i="17"/>
  <c r="AK21" i="17"/>
  <c r="AK10" i="17"/>
  <c r="AJ27" i="17"/>
  <c r="AJ30" i="17"/>
  <c r="AK13" i="17"/>
  <c r="AK16" i="17"/>
  <c r="AL15" i="17"/>
  <c r="AK50" i="17"/>
  <c r="AK34" i="17"/>
  <c r="AL8" i="17"/>
  <c r="AJ48" i="17"/>
  <c r="AJ37" i="17"/>
  <c r="AL7" i="17"/>
  <c r="AL19" i="17"/>
  <c r="AL56" i="17"/>
  <c r="AL35" i="17"/>
  <c r="AJ55" i="17"/>
  <c r="AJ14" i="17"/>
  <c r="AJ49" i="17"/>
  <c r="AK58" i="17"/>
  <c r="AK31" i="17"/>
  <c r="AL32" i="17"/>
  <c r="AJ17" i="17"/>
  <c r="AJ57" i="17"/>
  <c r="AK29" i="17"/>
  <c r="AK36" i="17"/>
  <c r="AJ51" i="17"/>
  <c r="AK41" i="17"/>
  <c r="AK38" i="17"/>
  <c r="AJ23" i="17"/>
  <c r="AJ20" i="17"/>
  <c r="AK46" i="17"/>
  <c r="AJ44" i="17"/>
  <c r="AK33" i="17"/>
  <c r="AJ25" i="17"/>
  <c r="AJ11" i="17"/>
  <c r="AL53" i="17"/>
  <c r="AL18" i="17"/>
  <c r="AK28" i="17"/>
  <c r="AK45" i="17"/>
  <c r="AK43" i="17"/>
  <c r="AK47" i="17"/>
  <c r="AJ52" i="17"/>
  <c r="AK37" i="17"/>
  <c r="AJ40" i="17"/>
  <c r="AJ53" i="17"/>
  <c r="AJ13" i="17"/>
  <c r="AK14" i="17"/>
  <c r="AJ22" i="17"/>
  <c r="AK35" i="17"/>
  <c r="AK8" i="17"/>
  <c r="AL55" i="17"/>
  <c r="AK24" i="17"/>
  <c r="AK30" i="17"/>
  <c r="AJ43" i="17"/>
  <c r="AL20" i="17"/>
  <c r="AK39" i="17"/>
  <c r="AJ21" i="17"/>
  <c r="AJ10" i="17"/>
  <c r="AJ16" i="17"/>
  <c r="AJ19" i="17"/>
  <c r="AK56" i="17"/>
  <c r="AJ12" i="17"/>
  <c r="AJ9" i="17"/>
  <c r="AK27" i="17"/>
  <c r="AJ15" i="17"/>
  <c r="AK25" i="17"/>
  <c r="AK26" i="17"/>
  <c r="AJ45" i="17"/>
  <c r="AL28" i="17"/>
  <c r="AJ47" i="17"/>
  <c r="AK17" i="17"/>
  <c r="AK54" i="17"/>
  <c r="AL49" i="17"/>
  <c r="AL31" i="17"/>
  <c r="AL29" i="17"/>
  <c r="AL36" i="17"/>
  <c r="AL51" i="17"/>
  <c r="AJ41" i="17"/>
  <c r="AL23" i="17"/>
  <c r="AJ33" i="17"/>
  <c r="AJ46" i="17"/>
  <c r="AJ26" i="17"/>
  <c r="AK11" i="17"/>
  <c r="AL52" i="17"/>
  <c r="AL58" i="17"/>
  <c r="AK32" i="17"/>
  <c r="AL57" i="17"/>
  <c r="AJ54" i="17"/>
  <c r="AL38" i="17"/>
  <c r="AL44" i="17"/>
  <c r="AK18" i="17"/>
  <c r="AI6" i="17"/>
  <c r="AL40" i="17"/>
  <c r="AL50" i="17"/>
  <c r="AJ39" i="17"/>
  <c r="AL21" i="17"/>
  <c r="AL13" i="17"/>
  <c r="AL10" i="17"/>
  <c r="AJ35" i="17"/>
  <c r="AL16" i="17"/>
  <c r="AL34" i="17"/>
  <c r="AK19" i="17"/>
  <c r="AJ8" i="17"/>
  <c r="AJ56" i="17"/>
  <c r="AL14" i="17"/>
  <c r="AK55" i="17"/>
  <c r="AK42" i="17"/>
  <c r="AK12" i="17"/>
  <c r="AJ24" i="17"/>
  <c r="AL9" i="17"/>
  <c r="AL22" i="17"/>
  <c r="AL27" i="17"/>
  <c r="AL30" i="17"/>
  <c r="AK15" i="17"/>
  <c r="AL48" i="17"/>
  <c r="AL37" i="17"/>
  <c r="AJ7" i="17"/>
  <c r="AJ50" i="17"/>
  <c r="AJ34" i="17"/>
  <c r="AJ42" i="17"/>
  <c r="AJ29" i="17"/>
  <c r="AK20" i="17"/>
  <c r="AJ36" i="17"/>
  <c r="AJ28" i="17"/>
  <c r="AK51" i="17"/>
  <c r="AL25" i="17"/>
  <c r="AL46" i="17"/>
  <c r="AL26" i="17"/>
  <c r="AL11" i="17"/>
  <c r="AK52" i="17"/>
  <c r="AL45" i="17"/>
  <c r="AL47" i="17"/>
  <c r="AL43" i="17"/>
  <c r="AK49" i="17"/>
  <c r="AJ58" i="17"/>
  <c r="AJ31" i="17"/>
  <c r="AJ32" i="17"/>
  <c r="AL17" i="17"/>
  <c r="AK57" i="17"/>
  <c r="AL54" i="17"/>
  <c r="AL41" i="17"/>
  <c r="AJ38" i="17"/>
  <c r="AK23" i="17"/>
  <c r="AK44" i="17"/>
  <c r="AL33" i="17"/>
  <c r="AK53" i="17"/>
  <c r="AJ18" i="17"/>
  <c r="AJ6" i="17"/>
  <c r="BN13" i="1"/>
  <c r="R18" i="9"/>
  <c r="R20" i="9"/>
  <c r="R22" i="9"/>
  <c r="R24" i="9"/>
  <c r="R26" i="9"/>
  <c r="R28" i="9"/>
  <c r="R30" i="9"/>
  <c r="R32" i="9"/>
  <c r="R34" i="9"/>
  <c r="R36" i="9"/>
  <c r="R38" i="9"/>
  <c r="R40" i="9"/>
  <c r="R42" i="9"/>
  <c r="R44" i="9"/>
  <c r="R46" i="9"/>
  <c r="R48" i="9"/>
  <c r="R50" i="9"/>
  <c r="R52" i="9"/>
  <c r="R17" i="9"/>
  <c r="R19" i="9"/>
  <c r="R21" i="9"/>
  <c r="R23" i="9"/>
  <c r="R25" i="9"/>
  <c r="R27" i="9"/>
  <c r="R29" i="9"/>
  <c r="R31" i="9"/>
  <c r="R33" i="9"/>
  <c r="R35" i="9"/>
  <c r="R37" i="9"/>
  <c r="R39" i="9"/>
  <c r="R41" i="9"/>
  <c r="R43" i="9"/>
  <c r="R45" i="9"/>
  <c r="R47" i="9"/>
  <c r="R49" i="9"/>
  <c r="R51" i="9"/>
  <c r="R53" i="9"/>
  <c r="M61" i="9"/>
  <c r="AJ61" i="17" l="1"/>
  <c r="AL61" i="17"/>
  <c r="AK61" i="17"/>
  <c r="BN14" i="1"/>
  <c r="AH6" i="17"/>
  <c r="AH31" i="17" s="1"/>
  <c r="W51" i="9"/>
  <c r="W47" i="9"/>
  <c r="W43" i="9"/>
  <c r="W39" i="9"/>
  <c r="W37" i="9"/>
  <c r="W33" i="9"/>
  <c r="W29" i="9"/>
  <c r="W25" i="9"/>
  <c r="W19" i="9"/>
  <c r="W50" i="9"/>
  <c r="W46" i="9"/>
  <c r="W42" i="9"/>
  <c r="W38" i="9"/>
  <c r="W36" i="9"/>
  <c r="W32" i="9"/>
  <c r="W28" i="9"/>
  <c r="W24" i="9"/>
  <c r="W18" i="9"/>
  <c r="W53" i="9"/>
  <c r="W49" i="9"/>
  <c r="W45" i="9"/>
  <c r="W41" i="9"/>
  <c r="W35" i="9"/>
  <c r="W31" i="9"/>
  <c r="W27" i="9"/>
  <c r="W23" i="9"/>
  <c r="W21" i="9"/>
  <c r="W52" i="9"/>
  <c r="W48" i="9"/>
  <c r="W44" i="9"/>
  <c r="W40" i="9"/>
  <c r="W34" i="9"/>
  <c r="W30" i="9"/>
  <c r="W26" i="9"/>
  <c r="W22" i="9"/>
  <c r="W20" i="9"/>
  <c r="L60" i="9"/>
  <c r="AH7" i="17" l="1"/>
  <c r="AH8" i="17"/>
  <c r="AH49" i="17"/>
  <c r="AH50" i="17"/>
  <c r="AH45" i="17"/>
  <c r="AH53" i="17"/>
  <c r="AH44" i="17"/>
  <c r="AH48" i="17"/>
  <c r="AH34" i="17"/>
  <c r="AH55" i="17"/>
  <c r="AH51" i="17"/>
  <c r="AH29" i="17"/>
  <c r="AH39" i="17"/>
  <c r="AH24" i="17"/>
  <c r="AH47" i="17"/>
  <c r="AH36" i="17"/>
  <c r="AH35" i="17"/>
  <c r="AH37" i="17"/>
  <c r="AH33" i="17"/>
  <c r="AH38" i="17"/>
  <c r="AH28" i="17"/>
  <c r="AH56" i="17"/>
  <c r="AH52" i="17"/>
  <c r="AH26" i="17"/>
  <c r="AH41" i="17"/>
  <c r="AH46" i="17"/>
  <c r="AH42" i="17"/>
  <c r="AH27" i="17"/>
  <c r="AH57" i="17"/>
  <c r="AH43" i="17"/>
  <c r="AH32" i="17"/>
  <c r="AH58" i="17"/>
  <c r="AH54" i="17"/>
  <c r="AH40" i="17"/>
  <c r="AH25" i="17"/>
  <c r="AH30" i="17"/>
  <c r="AH59" i="17"/>
  <c r="AH9" i="17"/>
  <c r="AH10" i="17" s="1"/>
  <c r="AH11" i="17" s="1"/>
  <c r="AH12" i="17" s="1"/>
  <c r="AH13" i="17" s="1"/>
  <c r="AH14" i="17" s="1"/>
  <c r="AH15" i="17" s="1"/>
  <c r="AH16" i="17" s="1"/>
  <c r="AH17" i="17" s="1"/>
  <c r="AH18" i="17" s="1"/>
  <c r="AH19" i="17" s="1"/>
  <c r="AH20" i="17" s="1"/>
  <c r="AH21" i="17" s="1"/>
  <c r="AH22" i="17" s="1"/>
  <c r="AH23" i="17" s="1"/>
  <c r="BN15" i="1"/>
  <c r="Q58" i="9"/>
  <c r="Q54" i="9"/>
  <c r="Q55" i="9"/>
  <c r="Q57" i="9"/>
  <c r="Q59" i="9"/>
  <c r="Q56" i="9"/>
  <c r="R12" i="9"/>
  <c r="R9" i="9"/>
  <c r="R14" i="9"/>
  <c r="R11" i="9"/>
  <c r="R8" i="9"/>
  <c r="R16" i="9"/>
  <c r="R13" i="9"/>
  <c r="R10" i="9"/>
  <c r="R7" i="9"/>
  <c r="R15" i="9"/>
  <c r="V18" i="9"/>
  <c r="T18" i="9"/>
  <c r="U18" i="9"/>
  <c r="U31" i="9"/>
  <c r="V52" i="9"/>
  <c r="T50" i="9"/>
  <c r="U50" i="9"/>
  <c r="V48" i="9"/>
  <c r="U46" i="9"/>
  <c r="V46" i="9"/>
  <c r="T46" i="9"/>
  <c r="V44" i="9"/>
  <c r="V42" i="9"/>
  <c r="V40" i="9"/>
  <c r="U38" i="9"/>
  <c r="V36" i="9"/>
  <c r="U34" i="9"/>
  <c r="U32" i="9"/>
  <c r="V32" i="9"/>
  <c r="V29" i="9"/>
  <c r="U27" i="9"/>
  <c r="V23" i="9"/>
  <c r="V21" i="9"/>
  <c r="U19" i="9"/>
  <c r="V22" i="9"/>
  <c r="T20" i="9"/>
  <c r="T37" i="9"/>
  <c r="T53" i="9"/>
  <c r="V53" i="9"/>
  <c r="U53" i="9"/>
  <c r="U45" i="9"/>
  <c r="U51" i="9"/>
  <c r="T39" i="9"/>
  <c r="V39" i="9"/>
  <c r="T30" i="9"/>
  <c r="V49" i="9"/>
  <c r="V43" i="9"/>
  <c r="T26" i="9"/>
  <c r="U41" i="9"/>
  <c r="T41" i="9"/>
  <c r="V41" i="9"/>
  <c r="V47" i="9"/>
  <c r="T28" i="9"/>
  <c r="V35" i="9"/>
  <c r="R6" i="9"/>
  <c r="W6" i="9" s="1"/>
  <c r="BN16" i="1" l="1"/>
  <c r="R57" i="9"/>
  <c r="R58" i="9"/>
  <c r="R55" i="9"/>
  <c r="R59" i="9"/>
  <c r="R56" i="9"/>
  <c r="R54" i="9"/>
  <c r="V15" i="9"/>
  <c r="U10" i="9"/>
  <c r="W16" i="9"/>
  <c r="V11" i="9"/>
  <c r="W12" i="9"/>
  <c r="T7" i="9"/>
  <c r="T8" i="9"/>
  <c r="V14" i="9"/>
  <c r="U9" i="9"/>
  <c r="V51" i="9"/>
  <c r="U35" i="9"/>
  <c r="T35" i="9"/>
  <c r="U28" i="9"/>
  <c r="V28" i="9"/>
  <c r="T43" i="9"/>
  <c r="U39" i="9"/>
  <c r="T51" i="9"/>
  <c r="U22" i="9"/>
  <c r="T22" i="9"/>
  <c r="U21" i="9"/>
  <c r="T21" i="9"/>
  <c r="V27" i="9"/>
  <c r="T27" i="9"/>
  <c r="T32" i="9"/>
  <c r="U36" i="9"/>
  <c r="T36" i="9"/>
  <c r="T38" i="9"/>
  <c r="V38" i="9"/>
  <c r="T42" i="9"/>
  <c r="V50" i="9"/>
  <c r="V31" i="9"/>
  <c r="T31" i="9"/>
  <c r="U43" i="9"/>
  <c r="U42" i="9"/>
  <c r="U33" i="9"/>
  <c r="V26" i="9"/>
  <c r="V30" i="9"/>
  <c r="V45" i="9"/>
  <c r="U37" i="9"/>
  <c r="T29" i="9"/>
  <c r="U25" i="9"/>
  <c r="V24" i="9"/>
  <c r="U6" i="9"/>
  <c r="X6" i="9"/>
  <c r="U17" i="9"/>
  <c r="T17" i="9"/>
  <c r="T15" i="9"/>
  <c r="U15" i="9"/>
  <c r="V13" i="9"/>
  <c r="T13" i="9"/>
  <c r="W13" i="9"/>
  <c r="U11" i="9"/>
  <c r="T9" i="9"/>
  <c r="W9" i="9"/>
  <c r="V7" i="9"/>
  <c r="U7" i="9"/>
  <c r="V16" i="9"/>
  <c r="U16" i="9"/>
  <c r="T14" i="9"/>
  <c r="T12" i="9"/>
  <c r="U12" i="9"/>
  <c r="W10" i="9"/>
  <c r="T10" i="9"/>
  <c r="U8" i="9"/>
  <c r="W8" i="9"/>
  <c r="V8" i="9"/>
  <c r="U47" i="9"/>
  <c r="U49" i="9"/>
  <c r="W17" i="9"/>
  <c r="V6" i="9"/>
  <c r="T33" i="9"/>
  <c r="V33" i="9"/>
  <c r="T47" i="9"/>
  <c r="U26" i="9"/>
  <c r="T49" i="9"/>
  <c r="U30" i="9"/>
  <c r="T45" i="9"/>
  <c r="V37" i="9"/>
  <c r="V20" i="9"/>
  <c r="U20" i="9"/>
  <c r="T19" i="9"/>
  <c r="V19" i="9"/>
  <c r="T23" i="9"/>
  <c r="U23" i="9"/>
  <c r="U29" i="9"/>
  <c r="T34" i="9"/>
  <c r="V34" i="9"/>
  <c r="U40" i="9"/>
  <c r="T40" i="9"/>
  <c r="U44" i="9"/>
  <c r="T44" i="9"/>
  <c r="U48" i="9"/>
  <c r="T48" i="9"/>
  <c r="U52" i="9"/>
  <c r="T52" i="9"/>
  <c r="V25" i="9"/>
  <c r="T25" i="9"/>
  <c r="T24" i="9"/>
  <c r="U24" i="9"/>
  <c r="T6" i="9"/>
  <c r="V17" i="9"/>
  <c r="W15" i="9"/>
  <c r="U13" i="9"/>
  <c r="W11" i="9"/>
  <c r="T11" i="9"/>
  <c r="V9" i="9"/>
  <c r="W7" i="9"/>
  <c r="T16" i="9"/>
  <c r="W14" i="9"/>
  <c r="U14" i="9"/>
  <c r="V12" i="9"/>
  <c r="V10" i="9"/>
  <c r="BN17" i="1" l="1"/>
  <c r="U56" i="9"/>
  <c r="W56" i="9"/>
  <c r="V56" i="9"/>
  <c r="T56" i="9"/>
  <c r="V55" i="9"/>
  <c r="T55" i="9"/>
  <c r="W55" i="9"/>
  <c r="U55" i="9"/>
  <c r="W57" i="9"/>
  <c r="T57" i="9"/>
  <c r="V57" i="9"/>
  <c r="U57" i="9"/>
  <c r="U54" i="9"/>
  <c r="T54" i="9"/>
  <c r="V54" i="9"/>
  <c r="W54" i="9"/>
  <c r="V59" i="9"/>
  <c r="T59" i="9"/>
  <c r="W59" i="9"/>
  <c r="U59" i="9"/>
  <c r="U58" i="9"/>
  <c r="T58" i="9"/>
  <c r="V58" i="9"/>
  <c r="W58" i="9"/>
  <c r="X7" i="9"/>
  <c r="X8" i="9" s="1"/>
  <c r="X9" i="9" s="1"/>
  <c r="X10" i="9" s="1"/>
  <c r="X11" i="9" s="1"/>
  <c r="X12" i="9" s="1"/>
  <c r="X13" i="9" s="1"/>
  <c r="X14" i="9" s="1"/>
  <c r="X15" i="9" s="1"/>
  <c r="X16" i="9" s="1"/>
  <c r="X17" i="9"/>
  <c r="X18" i="9" s="1"/>
  <c r="X19" i="9" s="1"/>
  <c r="X20" i="9" s="1"/>
  <c r="X21" i="9" s="1"/>
  <c r="X22" i="9" s="1"/>
  <c r="X23" i="9" s="1"/>
  <c r="X24" i="9" s="1"/>
  <c r="X25" i="9" s="1"/>
  <c r="X26" i="9" s="1"/>
  <c r="X27" i="9" s="1"/>
  <c r="X28" i="9" s="1"/>
  <c r="X29" i="9" s="1"/>
  <c r="X30" i="9" s="1"/>
  <c r="X31" i="9" s="1"/>
  <c r="X32" i="9" s="1"/>
  <c r="X33" i="9" s="1"/>
  <c r="X34" i="9" s="1"/>
  <c r="X35" i="9" s="1"/>
  <c r="X36" i="9" s="1"/>
  <c r="X37" i="9" s="1"/>
  <c r="X38" i="9" s="1"/>
  <c r="X39" i="9" s="1"/>
  <c r="X40" i="9" s="1"/>
  <c r="X41" i="9" s="1"/>
  <c r="X42" i="9" s="1"/>
  <c r="X43" i="9" s="1"/>
  <c r="X44" i="9" s="1"/>
  <c r="X45" i="9" s="1"/>
  <c r="X46" i="9" s="1"/>
  <c r="X47" i="9" s="1"/>
  <c r="X48" i="9" s="1"/>
  <c r="X49" i="9" s="1"/>
  <c r="X50" i="9" s="1"/>
  <c r="X51" i="9" s="1"/>
  <c r="X52" i="9" s="1"/>
  <c r="X53" i="9" s="1"/>
  <c r="V60" i="9"/>
  <c r="V61" i="9" s="1"/>
  <c r="BN18" i="1" l="1"/>
  <c r="X54" i="9"/>
  <c r="X55" i="9" s="1"/>
  <c r="X56" i="9" s="1"/>
  <c r="X57" i="9" s="1"/>
  <c r="X58" i="9" s="1"/>
  <c r="X59" i="9" s="1"/>
  <c r="BN19" i="1" l="1"/>
  <c r="BN20" i="1" l="1"/>
  <c r="BN21" i="1" l="1"/>
  <c r="BN22" i="1" l="1"/>
  <c r="BN23" i="1" l="1"/>
  <c r="BN24" i="1" l="1"/>
  <c r="BN25" i="1" l="1"/>
  <c r="BN26" i="1" l="1"/>
  <c r="BN27" i="1" l="1"/>
</calcChain>
</file>

<file path=xl/sharedStrings.xml><?xml version="1.0" encoding="utf-8"?>
<sst xmlns="http://schemas.openxmlformats.org/spreadsheetml/2006/main" count="1106" uniqueCount="132">
  <si>
    <t>JOUEURS</t>
  </si>
  <si>
    <t>1ère partie</t>
  </si>
  <si>
    <t>2ème partie</t>
  </si>
  <si>
    <t>3ème partie</t>
  </si>
  <si>
    <t>Joueur</t>
  </si>
  <si>
    <t>contre</t>
  </si>
  <si>
    <t>Prénom et / ou Nom</t>
  </si>
  <si>
    <t>TOTAUX</t>
  </si>
  <si>
    <t>RESULTAT DES PARTIES</t>
  </si>
  <si>
    <t>TIRAGE</t>
  </si>
  <si>
    <t>Pts</t>
  </si>
  <si>
    <t>GA</t>
  </si>
  <si>
    <t>Score</t>
  </si>
  <si>
    <t>Code vérouillage AB</t>
  </si>
  <si>
    <t>Rang</t>
  </si>
  <si>
    <t>Class.1</t>
  </si>
  <si>
    <t>Points</t>
  </si>
  <si>
    <t>G.A.</t>
  </si>
  <si>
    <t>Class.</t>
  </si>
  <si>
    <t>GA-</t>
  </si>
  <si>
    <t>GA+</t>
  </si>
  <si>
    <t>CLASSEMENT</t>
  </si>
  <si>
    <t>Gagné : 3 ; Nul : 2 ; Perdu : 1 ; Non joué : 0</t>
  </si>
  <si>
    <t>Enregistrer les résultats dans les cellules colorées</t>
  </si>
  <si>
    <t>Méthode</t>
  </si>
  <si>
    <t>* Feuillet  Incrits :</t>
  </si>
  <si>
    <t>Nbre 1</t>
  </si>
  <si>
    <t>Nbre 2</t>
  </si>
  <si>
    <t>Nbre 3</t>
  </si>
  <si>
    <t>Nbre 0</t>
  </si>
  <si>
    <t>Jeux</t>
  </si>
  <si>
    <t>Formule  matricielle à modifier ligne 96 Colonnes C, D, E, F, G et H</t>
  </si>
  <si>
    <t>=SOMME(SI(ESTNA(C5:C95);0;C5:C95)</t>
  </si>
  <si>
    <t>TIREUR</t>
  </si>
  <si>
    <t xml:space="preserve">MILIEU </t>
  </si>
  <si>
    <t xml:space="preserve">POINTEUR </t>
  </si>
  <si>
    <t>CONCOURS SOCIETAIRE</t>
  </si>
  <si>
    <t>Type</t>
  </si>
  <si>
    <t>Nombre de joueurs</t>
  </si>
  <si>
    <t>jeux</t>
  </si>
  <si>
    <t>NOMS</t>
  </si>
  <si>
    <t>'=SOMME.SI.ENS(C6:I6;$C$5:$I$5;"Pts";C6:I6;"&lt;&gt;#N/A")</t>
  </si>
  <si>
    <t>=SOMME.SI.ENS(C6:I6;$C$5:$I$5;"Pts";C6:I6;"&lt;&gt;#N/A")</t>
  </si>
  <si>
    <t>NOMS DES JOUEURS PARTICIPANTS</t>
  </si>
  <si>
    <t>Nbre 5</t>
  </si>
  <si>
    <t>Nbre 7</t>
  </si>
  <si>
    <t>Nbre 9</t>
  </si>
  <si>
    <t>Nbre 6</t>
  </si>
  <si>
    <t>1ère Journée</t>
  </si>
  <si>
    <t>2ème Journée</t>
  </si>
  <si>
    <t>3ème Journée</t>
  </si>
  <si>
    <t>4ème Journée</t>
  </si>
  <si>
    <t>5ème Journée</t>
  </si>
  <si>
    <t>6ème Journée</t>
  </si>
  <si>
    <t>Résultats</t>
  </si>
  <si>
    <t>Class. 1</t>
  </si>
  <si>
    <t>* Feuillet 1ère journée</t>
  </si>
  <si>
    <t xml:space="preserve">*Remplacement d'un joueur (Dévérouiller la protection de la feuille)  inscrire le Nom du nouveau joueur dans une ou deux parties à la place du joueur remplacé </t>
  </si>
  <si>
    <t>puis cliquer sur protéger la feuille Code vérouillage: AB</t>
  </si>
  <si>
    <t>*Dévérouillage:   Cliquer sur révision puis sur oter la protection de la feuille  Code AB</t>
  </si>
  <si>
    <t>Tireur-Pointeur</t>
  </si>
  <si>
    <t>Dernier de liste</t>
  </si>
  <si>
    <t xml:space="preserve">Date </t>
  </si>
  <si>
    <t>Date</t>
  </si>
  <si>
    <t>=SI(ESTNA(RECHERCHEV(AP9;$Z$11:$AC$81;3;0));" ";SI(RECHERCHEV(AP9;$Z$11:$AC$81;3;0)=0;"";RECHERCHEV(AP9;$Z$11:$AC$81;3;0)))</t>
  </si>
  <si>
    <t>CLASSEMENT FINAL DES 6 JOURNEES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</si>
  <si>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</si>
  <si>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</si>
  <si>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</si>
  <si>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</si>
  <si>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</si>
  <si>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</si>
  <si>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</si>
  <si>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</si>
  <si>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</si>
  <si>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</si>
  <si>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</si>
  <si>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</si>
  <si>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</si>
  <si>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</si>
  <si>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</si>
  <si>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</si>
  <si>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</si>
  <si>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</si>
  <si>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</si>
  <si>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</si>
  <si>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</si>
  <si>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</si>
  <si>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</si>
  <si>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</si>
  <si>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</si>
  <si>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</si>
  <si>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</si>
  <si>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</si>
  <si>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</si>
  <si>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</si>
  <si>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</si>
  <si>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</si>
  <si>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</si>
  <si>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</si>
  <si>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</si>
  <si>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</si>
  <si>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</si>
  <si>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</si>
  <si>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</si>
  <si>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</si>
  <si>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</si>
  <si>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</si>
  <si>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</si>
  <si>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</si>
  <si>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</si>
  <si>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</si>
  <si>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</si>
  <si>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</si>
  <si>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</si>
  <si>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</si>
  <si>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</si>
  <si>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</si>
  <si>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</si>
  <si>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</si>
  <si>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 xml:space="preserve">Joueurs ou Equipes </t>
  </si>
  <si>
    <t>8 à 54  Joueurs ou Equipes</t>
  </si>
  <si>
    <t>* Une particularité du GA si une rencontre se fait par ex: 2 contre 3 le GA ne sera pas 0 mais la différence de la rencontre</t>
  </si>
  <si>
    <t xml:space="preserve"> *Inscrire tout les Noms des participants aux 6 concours dans les colonnes respectives Tireurs Milieux Pointeurs</t>
  </si>
  <si>
    <t>*Répartir les joueurs participants dans les 3 colonnes toujours à la suite</t>
  </si>
  <si>
    <t>*S'il manque des joueurs c'est toujours la colonne pointeurs puis milieu qui doit être inférieure en nombre</t>
  </si>
  <si>
    <t>*Le classement de la journée se fait automatiquement</t>
  </si>
  <si>
    <t xml:space="preserve">*Le Classement Final de toutes les journées se fait automatiquement </t>
  </si>
  <si>
    <t>*Feuillet Classement Final</t>
  </si>
  <si>
    <t xml:space="preserve">Points Total  1ère journée </t>
  </si>
  <si>
    <t>procéder au remplacement du joueur dans la partie correspondante insi que dans la liste des inscrits</t>
  </si>
  <si>
    <t xml:space="preserve">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</si>
</sst>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dd/mm/yy;@"/>
    <numFmt numFmtId="166" formatCode="0_ ;[Red]\-0\ "/>
  </numFmts>
  <fonts count="38" x14ac:knownFonts="1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2"/>
      <name val="Calibri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sz val="16"/>
      <name val="Times New Roman"/>
      <family val="1"/>
    </font>
    <font>
      <b/>
      <sz val="12"/>
      <color theme="1"/>
      <name val="Times New Roman"/>
      <family val="1"/>
    </font>
    <font>
      <sz val="16"/>
      <color rgb="FFFF0000"/>
      <name val="Times New Roman"/>
      <family val="1"/>
    </font>
    <font>
      <sz val="16"/>
      <color rgb="FF00CC66"/>
      <name val="Times New Roman"/>
      <family val="1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rgb="FFFF0000"/>
      <name val="Times New Roman"/>
      <family val="1"/>
    </font>
    <font>
      <sz val="28"/>
      <color theme="1"/>
      <name val="Times New Roman"/>
      <family val="1"/>
    </font>
    <font>
      <sz val="26"/>
      <color theme="1"/>
      <name val="Times New Roman"/>
      <family val="1"/>
    </font>
    <font>
      <sz val="26"/>
      <color rgb="FF0070C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2"/>
      <color rgb="FF0070C0"/>
      <name val="Times New Roman"/>
      <family val="1"/>
    </font>
    <font>
      <sz val="18"/>
      <name val="Times New Roman"/>
      <family val="1"/>
    </font>
    <font>
      <sz val="14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4"/>
      <color theme="0"/>
      <name val="Times New Roman"/>
      <family val="1"/>
    </font>
    <font>
      <b/>
      <sz val="16"/>
      <color rgb="FFFF0000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i/>
      <sz val="12"/>
      <color rgb="FFFF0000"/>
      <name val="Times New Roman"/>
      <family val="1"/>
    </font>
    <font>
      <sz val="10"/>
      <name val="Arial"/>
      <family val="2"/>
    </font>
    <font>
      <sz val="12"/>
      <color rgb="FF00B0F0"/>
      <name val="Times New Roman"/>
      <family val="1"/>
    </font>
    <font>
      <sz val="10"/>
      <color theme="0"/>
      <name val="Arial"/>
      <family val="2"/>
    </font>
    <font>
      <sz val="16"/>
      <color theme="1"/>
      <name val="Times New Roman"/>
      <family val="1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57D3FF"/>
        <bgColor indexed="64"/>
      </patternFill>
    </fill>
    <fill>
      <patternFill patternType="solid">
        <fgColor rgb="FFFF99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3" fillId="0" borderId="0"/>
  </cellStyleXfs>
  <cellXfs count="4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quotePrefix="1" applyFont="1" applyBorder="1" applyAlignment="1">
      <alignment horizontal="center"/>
    </xf>
    <xf numFmtId="0" fontId="2" fillId="0" borderId="28" xfId="0" applyFont="1" applyBorder="1" applyAlignment="1">
      <alignment vertical="center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5" borderId="12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7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0" borderId="7" xfId="0" quotePrefix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7" xfId="0" quotePrefix="1" applyFont="1" applyBorder="1" applyAlignment="1">
      <alignment horizontal="center"/>
    </xf>
    <xf numFmtId="0" fontId="2" fillId="6" borderId="2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/>
    </xf>
    <xf numFmtId="166" fontId="2" fillId="0" borderId="11" xfId="0" quotePrefix="1" applyNumberFormat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0" fontId="2" fillId="0" borderId="42" xfId="0" quotePrefix="1" applyFont="1" applyBorder="1" applyAlignment="1">
      <alignment horizontal="center"/>
    </xf>
    <xf numFmtId="0" fontId="2" fillId="0" borderId="12" xfId="0" quotePrefix="1" applyFont="1" applyBorder="1" applyAlignment="1">
      <alignment horizontal="center"/>
    </xf>
    <xf numFmtId="166" fontId="2" fillId="0" borderId="34" xfId="0" quotePrefix="1" applyNumberFormat="1" applyFont="1" applyBorder="1" applyAlignment="1">
      <alignment horizontal="center"/>
    </xf>
    <xf numFmtId="0" fontId="2" fillId="0" borderId="34" xfId="0" quotePrefix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10" borderId="0" xfId="0" applyFont="1" applyFill="1"/>
    <xf numFmtId="0" fontId="2" fillId="10" borderId="0" xfId="0" applyFont="1" applyFill="1" applyAlignment="1">
      <alignment horizontal="center"/>
    </xf>
    <xf numFmtId="0" fontId="7" fillId="0" borderId="0" xfId="0" applyFont="1"/>
    <xf numFmtId="0" fontId="2" fillId="0" borderId="0" xfId="0" quotePrefix="1" applyFont="1" applyAlignment="1">
      <alignment horizontal="center"/>
    </xf>
    <xf numFmtId="0" fontId="2" fillId="0" borderId="1" xfId="0" applyFont="1" applyBorder="1"/>
    <xf numFmtId="0" fontId="2" fillId="0" borderId="4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0" fontId="2" fillId="0" borderId="0" xfId="0" quotePrefix="1" applyFont="1" applyProtection="1">
      <protection locked="0"/>
    </xf>
    <xf numFmtId="0" fontId="2" fillId="0" borderId="2" xfId="0" quotePrefix="1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/>
    </xf>
    <xf numFmtId="0" fontId="2" fillId="0" borderId="43" xfId="0" quotePrefix="1" applyFont="1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7" borderId="18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10" borderId="2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 applyProtection="1">
      <alignment horizontal="center" vertical="center" wrapText="1"/>
      <protection locked="0"/>
    </xf>
    <xf numFmtId="0" fontId="2" fillId="7" borderId="35" xfId="0" applyFont="1" applyFill="1" applyBorder="1" applyAlignment="1" applyProtection="1">
      <alignment horizontal="center" vertical="center" wrapText="1"/>
      <protection locked="0"/>
    </xf>
    <xf numFmtId="0" fontId="2" fillId="6" borderId="40" xfId="0" applyFont="1" applyFill="1" applyBorder="1" applyAlignment="1" applyProtection="1">
      <alignment horizontal="center" vertical="center" wrapText="1"/>
      <protection locked="0"/>
    </xf>
    <xf numFmtId="0" fontId="2" fillId="8" borderId="41" xfId="0" applyFont="1" applyFill="1" applyBorder="1" applyAlignment="1" applyProtection="1">
      <alignment horizontal="center" vertical="center" wrapText="1"/>
      <protection locked="0"/>
    </xf>
    <xf numFmtId="0" fontId="2" fillId="9" borderId="0" xfId="0" applyFont="1" applyFill="1" applyAlignment="1" applyProtection="1">
      <alignment horizontal="center" vertical="center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2" fillId="11" borderId="25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11" borderId="25" xfId="0" applyFont="1" applyFill="1" applyBorder="1" applyAlignment="1" applyProtection="1">
      <alignment horizontal="center" vertical="center" wrapText="1"/>
      <protection locked="0"/>
    </xf>
    <xf numFmtId="0" fontId="2" fillId="11" borderId="7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0" fontId="7" fillId="0" borderId="1" xfId="0" quotePrefix="1" applyFont="1" applyBorder="1" applyAlignment="1">
      <alignment horizontal="center" vertical="center"/>
    </xf>
    <xf numFmtId="0" fontId="22" fillId="0" borderId="2" xfId="0" quotePrefix="1" applyFont="1" applyBorder="1" applyAlignment="1">
      <alignment horizontal="center" vertical="center"/>
    </xf>
    <xf numFmtId="0" fontId="22" fillId="0" borderId="7" xfId="0" quotePrefix="1" applyFont="1" applyBorder="1" applyAlignment="1">
      <alignment horizontal="center" vertical="center"/>
    </xf>
    <xf numFmtId="0" fontId="22" fillId="0" borderId="8" xfId="0" quotePrefix="1" applyFont="1" applyBorder="1" applyAlignment="1">
      <alignment horizontal="center" vertical="center"/>
    </xf>
    <xf numFmtId="0" fontId="22" fillId="0" borderId="4" xfId="0" quotePrefix="1" applyFont="1" applyBorder="1" applyAlignment="1">
      <alignment horizontal="center" vertical="center"/>
    </xf>
    <xf numFmtId="0" fontId="22" fillId="0" borderId="12" xfId="0" quotePrefix="1" applyFont="1" applyBorder="1" applyAlignment="1">
      <alignment horizontal="center" vertical="center"/>
    </xf>
    <xf numFmtId="0" fontId="22" fillId="0" borderId="11" xfId="0" quotePrefix="1" applyFont="1" applyBorder="1" applyAlignment="1">
      <alignment horizontal="center" vertical="center"/>
    </xf>
    <xf numFmtId="0" fontId="22" fillId="0" borderId="51" xfId="0" quotePrefix="1" applyFont="1" applyBorder="1" applyAlignment="1">
      <alignment horizontal="center" vertical="center"/>
    </xf>
    <xf numFmtId="0" fontId="22" fillId="0" borderId="50" xfId="0" quotePrefix="1" applyFont="1" applyBorder="1" applyAlignment="1">
      <alignment horizontal="center" vertical="center"/>
    </xf>
    <xf numFmtId="0" fontId="22" fillId="0" borderId="5" xfId="0" quotePrefix="1" applyFont="1" applyBorder="1" applyAlignment="1">
      <alignment horizontal="center" vertical="center"/>
    </xf>
    <xf numFmtId="0" fontId="22" fillId="0" borderId="24" xfId="0" quotePrefix="1" applyFont="1" applyBorder="1" applyAlignment="1">
      <alignment horizontal="center" vertical="center"/>
    </xf>
    <xf numFmtId="0" fontId="22" fillId="0" borderId="34" xfId="0" quotePrefix="1" applyFont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7" fillId="0" borderId="0" xfId="0" quotePrefix="1" applyFont="1" applyAlignment="1">
      <alignment horizontal="center" vertical="center"/>
    </xf>
    <xf numFmtId="0" fontId="14" fillId="0" borderId="0" xfId="0" applyFont="1" applyAlignment="1" applyProtection="1">
      <alignment vertical="center"/>
      <protection locked="0"/>
    </xf>
    <xf numFmtId="0" fontId="22" fillId="0" borderId="7" xfId="0" quotePrefix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42" xfId="0" quotePrefix="1" applyFont="1" applyBorder="1" applyAlignment="1">
      <alignment horizontal="center"/>
    </xf>
    <xf numFmtId="0" fontId="22" fillId="0" borderId="24" xfId="0" quotePrefix="1" applyFont="1" applyBorder="1" applyAlignment="1">
      <alignment horizontal="center"/>
    </xf>
    <xf numFmtId="0" fontId="22" fillId="0" borderId="48" xfId="0" quotePrefix="1" applyFont="1" applyBorder="1" applyAlignment="1">
      <alignment horizontal="center"/>
    </xf>
    <xf numFmtId="0" fontId="22" fillId="0" borderId="51" xfId="0" quotePrefix="1" applyFont="1" applyBorder="1" applyAlignment="1">
      <alignment horizontal="center"/>
    </xf>
    <xf numFmtId="0" fontId="22" fillId="0" borderId="12" xfId="0" quotePrefix="1" applyFont="1" applyBorder="1" applyAlignment="1">
      <alignment horizontal="center"/>
    </xf>
    <xf numFmtId="0" fontId="22" fillId="0" borderId="28" xfId="0" quotePrefix="1" applyFont="1" applyBorder="1" applyAlignment="1">
      <alignment horizontal="center"/>
    </xf>
    <xf numFmtId="0" fontId="22" fillId="0" borderId="2" xfId="0" quotePrefix="1" applyFont="1" applyBorder="1" applyAlignment="1">
      <alignment horizontal="center"/>
    </xf>
    <xf numFmtId="0" fontId="22" fillId="0" borderId="50" xfId="0" quotePrefix="1" applyFont="1" applyBorder="1" applyAlignment="1">
      <alignment horizontal="center"/>
    </xf>
    <xf numFmtId="0" fontId="22" fillId="0" borderId="4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52" xfId="0" quotePrefix="1" applyFont="1" applyBorder="1" applyAlignment="1">
      <alignment horizontal="center"/>
    </xf>
    <xf numFmtId="0" fontId="22" fillId="0" borderId="53" xfId="0" quotePrefix="1" applyFont="1" applyBorder="1" applyAlignment="1">
      <alignment horizontal="center"/>
    </xf>
    <xf numFmtId="0" fontId="22" fillId="0" borderId="49" xfId="0" quotePrefix="1" applyFont="1" applyBorder="1" applyAlignment="1">
      <alignment horizontal="center"/>
    </xf>
    <xf numFmtId="0" fontId="22" fillId="0" borderId="54" xfId="0" quotePrefix="1" applyFont="1" applyBorder="1" applyAlignment="1">
      <alignment horizontal="center"/>
    </xf>
    <xf numFmtId="0" fontId="22" fillId="0" borderId="5" xfId="0" quotePrefix="1" applyFont="1" applyBorder="1" applyAlignment="1">
      <alignment horizontal="center"/>
    </xf>
    <xf numFmtId="0" fontId="22" fillId="0" borderId="55" xfId="0" quotePrefix="1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43" xfId="0" quotePrefix="1" applyFont="1" applyBorder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22" fillId="0" borderId="56" xfId="0" quotePrefix="1" applyFont="1" applyBorder="1" applyAlignment="1">
      <alignment horizontal="center"/>
    </xf>
    <xf numFmtId="0" fontId="22" fillId="0" borderId="46" xfId="0" quotePrefix="1" applyFont="1" applyBorder="1" applyAlignment="1">
      <alignment horizontal="center"/>
    </xf>
    <xf numFmtId="0" fontId="22" fillId="0" borderId="57" xfId="0" quotePrefix="1" applyFont="1" applyBorder="1" applyAlignment="1">
      <alignment horizontal="center"/>
    </xf>
    <xf numFmtId="0" fontId="22" fillId="0" borderId="4" xfId="0" quotePrefix="1" applyFont="1" applyBorder="1" applyAlignment="1">
      <alignment horizontal="center"/>
    </xf>
    <xf numFmtId="0" fontId="22" fillId="0" borderId="58" xfId="0" quotePrefix="1" applyFont="1" applyBorder="1" applyAlignment="1">
      <alignment horizontal="center"/>
    </xf>
    <xf numFmtId="0" fontId="7" fillId="0" borderId="7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20" fillId="0" borderId="59" xfId="0" applyFont="1" applyBorder="1" applyAlignment="1" applyProtection="1">
      <alignment horizontal="center" vertical="center"/>
      <protection locked="0"/>
    </xf>
    <xf numFmtId="0" fontId="20" fillId="0" borderId="60" xfId="0" applyFont="1" applyBorder="1" applyAlignment="1" applyProtection="1">
      <alignment horizontal="center" vertical="center"/>
      <protection locked="0"/>
    </xf>
    <xf numFmtId="0" fontId="7" fillId="0" borderId="12" xfId="0" quotePrefix="1" applyFont="1" applyBorder="1" applyAlignment="1">
      <alignment horizontal="center" vertical="center"/>
    </xf>
    <xf numFmtId="0" fontId="20" fillId="0" borderId="36" xfId="0" applyFont="1" applyBorder="1" applyAlignment="1" applyProtection="1">
      <alignment horizontal="center" vertical="center"/>
      <protection locked="0"/>
    </xf>
    <xf numFmtId="0" fontId="7" fillId="0" borderId="2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0" fontId="7" fillId="0" borderId="34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8" xfId="0" quotePrefix="1" applyFont="1" applyBorder="1" applyAlignment="1">
      <alignment horizontal="center"/>
    </xf>
    <xf numFmtId="0" fontId="22" fillId="0" borderId="48" xfId="0" quotePrefix="1" applyFont="1" applyBorder="1" applyAlignment="1">
      <alignment horizontal="center" vertical="center"/>
    </xf>
    <xf numFmtId="0" fontId="22" fillId="0" borderId="62" xfId="0" quotePrefix="1" applyFont="1" applyBorder="1" applyAlignment="1">
      <alignment horizontal="center"/>
    </xf>
    <xf numFmtId="0" fontId="22" fillId="0" borderId="36" xfId="0" quotePrefix="1" applyFont="1" applyBorder="1" applyAlignment="1">
      <alignment horizontal="center"/>
    </xf>
    <xf numFmtId="0" fontId="22" fillId="0" borderId="59" xfId="0" quotePrefix="1" applyFont="1" applyBorder="1" applyAlignment="1">
      <alignment horizontal="center"/>
    </xf>
    <xf numFmtId="0" fontId="2" fillId="0" borderId="12" xfId="0" quotePrefix="1" applyFont="1" applyBorder="1" applyAlignment="1">
      <alignment horizontal="center" vertical="center"/>
    </xf>
    <xf numFmtId="164" fontId="2" fillId="0" borderId="12" xfId="0" quotePrefix="1" applyNumberFormat="1" applyFont="1" applyBorder="1" applyAlignment="1">
      <alignment horizontal="center" vertical="center"/>
    </xf>
    <xf numFmtId="0" fontId="2" fillId="0" borderId="33" xfId="0" quotePrefix="1" applyFont="1" applyBorder="1" applyAlignment="1">
      <alignment horizontal="center" vertical="center"/>
    </xf>
    <xf numFmtId="0" fontId="2" fillId="8" borderId="52" xfId="0" applyFont="1" applyFill="1" applyBorder="1" applyAlignment="1" applyProtection="1">
      <alignment horizontal="center" vertical="center" wrapText="1"/>
      <protection locked="0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11" borderId="26" xfId="0" applyFont="1" applyFill="1" applyBorder="1" applyAlignment="1" applyProtection="1">
      <alignment horizontal="center" vertical="center" wrapText="1"/>
      <protection locked="0"/>
    </xf>
    <xf numFmtId="0" fontId="2" fillId="0" borderId="5" xfId="0" quotePrefix="1" applyFont="1" applyBorder="1" applyAlignment="1">
      <alignment horizontal="center" vertical="center"/>
    </xf>
    <xf numFmtId="0" fontId="2" fillId="0" borderId="63" xfId="0" quotePrefix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0" borderId="25" xfId="0" quotePrefix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10" borderId="0" xfId="0" applyFont="1" applyFill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10" borderId="0" xfId="0" applyFont="1" applyFill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6" fillId="0" borderId="25" xfId="0" applyFont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5" borderId="64" xfId="0" applyFont="1" applyFill="1" applyBorder="1" applyAlignment="1" applyProtection="1">
      <alignment horizontal="center" vertical="center" wrapText="1"/>
      <protection locked="0"/>
    </xf>
    <xf numFmtId="0" fontId="26" fillId="6" borderId="25" xfId="0" applyFont="1" applyFill="1" applyBorder="1" applyAlignment="1" applyProtection="1">
      <alignment horizontal="center" vertical="center" wrapText="1"/>
      <protection locked="0"/>
    </xf>
    <xf numFmtId="0" fontId="26" fillId="11" borderId="25" xfId="0" applyFont="1" applyFill="1" applyBorder="1" applyAlignment="1" applyProtection="1">
      <alignment horizontal="center" vertical="center" wrapText="1"/>
      <protection locked="0"/>
    </xf>
    <xf numFmtId="0" fontId="26" fillId="14" borderId="35" xfId="0" applyFont="1" applyFill="1" applyBorder="1" applyAlignment="1" applyProtection="1">
      <alignment horizontal="center" vertical="center" wrapText="1"/>
      <protection locked="0"/>
    </xf>
    <xf numFmtId="0" fontId="26" fillId="0" borderId="12" xfId="0" quotePrefix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5" xfId="0" quotePrefix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8" fillId="7" borderId="26" xfId="0" applyFont="1" applyFill="1" applyBorder="1" applyAlignment="1" applyProtection="1">
      <alignment horizontal="center" vertical="center" wrapText="1"/>
      <protection locked="0"/>
    </xf>
    <xf numFmtId="0" fontId="11" fillId="10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2" fillId="0" borderId="14" xfId="0" quotePrefix="1" applyFont="1" applyBorder="1" applyAlignment="1" applyProtection="1">
      <alignment horizontal="center" vertical="center"/>
      <protection locked="0"/>
    </xf>
    <xf numFmtId="0" fontId="26" fillId="11" borderId="26" xfId="0" applyFont="1" applyFill="1" applyBorder="1" applyAlignment="1" applyProtection="1">
      <alignment horizontal="center" vertical="center" wrapText="1"/>
      <protection locked="0"/>
    </xf>
    <xf numFmtId="0" fontId="26" fillId="5" borderId="39" xfId="0" applyFont="1" applyFill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/>
    </xf>
    <xf numFmtId="0" fontId="26" fillId="15" borderId="27" xfId="0" applyFont="1" applyFill="1" applyBorder="1" applyAlignment="1" applyProtection="1">
      <alignment horizontal="center" vertical="center" wrapText="1"/>
      <protection locked="0"/>
    </xf>
    <xf numFmtId="0" fontId="2" fillId="15" borderId="25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4" xfId="0" quotePrefix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2" fillId="0" borderId="53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11" borderId="26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2" fillId="0" borderId="11" xfId="0" quotePrefix="1" applyFont="1" applyBorder="1" applyAlignment="1">
      <alignment horizontal="center"/>
    </xf>
    <xf numFmtId="0" fontId="2" fillId="0" borderId="68" xfId="0" quotePrefix="1" applyFont="1" applyBorder="1" applyAlignment="1">
      <alignment horizontal="center" vertical="center"/>
    </xf>
    <xf numFmtId="0" fontId="2" fillId="0" borderId="69" xfId="0" quotePrefix="1" applyFont="1" applyBorder="1" applyAlignment="1">
      <alignment horizontal="center" vertical="center"/>
    </xf>
    <xf numFmtId="0" fontId="2" fillId="0" borderId="70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0" fontId="2" fillId="0" borderId="61" xfId="0" quotePrefix="1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6" fillId="6" borderId="0" xfId="0" applyFont="1" applyFill="1"/>
    <xf numFmtId="0" fontId="30" fillId="0" borderId="0" xfId="0" applyFont="1" applyProtection="1">
      <protection locked="0"/>
    </xf>
    <xf numFmtId="0" fontId="30" fillId="0" borderId="0" xfId="0" applyFont="1"/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6" fillId="6" borderId="0" xfId="0" applyFont="1" applyFill="1" applyAlignment="1" applyProtection="1">
      <alignment wrapText="1"/>
      <protection locked="0"/>
    </xf>
    <xf numFmtId="0" fontId="26" fillId="6" borderId="0" xfId="0" applyFont="1" applyFill="1" applyAlignment="1" applyProtection="1">
      <alignment horizontal="center" vertical="center" wrapText="1"/>
      <protection locked="0"/>
    </xf>
    <xf numFmtId="0" fontId="26" fillId="6" borderId="0" xfId="0" applyFont="1" applyFill="1" applyAlignment="1">
      <alignment horizontal="center" vertical="center"/>
    </xf>
    <xf numFmtId="0" fontId="0" fillId="6" borderId="0" xfId="0" applyFill="1"/>
    <xf numFmtId="0" fontId="26" fillId="5" borderId="71" xfId="0" applyFont="1" applyFill="1" applyBorder="1" applyAlignment="1" applyProtection="1">
      <alignment horizontal="center" vertical="center" wrapText="1"/>
      <protection locked="0"/>
    </xf>
    <xf numFmtId="0" fontId="26" fillId="10" borderId="25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2" fillId="0" borderId="59" xfId="0" applyFont="1" applyBorder="1" applyAlignment="1" applyProtection="1">
      <alignment horizontal="center" vertical="center"/>
      <protection locked="0"/>
    </xf>
    <xf numFmtId="0" fontId="26" fillId="0" borderId="5" xfId="0" quotePrefix="1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7" xfId="0" quotePrefix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/>
    </xf>
    <xf numFmtId="0" fontId="27" fillId="0" borderId="61" xfId="0" applyFont="1" applyBorder="1" applyAlignment="1">
      <alignment horizontal="center" vertical="center"/>
    </xf>
    <xf numFmtId="0" fontId="26" fillId="10" borderId="16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64" fontId="2" fillId="0" borderId="61" xfId="0" quotePrefix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15" xfId="0" quotePrefix="1" applyFont="1" applyBorder="1" applyAlignment="1">
      <alignment horizontal="center" vertical="center"/>
    </xf>
    <xf numFmtId="0" fontId="2" fillId="0" borderId="31" xfId="0" quotePrefix="1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5" borderId="29" xfId="0" applyFont="1" applyFill="1" applyBorder="1" applyAlignment="1" applyProtection="1">
      <alignment horizontal="center" vertical="center"/>
      <protection locked="0"/>
    </xf>
    <xf numFmtId="0" fontId="2" fillId="6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2" fillId="9" borderId="2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69" xfId="0" applyFont="1" applyBorder="1" applyAlignment="1" applyProtection="1">
      <alignment horizontal="center"/>
      <protection locked="0"/>
    </xf>
    <xf numFmtId="0" fontId="2" fillId="0" borderId="69" xfId="0" applyFont="1" applyBorder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35" fillId="0" borderId="0" xfId="0" applyFont="1"/>
    <xf numFmtId="0" fontId="3" fillId="0" borderId="0" xfId="0" applyFont="1" applyAlignment="1">
      <alignment horizontal="center" vertical="center"/>
    </xf>
    <xf numFmtId="0" fontId="21" fillId="0" borderId="0" xfId="0" applyFont="1"/>
    <xf numFmtId="0" fontId="7" fillId="0" borderId="25" xfId="0" applyFont="1" applyBorder="1"/>
    <xf numFmtId="0" fontId="32" fillId="0" borderId="27" xfId="0" applyFont="1" applyBorder="1" applyAlignment="1" applyProtection="1">
      <alignment horizontal="center"/>
      <protection locked="0"/>
    </xf>
    <xf numFmtId="0" fontId="32" fillId="0" borderId="28" xfId="0" applyFont="1" applyBorder="1" applyAlignment="1" applyProtection="1">
      <alignment horizontal="center"/>
      <protection locked="0"/>
    </xf>
    <xf numFmtId="0" fontId="32" fillId="0" borderId="48" xfId="0" applyFont="1" applyBorder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/>
      <protection locked="0"/>
    </xf>
    <xf numFmtId="0" fontId="23" fillId="0" borderId="28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3" fillId="0" borderId="27" xfId="0" applyFont="1" applyBorder="1" applyAlignment="1" applyProtection="1">
      <alignment horizontal="center"/>
      <protection locked="0"/>
    </xf>
    <xf numFmtId="0" fontId="23" fillId="0" borderId="48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12" fillId="0" borderId="8" xfId="0" quotePrefix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quotePrefix="1" applyFont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37" fillId="10" borderId="0" xfId="0" applyFont="1" applyFill="1" applyAlignment="1" applyProtection="1">
      <alignment horizontal="center" vertical="center"/>
      <protection locked="0"/>
    </xf>
    <xf numFmtId="0" fontId="8" fillId="0" borderId="0" xfId="0" applyFont="1"/>
    <xf numFmtId="0" fontId="7" fillId="0" borderId="0" xfId="0" applyFont="1" applyAlignment="1" applyProtection="1">
      <alignment horizontal="center" vertical="center" wrapText="1"/>
      <protection locked="0"/>
    </xf>
    <xf numFmtId="0" fontId="33" fillId="0" borderId="0" xfId="0" applyFont="1"/>
    <xf numFmtId="0" fontId="22" fillId="10" borderId="48" xfId="0" applyFont="1" applyFill="1" applyBorder="1" applyAlignment="1">
      <alignment horizontal="center" vertical="center"/>
    </xf>
    <xf numFmtId="0" fontId="22" fillId="10" borderId="5" xfId="0" applyFont="1" applyFill="1" applyBorder="1" applyAlignment="1">
      <alignment horizontal="center" vertical="center"/>
    </xf>
    <xf numFmtId="0" fontId="22" fillId="10" borderId="2" xfId="0" quotePrefix="1" applyFont="1" applyFill="1" applyBorder="1" applyAlignment="1">
      <alignment horizontal="center"/>
    </xf>
    <xf numFmtId="0" fontId="22" fillId="10" borderId="12" xfId="0" quotePrefix="1" applyFont="1" applyFill="1" applyBorder="1" applyAlignment="1">
      <alignment horizont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quotePrefix="1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4" fillId="0" borderId="4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11" borderId="20" xfId="0" applyFont="1" applyFill="1" applyBorder="1" applyAlignment="1" applyProtection="1">
      <alignment horizontal="center" vertical="center"/>
      <protection locked="0"/>
    </xf>
    <xf numFmtId="0" fontId="2" fillId="11" borderId="21" xfId="0" applyFont="1" applyFill="1" applyBorder="1" applyAlignment="1" applyProtection="1">
      <alignment horizontal="center" vertical="center"/>
      <protection locked="0"/>
    </xf>
    <xf numFmtId="0" fontId="2" fillId="11" borderId="22" xfId="0" applyFont="1" applyFill="1" applyBorder="1" applyAlignment="1" applyProtection="1">
      <alignment horizontal="center" vertical="center"/>
      <protection locked="0"/>
    </xf>
    <xf numFmtId="0" fontId="2" fillId="6" borderId="20" xfId="0" applyFont="1" applyFill="1" applyBorder="1" applyAlignment="1" applyProtection="1">
      <alignment horizontal="center" vertical="center"/>
      <protection locked="0"/>
    </xf>
    <xf numFmtId="0" fontId="2" fillId="6" borderId="21" xfId="0" applyFont="1" applyFill="1" applyBorder="1" applyAlignment="1" applyProtection="1">
      <alignment horizontal="center" vertical="center"/>
      <protection locked="0"/>
    </xf>
    <xf numFmtId="0" fontId="2" fillId="6" borderId="22" xfId="0" applyFont="1" applyFill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8" fillId="6" borderId="26" xfId="0" applyFont="1" applyFill="1" applyBorder="1" applyAlignment="1" applyProtection="1">
      <alignment horizontal="center" vertical="center"/>
      <protection locked="0"/>
    </xf>
    <xf numFmtId="0" fontId="18" fillId="6" borderId="47" xfId="0" applyFont="1" applyFill="1" applyBorder="1" applyAlignment="1" applyProtection="1">
      <alignment horizontal="center" vertical="center"/>
      <protection locked="0"/>
    </xf>
    <xf numFmtId="0" fontId="29" fillId="10" borderId="27" xfId="0" applyFont="1" applyFill="1" applyBorder="1" applyAlignment="1">
      <alignment horizontal="center" vertical="center"/>
    </xf>
    <xf numFmtId="0" fontId="29" fillId="10" borderId="65" xfId="0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0" fontId="30" fillId="0" borderId="66" xfId="0" applyFont="1" applyBorder="1" applyAlignment="1" applyProtection="1">
      <alignment horizontal="center" vertical="center"/>
      <protection locked="0"/>
    </xf>
    <xf numFmtId="0" fontId="30" fillId="0" borderId="47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17" fillId="10" borderId="26" xfId="0" applyFont="1" applyFill="1" applyBorder="1" applyAlignment="1" applyProtection="1">
      <alignment horizontal="center" vertical="center"/>
      <protection locked="0"/>
    </xf>
    <xf numFmtId="0" fontId="17" fillId="10" borderId="47" xfId="0" applyFont="1" applyFill="1" applyBorder="1" applyAlignment="1" applyProtection="1">
      <alignment horizontal="center" vertical="center"/>
      <protection locked="0"/>
    </xf>
    <xf numFmtId="0" fontId="29" fillId="10" borderId="4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0" fillId="12" borderId="29" xfId="0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vertical="center"/>
    </xf>
    <xf numFmtId="0" fontId="10" fillId="10" borderId="29" xfId="0" applyFont="1" applyFill="1" applyBorder="1" applyAlignment="1" applyProtection="1">
      <alignment horizontal="center" vertical="center"/>
      <protection locked="0"/>
    </xf>
    <xf numFmtId="0" fontId="10" fillId="13" borderId="29" xfId="0" applyFont="1" applyFill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3" fillId="7" borderId="29" xfId="0" applyFont="1" applyFill="1" applyBorder="1" applyAlignment="1" applyProtection="1">
      <alignment horizontal="center" vertical="center" wrapText="1"/>
      <protection locked="0"/>
    </xf>
    <xf numFmtId="0" fontId="3" fillId="7" borderId="18" xfId="0" applyFont="1" applyFill="1" applyBorder="1" applyAlignment="1" applyProtection="1">
      <alignment horizontal="center" vertical="center" wrapText="1"/>
      <protection locked="0"/>
    </xf>
    <xf numFmtId="0" fontId="2" fillId="7" borderId="29" xfId="0" applyFont="1" applyFill="1" applyBorder="1" applyAlignment="1" applyProtection="1">
      <alignment horizontal="center" vertical="center" wrapText="1"/>
      <protection locked="0"/>
    </xf>
    <xf numFmtId="0" fontId="2" fillId="7" borderId="18" xfId="0" applyFont="1" applyFill="1" applyBorder="1" applyAlignment="1" applyProtection="1">
      <alignment horizontal="center" vertical="center" wrapText="1"/>
      <protection locked="0"/>
    </xf>
    <xf numFmtId="0" fontId="2" fillId="7" borderId="19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9" fillId="4" borderId="29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3" fillId="7" borderId="19" xfId="0" applyFont="1" applyFill="1" applyBorder="1" applyAlignment="1" applyProtection="1">
      <alignment horizontal="center" vertical="center" wrapText="1"/>
      <protection locked="0"/>
    </xf>
    <xf numFmtId="0" fontId="19" fillId="0" borderId="2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18" fillId="6" borderId="47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0" fillId="0" borderId="67" xfId="0" applyBorder="1"/>
    <xf numFmtId="0" fontId="3" fillId="7" borderId="48" xfId="0" applyFont="1" applyFill="1" applyBorder="1" applyAlignment="1" applyProtection="1">
      <alignment horizontal="center" vertical="center" wrapText="1"/>
      <protection locked="0"/>
    </xf>
    <xf numFmtId="0" fontId="3" fillId="7" borderId="44" xfId="0" applyFont="1" applyFill="1" applyBorder="1" applyAlignment="1" applyProtection="1">
      <alignment horizontal="center" vertical="center" wrapText="1"/>
      <protection locked="0"/>
    </xf>
    <xf numFmtId="0" fontId="2" fillId="2" borderId="48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49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0" fontId="2" fillId="7" borderId="16" xfId="0" applyFont="1" applyFill="1" applyBorder="1" applyAlignment="1" applyProtection="1">
      <alignment horizontal="center" vertical="center" wrapText="1"/>
      <protection locked="0"/>
    </xf>
    <xf numFmtId="0" fontId="2" fillId="7" borderId="30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/>
    </xf>
    <xf numFmtId="0" fontId="2" fillId="11" borderId="21" xfId="0" applyFont="1" applyFill="1" applyBorder="1" applyAlignment="1">
      <alignment horizontal="center" vertical="center"/>
    </xf>
    <xf numFmtId="0" fontId="2" fillId="11" borderId="22" xfId="0" applyFont="1" applyFill="1" applyBorder="1" applyAlignment="1">
      <alignment horizontal="center" vertical="center"/>
    </xf>
    <xf numFmtId="0" fontId="26" fillId="0" borderId="29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29" xfId="0" applyFont="1" applyBorder="1" applyAlignment="1" applyProtection="1">
      <alignment horizontal="center"/>
      <protection locked="0"/>
    </xf>
    <xf numFmtId="0" fontId="25" fillId="0" borderId="18" xfId="0" applyFont="1" applyBorder="1" applyAlignment="1" applyProtection="1">
      <alignment horizontal="center"/>
      <protection locked="0"/>
    </xf>
    <xf numFmtId="0" fontId="25" fillId="0" borderId="19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124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CCFF33"/>
        </patternFill>
      </fill>
    </dxf>
    <dxf>
      <fill>
        <patternFill>
          <bgColor rgb="FF99FF99"/>
        </patternFill>
      </fill>
    </dxf>
    <dxf>
      <fill>
        <patternFill>
          <bgColor rgb="FFCCFF66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CCFF3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9FD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CCFF3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9FD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CCFF3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CCFF3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9FD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ill>
        <patternFill patternType="solid"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CCFF3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C9FD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99"/>
      <color rgb="FFFF66FF"/>
      <color rgb="FFC9FDCE"/>
      <color rgb="FFCCFF66"/>
      <color rgb="FF66FF33"/>
      <color rgb="FFCCFF33"/>
      <color rgb="FFCCFF99"/>
      <color rgb="FFFF00FF"/>
      <color rgb="FF00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P$5" max="54" min="8" page="10" val="48"/>
</file>

<file path=xl/ctrlProps/ctrlProp2.xml><?xml version="1.0" encoding="utf-8"?>
<formControlPr xmlns="http://schemas.microsoft.com/office/spreadsheetml/2009/9/main" objectType="Spin" dx="16" fmlaLink="$P$5" max="54" min="8" page="10" val="48"/>
</file>

<file path=xl/ctrlProps/ctrlProp3.xml><?xml version="1.0" encoding="utf-8"?>
<formControlPr xmlns="http://schemas.microsoft.com/office/spreadsheetml/2009/9/main" objectType="Spin" dx="16" fmlaLink="$Q$5" max="54" min="8" page="10" val="30"/>
</file>

<file path=xl/ctrlProps/ctrlProp4.xml><?xml version="1.0" encoding="utf-8"?>
<formControlPr xmlns="http://schemas.microsoft.com/office/spreadsheetml/2009/9/main" objectType="Spin" dx="16" fmlaLink="$Q$5" max="54" min="8" page="10" val="30"/>
</file>

<file path=xl/ctrlProps/ctrlProp5.xml><?xml version="1.0" encoding="utf-8"?>
<formControlPr xmlns="http://schemas.microsoft.com/office/spreadsheetml/2009/9/main" objectType="Spin" dx="16" fmlaLink="$Q$5" max="54" min="8" page="10" val="34"/>
</file>

<file path=xl/ctrlProps/ctrlProp6.xml><?xml version="1.0" encoding="utf-8"?>
<formControlPr xmlns="http://schemas.microsoft.com/office/spreadsheetml/2009/9/main" objectType="Spin" dx="16" fmlaLink="$Q$5" max="54" min="8" page="10" val="45"/>
</file>

<file path=xl/ctrlProps/ctrlProp7.xml><?xml version="1.0" encoding="utf-8"?>
<formControlPr xmlns="http://schemas.microsoft.com/office/spreadsheetml/2009/9/main" objectType="Spin" dx="16" fmlaLink="$Q$5" max="54" min="8" page="10" val="5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236220</xdr:colOff>
          <xdr:row>3</xdr:row>
          <xdr:rowOff>121920</xdr:rowOff>
        </xdr:from>
        <xdr:to>
          <xdr:col>16</xdr:col>
          <xdr:colOff>579120</xdr:colOff>
          <xdr:row>6</xdr:row>
          <xdr:rowOff>30480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12D4B98-906C-BD18-5305-A4145E0E30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121920</xdr:colOff>
          <xdr:row>1</xdr:row>
          <xdr:rowOff>121920</xdr:rowOff>
        </xdr:from>
        <xdr:to>
          <xdr:col>63</xdr:col>
          <xdr:colOff>464820</xdr:colOff>
          <xdr:row>4</xdr:row>
          <xdr:rowOff>68580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7B82B07-869E-BBB6-7F90-5CDA4AA784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251460</xdr:colOff>
          <xdr:row>3</xdr:row>
          <xdr:rowOff>137160</xdr:rowOff>
        </xdr:from>
        <xdr:to>
          <xdr:col>17</xdr:col>
          <xdr:colOff>594360</xdr:colOff>
          <xdr:row>6</xdr:row>
          <xdr:rowOff>45720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5692F530-7C59-BAE1-0F04-2233F6463D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251460</xdr:colOff>
          <xdr:row>3</xdr:row>
          <xdr:rowOff>137160</xdr:rowOff>
        </xdr:from>
        <xdr:to>
          <xdr:col>17</xdr:col>
          <xdr:colOff>594360</xdr:colOff>
          <xdr:row>6</xdr:row>
          <xdr:rowOff>45720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4A051EDA-E870-1250-A25E-24EF7E5B81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251460</xdr:colOff>
          <xdr:row>3</xdr:row>
          <xdr:rowOff>137160</xdr:rowOff>
        </xdr:from>
        <xdr:to>
          <xdr:col>17</xdr:col>
          <xdr:colOff>594360</xdr:colOff>
          <xdr:row>6</xdr:row>
          <xdr:rowOff>45720</xdr:rowOff>
        </xdr:to>
        <xdr:sp macro="" textlink="">
          <xdr:nvSpPr>
            <xdr:cNvPr id="5121" name="Spinner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3DC81767-38B5-A3C4-48DE-CB2B8B649E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251460</xdr:colOff>
          <xdr:row>3</xdr:row>
          <xdr:rowOff>137160</xdr:rowOff>
        </xdr:from>
        <xdr:to>
          <xdr:col>17</xdr:col>
          <xdr:colOff>594360</xdr:colOff>
          <xdr:row>6</xdr:row>
          <xdr:rowOff>45720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5CBFD512-27EB-2CC0-4650-7CA3225069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205740</xdr:colOff>
          <xdr:row>4</xdr:row>
          <xdr:rowOff>0</xdr:rowOff>
        </xdr:from>
        <xdr:to>
          <xdr:col>17</xdr:col>
          <xdr:colOff>579120</xdr:colOff>
          <xdr:row>6</xdr:row>
          <xdr:rowOff>22860</xdr:rowOff>
        </xdr:to>
        <xdr:sp macro="" textlink="">
          <xdr:nvSpPr>
            <xdr:cNvPr id="7169" name="Spinner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FA7DC033-5483-A898-5DCD-E40E1BBA9D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di%20Bureau\Disque(E)\Boules%202a_39.4%20Go%202.11.18\Dossier%20Formules_1.37%20Go\Logiciels%20Boules%2018.4%20Mo\03_Soci&#233;taire%20ok%20(4.01.17)ok\Dans%20Site\03b2_M&#233;l&#233;e%2030%20Eq.%20D._Tr._3%20parties(abcefgi)(08.05.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éthode"/>
      <sheetName val="Inscrits"/>
      <sheetName val="Equipe+Tirage-3partiesV"/>
      <sheetName val="Résultats"/>
      <sheetName val="Classement"/>
      <sheetName val="Feuil4"/>
    </sheetNames>
    <sheetDataSet>
      <sheetData sheetId="0" refreshError="1"/>
      <sheetData sheetId="1"/>
      <sheetData sheetId="2" refreshError="1"/>
      <sheetData sheetId="3">
        <row r="10">
          <cell r="B10" t="str">
            <v>Robert</v>
          </cell>
          <cell r="C10">
            <v>5</v>
          </cell>
          <cell r="D10">
            <v>1</v>
          </cell>
          <cell r="E10">
            <v>-1</v>
          </cell>
          <cell r="G10" t="str">
            <v>Michel</v>
          </cell>
          <cell r="H10">
            <v>11</v>
          </cell>
          <cell r="I10">
            <v>3</v>
          </cell>
          <cell r="J10">
            <v>11</v>
          </cell>
          <cell r="L10" t="str">
            <v>Jean</v>
          </cell>
          <cell r="M10">
            <v>18</v>
          </cell>
          <cell r="N10">
            <v>3</v>
          </cell>
          <cell r="O10">
            <v>13</v>
          </cell>
        </row>
        <row r="11">
          <cell r="B11" t="str">
            <v>Pierre</v>
          </cell>
          <cell r="C11">
            <v>5</v>
          </cell>
          <cell r="D11">
            <v>1</v>
          </cell>
          <cell r="E11">
            <v>-1</v>
          </cell>
          <cell r="G11" t="str">
            <v>Marcel</v>
          </cell>
          <cell r="H11">
            <v>11</v>
          </cell>
          <cell r="I11">
            <v>3</v>
          </cell>
          <cell r="J11">
            <v>11</v>
          </cell>
          <cell r="L11" t="str">
            <v>Pierre</v>
          </cell>
          <cell r="M11">
            <v>18</v>
          </cell>
          <cell r="N11">
            <v>3</v>
          </cell>
          <cell r="O11">
            <v>13</v>
          </cell>
        </row>
        <row r="12">
          <cell r="B12" t="str">
            <v>Josiane</v>
          </cell>
          <cell r="C12">
            <v>5</v>
          </cell>
          <cell r="D12">
            <v>1</v>
          </cell>
          <cell r="E12">
            <v>-1</v>
          </cell>
          <cell r="G12" t="str">
            <v>Marie</v>
          </cell>
          <cell r="H12">
            <v>11</v>
          </cell>
          <cell r="I12">
            <v>3</v>
          </cell>
          <cell r="J12">
            <v>11</v>
          </cell>
          <cell r="L12" t="str">
            <v>Simone</v>
          </cell>
          <cell r="M12">
            <v>18</v>
          </cell>
          <cell r="N12">
            <v>3</v>
          </cell>
          <cell r="O12">
            <v>13</v>
          </cell>
        </row>
        <row r="13">
          <cell r="C13" t="str">
            <v>contre</v>
          </cell>
          <cell r="H13" t="str">
            <v>contre</v>
          </cell>
          <cell r="M13" t="str">
            <v>contre</v>
          </cell>
        </row>
        <row r="14">
          <cell r="B14" t="str">
            <v>André</v>
          </cell>
          <cell r="C14">
            <v>6</v>
          </cell>
          <cell r="D14">
            <v>3</v>
          </cell>
          <cell r="E14">
            <v>1</v>
          </cell>
          <cell r="G14" t="str">
            <v>Jean</v>
          </cell>
          <cell r="H14">
            <v>0</v>
          </cell>
          <cell r="I14">
            <v>1</v>
          </cell>
          <cell r="J14">
            <v>-11</v>
          </cell>
          <cell r="L14" t="str">
            <v>Robert</v>
          </cell>
          <cell r="M14">
            <v>5</v>
          </cell>
          <cell r="N14">
            <v>1</v>
          </cell>
          <cell r="O14">
            <v>-13</v>
          </cell>
        </row>
        <row r="15">
          <cell r="B15" t="str">
            <v>Marc</v>
          </cell>
          <cell r="C15">
            <v>6</v>
          </cell>
          <cell r="D15">
            <v>3</v>
          </cell>
          <cell r="E15">
            <v>1</v>
          </cell>
          <cell r="G15" t="str">
            <v>Alain</v>
          </cell>
          <cell r="H15">
            <v>0</v>
          </cell>
          <cell r="I15">
            <v>1</v>
          </cell>
          <cell r="J15">
            <v>-11</v>
          </cell>
          <cell r="L15" t="str">
            <v>Alain</v>
          </cell>
          <cell r="M15">
            <v>5</v>
          </cell>
          <cell r="N15">
            <v>1</v>
          </cell>
          <cell r="O15">
            <v>-13</v>
          </cell>
        </row>
        <row r="16">
          <cell r="B16" t="str">
            <v>Pauline</v>
          </cell>
          <cell r="C16">
            <v>6</v>
          </cell>
          <cell r="D16">
            <v>3</v>
          </cell>
          <cell r="E16">
            <v>1</v>
          </cell>
          <cell r="G16" t="str">
            <v>Simone</v>
          </cell>
          <cell r="H16">
            <v>0</v>
          </cell>
          <cell r="I16">
            <v>1</v>
          </cell>
          <cell r="J16">
            <v>-11</v>
          </cell>
          <cell r="L16" t="str">
            <v>Pauline</v>
          </cell>
          <cell r="M16">
            <v>5</v>
          </cell>
          <cell r="N16">
            <v>1</v>
          </cell>
          <cell r="O16">
            <v>-13</v>
          </cell>
        </row>
        <row r="18">
          <cell r="B18" t="str">
            <v>Michel</v>
          </cell>
          <cell r="C18">
            <v>12</v>
          </cell>
          <cell r="D18">
            <v>3</v>
          </cell>
          <cell r="E18">
            <v>2</v>
          </cell>
          <cell r="G18" t="str">
            <v>Robert</v>
          </cell>
          <cell r="H18">
            <v>5</v>
          </cell>
          <cell r="I18">
            <v>1</v>
          </cell>
          <cell r="J18">
            <v>-7</v>
          </cell>
          <cell r="L18" t="str">
            <v>André</v>
          </cell>
          <cell r="M18">
            <v>14</v>
          </cell>
          <cell r="N18">
            <v>3</v>
          </cell>
          <cell r="O18">
            <v>5</v>
          </cell>
        </row>
        <row r="19">
          <cell r="B19" t="str">
            <v>Marcel</v>
          </cell>
          <cell r="C19">
            <v>12</v>
          </cell>
          <cell r="D19">
            <v>3</v>
          </cell>
          <cell r="E19">
            <v>2</v>
          </cell>
          <cell r="G19" t="str">
            <v>Pierre</v>
          </cell>
          <cell r="H19">
            <v>5</v>
          </cell>
          <cell r="I19">
            <v>1</v>
          </cell>
          <cell r="J19">
            <v>-7</v>
          </cell>
          <cell r="L19" t="str">
            <v>Marcel</v>
          </cell>
          <cell r="M19">
            <v>14</v>
          </cell>
          <cell r="N19">
            <v>3</v>
          </cell>
          <cell r="O19">
            <v>5</v>
          </cell>
        </row>
        <row r="20">
          <cell r="B20" t="str">
            <v>Simone</v>
          </cell>
          <cell r="C20">
            <v>12</v>
          </cell>
          <cell r="D20">
            <v>3</v>
          </cell>
          <cell r="E20">
            <v>2</v>
          </cell>
          <cell r="G20" t="str">
            <v>Pauline</v>
          </cell>
          <cell r="H20">
            <v>5</v>
          </cell>
          <cell r="I20">
            <v>1</v>
          </cell>
          <cell r="J20">
            <v>-7</v>
          </cell>
          <cell r="L20" t="str">
            <v>Josiane</v>
          </cell>
          <cell r="M20">
            <v>14</v>
          </cell>
          <cell r="N20">
            <v>3</v>
          </cell>
          <cell r="O20">
            <v>5</v>
          </cell>
        </row>
        <row r="21">
          <cell r="C21" t="str">
            <v>contre</v>
          </cell>
          <cell r="H21" t="str">
            <v>contre</v>
          </cell>
          <cell r="M21" t="str">
            <v>contre</v>
          </cell>
        </row>
        <row r="22">
          <cell r="B22" t="str">
            <v>Jean</v>
          </cell>
          <cell r="C22">
            <v>10</v>
          </cell>
          <cell r="D22">
            <v>1</v>
          </cell>
          <cell r="E22">
            <v>-2</v>
          </cell>
          <cell r="G22" t="str">
            <v>André</v>
          </cell>
          <cell r="H22">
            <v>12</v>
          </cell>
          <cell r="I22">
            <v>3</v>
          </cell>
          <cell r="J22">
            <v>7</v>
          </cell>
          <cell r="L22" t="str">
            <v>Michel</v>
          </cell>
          <cell r="M22">
            <v>9</v>
          </cell>
          <cell r="N22">
            <v>1</v>
          </cell>
          <cell r="O22">
            <v>-5</v>
          </cell>
        </row>
        <row r="23">
          <cell r="B23" t="str">
            <v>Alain</v>
          </cell>
          <cell r="C23">
            <v>10</v>
          </cell>
          <cell r="D23">
            <v>1</v>
          </cell>
          <cell r="E23">
            <v>-2</v>
          </cell>
          <cell r="G23" t="str">
            <v>Marc</v>
          </cell>
          <cell r="H23">
            <v>12</v>
          </cell>
          <cell r="I23">
            <v>3</v>
          </cell>
          <cell r="J23">
            <v>7</v>
          </cell>
          <cell r="L23" t="str">
            <v>Marc</v>
          </cell>
          <cell r="M23">
            <v>9</v>
          </cell>
          <cell r="N23">
            <v>1</v>
          </cell>
          <cell r="O23">
            <v>-5</v>
          </cell>
        </row>
        <row r="24">
          <cell r="B24" t="str">
            <v>Marie</v>
          </cell>
          <cell r="C24">
            <v>10</v>
          </cell>
          <cell r="D24">
            <v>1</v>
          </cell>
          <cell r="E24">
            <v>-2</v>
          </cell>
          <cell r="G24" t="str">
            <v>Josiane</v>
          </cell>
          <cell r="H24">
            <v>12</v>
          </cell>
          <cell r="I24">
            <v>3</v>
          </cell>
          <cell r="J24">
            <v>7</v>
          </cell>
          <cell r="L24" t="str">
            <v>Maurice</v>
          </cell>
          <cell r="M24">
            <v>9</v>
          </cell>
          <cell r="N24">
            <v>1</v>
          </cell>
          <cell r="O24">
            <v>-5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C29" t="str">
            <v>contre</v>
          </cell>
          <cell r="H29" t="str">
            <v>contre</v>
          </cell>
          <cell r="M29" t="str">
            <v>contre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C37" t="str">
            <v>contre</v>
          </cell>
          <cell r="H37" t="str">
            <v>contre</v>
          </cell>
          <cell r="M37" t="str">
            <v>contre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C45" t="str">
            <v>contre</v>
          </cell>
          <cell r="H45" t="str">
            <v>contre</v>
          </cell>
          <cell r="M45" t="str">
            <v>contre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50">
          <cell r="B50" t="str">
            <v>1ère partie</v>
          </cell>
          <cell r="G50" t="str">
            <v>2ème partie</v>
          </cell>
          <cell r="L50" t="str">
            <v>3ème partie</v>
          </cell>
        </row>
        <row r="52">
          <cell r="B52" t="str">
            <v>Joueur</v>
          </cell>
          <cell r="C52" t="str">
            <v>Score</v>
          </cell>
          <cell r="D52" t="str">
            <v>Pts</v>
          </cell>
          <cell r="E52" t="str">
            <v>GA</v>
          </cell>
          <cell r="G52" t="str">
            <v>Joueur</v>
          </cell>
          <cell r="H52" t="str">
            <v>Score</v>
          </cell>
          <cell r="I52" t="str">
            <v>Pts</v>
          </cell>
          <cell r="J52" t="str">
            <v>GA</v>
          </cell>
          <cell r="L52" t="str">
            <v>Joueur</v>
          </cell>
          <cell r="M52" t="str">
            <v>Score</v>
          </cell>
          <cell r="N52" t="str">
            <v>Pts</v>
          </cell>
          <cell r="O52" t="str">
            <v>GA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C57" t="str">
            <v>contre</v>
          </cell>
          <cell r="H57" t="str">
            <v>contre</v>
          </cell>
          <cell r="M57" t="str">
            <v>contre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C65" t="str">
            <v>contre</v>
          </cell>
          <cell r="H65" t="str">
            <v>contre</v>
          </cell>
          <cell r="M65" t="str">
            <v>contre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C73" t="str">
            <v>contre</v>
          </cell>
          <cell r="H73" t="str">
            <v>contre</v>
          </cell>
          <cell r="M73" t="str">
            <v>contre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C81" t="str">
            <v>contre</v>
          </cell>
          <cell r="H81" t="str">
            <v>contre</v>
          </cell>
          <cell r="M81" t="str">
            <v>contre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C89" t="str">
            <v>contre</v>
          </cell>
          <cell r="H89" t="str">
            <v>contre</v>
          </cell>
          <cell r="M89" t="str">
            <v>contre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B94" t="str">
            <v>1ère partie</v>
          </cell>
          <cell r="G94" t="str">
            <v>2ème partie</v>
          </cell>
          <cell r="L94" t="str">
            <v>3ème partie</v>
          </cell>
        </row>
        <row r="96">
          <cell r="B96" t="str">
            <v>Joueur</v>
          </cell>
          <cell r="C96" t="str">
            <v>Score</v>
          </cell>
          <cell r="D96" t="str">
            <v>Pts</v>
          </cell>
          <cell r="E96" t="str">
            <v>GA</v>
          </cell>
          <cell r="G96" t="str">
            <v>Joueur</v>
          </cell>
          <cell r="H96" t="str">
            <v>Score</v>
          </cell>
          <cell r="I96" t="str">
            <v>Pts</v>
          </cell>
          <cell r="J96" t="str">
            <v>GA</v>
          </cell>
          <cell r="L96" t="str">
            <v>Joueur</v>
          </cell>
          <cell r="M96" t="str">
            <v>Score</v>
          </cell>
          <cell r="N96" t="str">
            <v>Pts</v>
          </cell>
          <cell r="O96" t="str">
            <v>GA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C101" t="str">
            <v>contre</v>
          </cell>
          <cell r="H101" t="str">
            <v>contre</v>
          </cell>
          <cell r="M101" t="str">
            <v>contre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C109" t="str">
            <v>contre</v>
          </cell>
          <cell r="H109" t="str">
            <v>contre</v>
          </cell>
          <cell r="M109" t="str">
            <v>contre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C117" t="str">
            <v>contre</v>
          </cell>
          <cell r="H117" t="str">
            <v>contre</v>
          </cell>
          <cell r="M117" t="str">
            <v>contre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C125" t="str">
            <v>contre</v>
          </cell>
          <cell r="H125" t="str">
            <v>contre</v>
          </cell>
          <cell r="M125" t="str">
            <v>contre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C133" t="str">
            <v>contre</v>
          </cell>
          <cell r="H133" t="str">
            <v>contre</v>
          </cell>
          <cell r="M133" t="str">
            <v>contre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workbookViewId="0">
      <selection activeCell="J24" sqref="J24"/>
    </sheetView>
  </sheetViews>
  <sheetFormatPr baseColWidth="10" defaultColWidth="11.44140625" defaultRowHeight="18" x14ac:dyDescent="0.35"/>
  <cols>
    <col min="1" max="1" width="31.6640625" style="60" customWidth="1"/>
    <col min="2" max="16384" width="11.44140625" style="60"/>
  </cols>
  <sheetData>
    <row r="1" spans="1:5" x14ac:dyDescent="0.35">
      <c r="C1" s="327" t="s">
        <v>24</v>
      </c>
    </row>
    <row r="2" spans="1:5" ht="18.600000000000001" thickBot="1" x14ac:dyDescent="0.4"/>
    <row r="3" spans="1:5" ht="18.600000000000001" thickBot="1" x14ac:dyDescent="0.4">
      <c r="A3" s="328" t="s">
        <v>25</v>
      </c>
      <c r="B3" s="60" t="s">
        <v>123</v>
      </c>
    </row>
    <row r="4" spans="1:5" ht="18.600000000000001" thickBot="1" x14ac:dyDescent="0.4"/>
    <row r="5" spans="1:5" ht="18.600000000000001" thickBot="1" x14ac:dyDescent="0.4">
      <c r="A5" s="328" t="s">
        <v>56</v>
      </c>
      <c r="B5" s="60" t="s">
        <v>124</v>
      </c>
    </row>
    <row r="6" spans="1:5" x14ac:dyDescent="0.35">
      <c r="B6" s="60" t="s">
        <v>125</v>
      </c>
    </row>
    <row r="8" spans="1:5" x14ac:dyDescent="0.35">
      <c r="B8" s="60" t="s">
        <v>57</v>
      </c>
    </row>
    <row r="9" spans="1:5" x14ac:dyDescent="0.35">
      <c r="C9" s="60" t="s">
        <v>59</v>
      </c>
    </row>
    <row r="10" spans="1:5" x14ac:dyDescent="0.35">
      <c r="E10" s="60" t="s">
        <v>130</v>
      </c>
    </row>
    <row r="11" spans="1:5" x14ac:dyDescent="0.35">
      <c r="E11" s="60" t="s">
        <v>58</v>
      </c>
    </row>
    <row r="13" spans="1:5" x14ac:dyDescent="0.35">
      <c r="B13" s="60" t="s">
        <v>122</v>
      </c>
    </row>
    <row r="15" spans="1:5" x14ac:dyDescent="0.35">
      <c r="B15" s="60" t="s">
        <v>126</v>
      </c>
    </row>
    <row r="16" spans="1:5" ht="18.600000000000001" thickBot="1" x14ac:dyDescent="0.4"/>
    <row r="17" spans="1:2" ht="18.600000000000001" thickBot="1" x14ac:dyDescent="0.4">
      <c r="A17" s="328" t="s">
        <v>128</v>
      </c>
      <c r="B17" s="60" t="s">
        <v>127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K22"/>
  <sheetViews>
    <sheetView zoomScale="90" zoomScaleNormal="90" workbookViewId="0">
      <selection activeCell="G9" sqref="G9"/>
    </sheetView>
  </sheetViews>
  <sheetFormatPr baseColWidth="10" defaultColWidth="11.44140625" defaultRowHeight="15.6" x14ac:dyDescent="0.3"/>
  <cols>
    <col min="1" max="1" width="11.44140625" style="6"/>
    <col min="2" max="2" width="32.5546875" style="4" customWidth="1"/>
    <col min="3" max="3" width="7" style="6" customWidth="1"/>
    <col min="4" max="4" width="23" style="4" customWidth="1"/>
    <col min="5" max="5" width="7.44140625" style="6" customWidth="1"/>
    <col min="6" max="6" width="27.33203125" style="6" customWidth="1"/>
    <col min="7" max="7" width="41.33203125" style="4" customWidth="1"/>
    <col min="8" max="8" width="11.44140625" style="4"/>
    <col min="9" max="9" width="11.44140625" style="6"/>
    <col min="10" max="16384" width="11.44140625" style="4"/>
  </cols>
  <sheetData>
    <row r="1" spans="1:11" s="192" customFormat="1" ht="33" customHeight="1" x14ac:dyDescent="0.25">
      <c r="A1" s="191"/>
      <c r="B1" s="192" t="s">
        <v>43</v>
      </c>
      <c r="C1" s="191"/>
      <c r="E1" s="191"/>
      <c r="F1" s="191"/>
      <c r="I1" s="1"/>
    </row>
    <row r="2" spans="1:11" s="1" customFormat="1" ht="18" x14ac:dyDescent="0.25">
      <c r="F2" s="226"/>
    </row>
    <row r="3" spans="1:11" x14ac:dyDescent="0.3">
      <c r="A3" s="1">
        <v>1</v>
      </c>
      <c r="B3" s="282" t="s">
        <v>66</v>
      </c>
      <c r="C3" s="6">
        <v>19</v>
      </c>
      <c r="D3" s="298" t="s">
        <v>84</v>
      </c>
      <c r="E3" s="6">
        <v>37</v>
      </c>
      <c r="F3" s="6" t="s">
        <v>102</v>
      </c>
    </row>
    <row r="4" spans="1:11" x14ac:dyDescent="0.3">
      <c r="A4" s="1">
        <v>2</v>
      </c>
      <c r="B4" s="282" t="s">
        <v>67</v>
      </c>
      <c r="C4" s="6">
        <v>20</v>
      </c>
      <c r="D4" s="298" t="s">
        <v>85</v>
      </c>
      <c r="E4" s="6">
        <v>38</v>
      </c>
      <c r="F4" s="6" t="s">
        <v>103</v>
      </c>
    </row>
    <row r="5" spans="1:11" x14ac:dyDescent="0.3">
      <c r="A5" s="1">
        <v>3</v>
      </c>
      <c r="B5" s="282" t="s">
        <v>68</v>
      </c>
      <c r="C5" s="6">
        <v>21</v>
      </c>
      <c r="D5" s="298" t="s">
        <v>86</v>
      </c>
      <c r="E5" s="6">
        <v>39</v>
      </c>
      <c r="F5" s="6" t="s">
        <v>104</v>
      </c>
    </row>
    <row r="6" spans="1:11" x14ac:dyDescent="0.3">
      <c r="A6" s="1">
        <v>4</v>
      </c>
      <c r="B6" s="282" t="s">
        <v>69</v>
      </c>
      <c r="C6" s="6">
        <v>22</v>
      </c>
      <c r="D6" s="298" t="s">
        <v>87</v>
      </c>
      <c r="E6" s="6">
        <v>40</v>
      </c>
      <c r="F6" s="6" t="s">
        <v>105</v>
      </c>
      <c r="J6" s="276"/>
      <c r="K6" s="276"/>
    </row>
    <row r="7" spans="1:11" x14ac:dyDescent="0.3">
      <c r="A7" s="1">
        <v>5</v>
      </c>
      <c r="B7" s="282" t="s">
        <v>70</v>
      </c>
      <c r="C7" s="6">
        <v>23</v>
      </c>
      <c r="D7" s="298" t="s">
        <v>88</v>
      </c>
      <c r="E7" s="6">
        <v>41</v>
      </c>
      <c r="F7" s="6" t="s">
        <v>106</v>
      </c>
      <c r="J7" s="276"/>
      <c r="K7" s="276"/>
    </row>
    <row r="8" spans="1:11" x14ac:dyDescent="0.3">
      <c r="A8" s="1">
        <v>6</v>
      </c>
      <c r="B8" s="282" t="s">
        <v>71</v>
      </c>
      <c r="C8" s="6">
        <v>24</v>
      </c>
      <c r="D8" s="298" t="s">
        <v>89</v>
      </c>
      <c r="E8" s="6">
        <v>42</v>
      </c>
      <c r="F8" s="6" t="s">
        <v>107</v>
      </c>
      <c r="J8" s="276"/>
      <c r="K8" s="276"/>
    </row>
    <row r="9" spans="1:11" x14ac:dyDescent="0.3">
      <c r="A9" s="1">
        <v>7</v>
      </c>
      <c r="B9" s="282" t="s">
        <v>72</v>
      </c>
      <c r="C9" s="6">
        <v>25</v>
      </c>
      <c r="D9" s="298" t="s">
        <v>90</v>
      </c>
      <c r="E9" s="6">
        <v>43</v>
      </c>
      <c r="F9" s="6" t="s">
        <v>108</v>
      </c>
      <c r="J9" s="276"/>
      <c r="K9" s="276"/>
    </row>
    <row r="10" spans="1:11" x14ac:dyDescent="0.3">
      <c r="A10" s="1">
        <v>8</v>
      </c>
      <c r="B10" s="282" t="s">
        <v>73</v>
      </c>
      <c r="C10" s="6">
        <v>26</v>
      </c>
      <c r="D10" s="298" t="s">
        <v>91</v>
      </c>
      <c r="E10" s="6">
        <v>44</v>
      </c>
      <c r="F10" s="6" t="s">
        <v>109</v>
      </c>
      <c r="J10" s="276"/>
      <c r="K10" s="276"/>
    </row>
    <row r="11" spans="1:11" x14ac:dyDescent="0.3">
      <c r="A11" s="1">
        <v>9</v>
      </c>
      <c r="B11" s="282" t="s">
        <v>74</v>
      </c>
      <c r="C11" s="6">
        <v>27</v>
      </c>
      <c r="D11" s="298" t="s">
        <v>92</v>
      </c>
      <c r="E11" s="6">
        <v>45</v>
      </c>
      <c r="F11" s="6" t="s">
        <v>110</v>
      </c>
      <c r="J11" s="276"/>
      <c r="K11" s="276"/>
    </row>
    <row r="12" spans="1:11" x14ac:dyDescent="0.3">
      <c r="A12" s="1">
        <v>10</v>
      </c>
      <c r="B12" s="282" t="s">
        <v>75</v>
      </c>
      <c r="C12" s="6">
        <v>28</v>
      </c>
      <c r="D12" s="298" t="s">
        <v>93</v>
      </c>
      <c r="E12" s="6">
        <v>46</v>
      </c>
      <c r="F12" s="6" t="s">
        <v>111</v>
      </c>
    </row>
    <row r="13" spans="1:11" x14ac:dyDescent="0.3">
      <c r="A13" s="1">
        <v>11</v>
      </c>
      <c r="B13" s="282" t="s">
        <v>76</v>
      </c>
      <c r="C13" s="6">
        <v>29</v>
      </c>
      <c r="D13" s="298" t="s">
        <v>94</v>
      </c>
      <c r="E13" s="6">
        <v>47</v>
      </c>
      <c r="F13" s="6" t="s">
        <v>112</v>
      </c>
    </row>
    <row r="14" spans="1:11" x14ac:dyDescent="0.3">
      <c r="A14" s="1">
        <v>12</v>
      </c>
      <c r="B14" s="282" t="s">
        <v>77</v>
      </c>
      <c r="C14" s="6">
        <v>30</v>
      </c>
      <c r="D14" s="298" t="s">
        <v>95</v>
      </c>
      <c r="E14" s="6">
        <v>48</v>
      </c>
      <c r="F14" s="6" t="s">
        <v>113</v>
      </c>
    </row>
    <row r="15" spans="1:11" x14ac:dyDescent="0.3">
      <c r="A15" s="1">
        <v>13</v>
      </c>
      <c r="B15" s="282" t="s">
        <v>78</v>
      </c>
      <c r="C15" s="6">
        <v>31</v>
      </c>
      <c r="D15" s="298" t="s">
        <v>96</v>
      </c>
      <c r="E15" s="6">
        <v>49</v>
      </c>
      <c r="F15" s="6" t="s">
        <v>114</v>
      </c>
    </row>
    <row r="16" spans="1:11" x14ac:dyDescent="0.3">
      <c r="A16" s="1">
        <v>14</v>
      </c>
      <c r="B16" s="282" t="s">
        <v>79</v>
      </c>
      <c r="C16" s="6">
        <v>32</v>
      </c>
      <c r="D16" s="298" t="s">
        <v>97</v>
      </c>
      <c r="E16" s="6">
        <v>50</v>
      </c>
      <c r="F16" s="6" t="s">
        <v>115</v>
      </c>
    </row>
    <row r="17" spans="1:9" x14ac:dyDescent="0.3">
      <c r="A17" s="1">
        <v>15</v>
      </c>
      <c r="B17" s="282" t="s">
        <v>80</v>
      </c>
      <c r="C17" s="6">
        <v>33</v>
      </c>
      <c r="D17" s="298" t="s">
        <v>98</v>
      </c>
      <c r="E17" s="6">
        <v>51</v>
      </c>
      <c r="F17" s="6" t="s">
        <v>116</v>
      </c>
    </row>
    <row r="18" spans="1:9" x14ac:dyDescent="0.3">
      <c r="A18" s="1">
        <v>16</v>
      </c>
      <c r="B18" s="282" t="s">
        <v>81</v>
      </c>
      <c r="C18" s="6">
        <v>34</v>
      </c>
      <c r="D18" s="298" t="s">
        <v>99</v>
      </c>
      <c r="E18" s="6">
        <v>52</v>
      </c>
      <c r="F18" s="6" t="s">
        <v>117</v>
      </c>
    </row>
    <row r="19" spans="1:9" x14ac:dyDescent="0.3">
      <c r="A19" s="1">
        <v>17</v>
      </c>
      <c r="B19" s="282" t="s">
        <v>82</v>
      </c>
      <c r="C19" s="6">
        <v>35</v>
      </c>
      <c r="D19" s="298" t="s">
        <v>100</v>
      </c>
      <c r="E19" s="6">
        <v>53</v>
      </c>
      <c r="F19" s="6" t="s">
        <v>118</v>
      </c>
    </row>
    <row r="20" spans="1:9" ht="16.2" thickBot="1" x14ac:dyDescent="0.35">
      <c r="A20" s="1">
        <v>18</v>
      </c>
      <c r="B20" s="282" t="s">
        <v>83</v>
      </c>
      <c r="C20" s="6">
        <v>36</v>
      </c>
      <c r="D20" s="298" t="s">
        <v>101</v>
      </c>
      <c r="E20" s="6">
        <v>54</v>
      </c>
      <c r="F20" s="6" t="s">
        <v>119</v>
      </c>
    </row>
    <row r="21" spans="1:9" ht="14.25" customHeight="1" thickBot="1" x14ac:dyDescent="0.35">
      <c r="B21" s="193">
        <f t="array" ref="B21">SUM(N(ISTEXT(B3:B20)))</f>
        <v>18</v>
      </c>
      <c r="D21" s="193">
        <f t="array" ref="D21">SUM(N(ISTEXT(D3:D20)))</f>
        <v>18</v>
      </c>
      <c r="F21" s="193">
        <f t="array" ref="F21">SUM(N(ISTEXT(F3:F20)))</f>
        <v>18</v>
      </c>
      <c r="H21" s="6"/>
      <c r="I21" s="4"/>
    </row>
    <row r="22" spans="1:9" ht="16.2" thickBot="1" x14ac:dyDescent="0.35">
      <c r="D22" s="194">
        <f>SUM(B21+D21+F21)</f>
        <v>54</v>
      </c>
    </row>
  </sheetData>
  <sheetProtection formatCells="0" formatColumns="0" formatRows="0" insertColumns="0" insertRows="0" insertHyperlinks="0" deleteColumns="0" deleteRows="0" sort="0"/>
  <sortState xmlns:xlrd2="http://schemas.microsoft.com/office/spreadsheetml/2017/richdata2" ref="H4:H58">
    <sortCondition ref="H3"/>
  </sortState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tabColor rgb="FFFF0000"/>
  </sheetPr>
  <dimension ref="A1:BO87"/>
  <sheetViews>
    <sheetView tabSelected="1" zoomScale="90" zoomScaleNormal="90" workbookViewId="0">
      <selection activeCell="F10" sqref="F10"/>
    </sheetView>
  </sheetViews>
  <sheetFormatPr baseColWidth="10" defaultColWidth="11.44140625" defaultRowHeight="15.6" x14ac:dyDescent="0.3"/>
  <cols>
    <col min="1" max="1" width="7.88671875" style="20" customWidth="1"/>
    <col min="2" max="2" width="24.88671875" style="22" customWidth="1"/>
    <col min="3" max="3" width="7.109375" style="22" customWidth="1"/>
    <col min="4" max="4" width="25.33203125" style="20" customWidth="1"/>
    <col min="5" max="5" width="6.5546875" style="20" customWidth="1"/>
    <col min="6" max="6" width="23.6640625" style="20" customWidth="1"/>
    <col min="7" max="7" width="5.5546875" style="20" customWidth="1"/>
    <col min="8" max="8" width="5" style="18" customWidth="1"/>
    <col min="9" max="9" width="5.109375" style="20" customWidth="1"/>
    <col min="10" max="10" width="14" style="20" customWidth="1"/>
    <col min="11" max="11" width="14.109375" style="20" customWidth="1"/>
    <col min="12" max="12" width="11.6640625" style="20" customWidth="1"/>
    <col min="13" max="13" width="5.6640625" style="69" customWidth="1"/>
    <col min="14" max="14" width="7.44140625" style="69" customWidth="1"/>
    <col min="15" max="15" width="16.5546875" style="69" customWidth="1"/>
    <col min="16" max="16" width="16.88671875" style="18" customWidth="1"/>
    <col min="17" max="17" width="16.109375" style="20" customWidth="1"/>
    <col min="18" max="18" width="17" style="22" customWidth="1"/>
    <col min="19" max="19" width="15.44140625" style="22" customWidth="1"/>
    <col min="20" max="20" width="15" style="22" customWidth="1"/>
    <col min="21" max="21" width="16.88671875" style="22" customWidth="1"/>
    <col min="22" max="22" width="16.6640625" style="18" customWidth="1"/>
    <col min="23" max="23" width="14.88671875" style="18" customWidth="1"/>
    <col min="24" max="24" width="6.44140625" style="18" customWidth="1"/>
    <col min="25" max="25" width="7.88671875" style="18" customWidth="1"/>
    <col min="26" max="26" width="21.6640625" style="18" customWidth="1"/>
    <col min="27" max="27" width="7.109375" style="18" customWidth="1"/>
    <col min="28" max="28" width="6.44140625" style="18" customWidth="1"/>
    <col min="29" max="29" width="5.44140625" style="18" customWidth="1"/>
    <col min="30" max="30" width="3.44140625" style="22" customWidth="1"/>
    <col min="31" max="31" width="22.44140625" style="22" customWidth="1"/>
    <col min="32" max="32" width="8.109375" style="22" customWidth="1"/>
    <col min="33" max="33" width="6.44140625" style="22" customWidth="1"/>
    <col min="34" max="34" width="5.88671875" style="22" customWidth="1"/>
    <col min="35" max="35" width="3.109375" style="22" customWidth="1"/>
    <col min="36" max="36" width="22.88671875" style="22" customWidth="1"/>
    <col min="37" max="37" width="7.109375" style="22" customWidth="1"/>
    <col min="38" max="39" width="6.5546875" style="22" customWidth="1"/>
    <col min="40" max="40" width="8.44140625" style="22" customWidth="1"/>
    <col min="41" max="41" width="11.44140625" style="22" customWidth="1"/>
    <col min="42" max="42" width="24.109375" style="22" customWidth="1"/>
    <col min="43" max="43" width="8.109375" style="22" customWidth="1"/>
    <col min="44" max="44" width="7.33203125" style="22" customWidth="1"/>
    <col min="45" max="45" width="8.109375" style="22" customWidth="1"/>
    <col min="46" max="46" width="6.6640625" style="22" customWidth="1"/>
    <col min="47" max="47" width="7.33203125" style="22" customWidth="1"/>
    <col min="48" max="48" width="7.109375" style="22" customWidth="1"/>
    <col min="49" max="49" width="7.6640625" style="22" customWidth="1"/>
    <col min="50" max="50" width="6.6640625" style="22" customWidth="1"/>
    <col min="51" max="51" width="7.109375" style="22" customWidth="1"/>
    <col min="52" max="52" width="7.44140625" style="22" customWidth="1"/>
    <col min="53" max="53" width="7" style="22" customWidth="1"/>
    <col min="54" max="54" width="8.44140625" style="22" customWidth="1"/>
    <col min="55" max="55" width="7" style="22" customWidth="1"/>
    <col min="56" max="56" width="8" style="22" customWidth="1"/>
    <col min="57" max="57" width="14.88671875" style="22" hidden="1" customWidth="1"/>
    <col min="58" max="58" width="9.44140625" style="22" hidden="1" customWidth="1"/>
    <col min="59" max="59" width="8.33203125" style="22" customWidth="1"/>
    <col min="60" max="60" width="29.33203125" style="22" customWidth="1"/>
    <col min="61" max="63" width="11.44140625" style="22"/>
    <col min="64" max="64" width="9.88671875" style="22" customWidth="1"/>
    <col min="65" max="65" width="11.44140625" style="22"/>
    <col min="66" max="66" width="0" style="22" hidden="1" customWidth="1"/>
    <col min="67" max="16384" width="11.44140625" style="22"/>
  </cols>
  <sheetData>
    <row r="1" spans="1:67" ht="24" customHeight="1" thickBot="1" x14ac:dyDescent="0.45">
      <c r="B1" s="356" t="s">
        <v>36</v>
      </c>
      <c r="C1" s="356"/>
      <c r="D1" s="356"/>
      <c r="E1" s="112"/>
      <c r="F1" s="112"/>
      <c r="G1" s="112"/>
      <c r="H1" s="112"/>
      <c r="I1" s="112"/>
      <c r="J1" s="69"/>
      <c r="K1" s="69"/>
      <c r="L1" s="113" t="s">
        <v>37</v>
      </c>
      <c r="N1" s="379" t="s">
        <v>121</v>
      </c>
      <c r="O1" s="380"/>
      <c r="P1" s="381"/>
      <c r="Q1"/>
      <c r="R1" s="69"/>
      <c r="S1" s="69"/>
      <c r="T1" s="112"/>
      <c r="U1"/>
      <c r="V1"/>
      <c r="W1"/>
      <c r="X1" s="69"/>
      <c r="Y1" s="114"/>
      <c r="Z1" s="69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52"/>
      <c r="BC1" s="352"/>
      <c r="BD1" s="352"/>
      <c r="BE1" s="352"/>
      <c r="BF1" s="352"/>
      <c r="BG1" s="352"/>
      <c r="BH1" s="352"/>
    </row>
    <row r="2" spans="1:67" ht="18" customHeight="1" x14ac:dyDescent="0.35">
      <c r="D2" s="65"/>
      <c r="E2" s="65"/>
      <c r="V2" s="20"/>
      <c r="Y2" s="34"/>
      <c r="AA2" s="36"/>
      <c r="AB2" s="36"/>
      <c r="AC2" s="36" t="s">
        <v>8</v>
      </c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18"/>
      <c r="AO2" s="18"/>
      <c r="AP2" s="18"/>
      <c r="AQ2" s="315"/>
      <c r="AR2" s="315"/>
      <c r="AS2" s="315"/>
      <c r="AT2" s="315"/>
      <c r="AU2" s="315"/>
      <c r="AV2" s="315"/>
      <c r="AW2" s="315"/>
      <c r="AX2" s="315"/>
      <c r="AY2" s="315"/>
      <c r="AZ2" s="315" t="s">
        <v>41</v>
      </c>
      <c r="BA2" s="315"/>
      <c r="BB2" s="315"/>
      <c r="BC2" s="315"/>
      <c r="BD2" s="315"/>
      <c r="BE2" s="315"/>
      <c r="BF2" s="315"/>
      <c r="BG2" s="315"/>
      <c r="BH2" s="315"/>
      <c r="BI2" s="18"/>
    </row>
    <row r="3" spans="1:67" ht="18" customHeight="1" x14ac:dyDescent="0.4">
      <c r="A3" s="114"/>
      <c r="B3" s="240" t="s">
        <v>63</v>
      </c>
      <c r="D3" s="239" t="s">
        <v>48</v>
      </c>
      <c r="E3" s="65"/>
      <c r="Q3" s="378" t="s">
        <v>38</v>
      </c>
      <c r="R3" s="378"/>
      <c r="S3" s="113"/>
      <c r="U3" s="114"/>
      <c r="V3" s="114"/>
      <c r="W3" s="114"/>
      <c r="X3" s="114"/>
      <c r="Y3" s="20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18"/>
      <c r="BK3" s="385">
        <f>+P5</f>
        <v>48</v>
      </c>
    </row>
    <row r="4" spans="1:67" ht="18" customHeight="1" thickBot="1" x14ac:dyDescent="0.4">
      <c r="A4" s="114"/>
      <c r="B4" s="114"/>
      <c r="D4" s="65"/>
      <c r="E4" s="65"/>
      <c r="R4" s="131"/>
      <c r="S4" s="131"/>
      <c r="T4" s="69"/>
      <c r="U4" s="69"/>
      <c r="V4" s="114"/>
      <c r="W4" s="114"/>
      <c r="X4" s="69"/>
      <c r="Y4" s="35" t="s">
        <v>22</v>
      </c>
      <c r="Z4" s="36"/>
      <c r="AA4" s="36"/>
      <c r="AB4" s="37"/>
      <c r="AC4" s="34"/>
      <c r="AD4" s="37"/>
      <c r="AE4" s="37"/>
      <c r="AF4" s="36"/>
      <c r="AG4" s="36"/>
      <c r="AH4" s="36"/>
      <c r="AI4" s="36"/>
      <c r="AJ4" s="36"/>
      <c r="AK4" s="36"/>
      <c r="AL4" s="36"/>
      <c r="AM4" s="36"/>
      <c r="AN4" s="18"/>
      <c r="AO4" s="18"/>
      <c r="AP4" s="18"/>
      <c r="AQ4" s="353" t="s">
        <v>64</v>
      </c>
      <c r="AR4" s="315"/>
      <c r="AS4" s="315"/>
      <c r="AT4" s="315"/>
      <c r="AU4" s="315"/>
      <c r="AV4" s="315"/>
      <c r="AW4" s="315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52"/>
      <c r="BK4" s="385"/>
    </row>
    <row r="5" spans="1:67" ht="21.75" customHeight="1" thickBot="1" x14ac:dyDescent="0.4">
      <c r="A5" s="201">
        <f>+P5</f>
        <v>48</v>
      </c>
      <c r="B5" s="360" t="s">
        <v>120</v>
      </c>
      <c r="C5" s="361"/>
      <c r="D5" s="362"/>
      <c r="E5" s="69"/>
      <c r="F5" s="69"/>
      <c r="G5" s="69"/>
      <c r="H5" s="69"/>
      <c r="I5" s="69"/>
      <c r="J5" s="69"/>
      <c r="K5" s="344">
        <f>+P5</f>
        <v>48</v>
      </c>
      <c r="L5" s="69"/>
      <c r="P5" s="387">
        <v>48</v>
      </c>
      <c r="Q5" s="69"/>
      <c r="R5" s="374">
        <f>IF(P5=8,2,IF($P$5=9,2,IF($P$5=10,2,IF($P$5=11,2,IF($P$5=12,2,IF($P$5=13,3,IF(P5=14,3,IF($P$5=15,3,IF(P5=16,3,IF($P$5=17,3,IF(P5=18,3,IF($P$5=19,4,IF(P5=20,4,IF($P$5=21,4,IF(P5=22,4,IF($P$5=23,4,IF(P5=24,4,IF($P$5=25,5,IF(P5=26,5,IF($P$5=27,5,IF(P5=28,5,IF($P$5=29,5,IF(P5=30,5,IF($P$5=31,6,IF(P5=32,6,IF($P$5=33,6,IF($P$5=34,6,IF($P$5=35,6,IF($P$5=36,6,IF($P$5=37,7,IF($P$5=38,7,IF($P$5=39,7,IF($P$5=40,7,IF($P$5=41,7,IF($P$5=42,7,IF($P$5=43,8,IF($P$5=44,8,IF($P$5=45,8,IF($P$5=46,8,IF($P$5=47,8,IF($P$5=48,8,IF($P$5=49,9,IF($P$5=50,9,IF($P$5=51,9,IF($P$5=52,9,IF($P$5=53,9,IF($P$5=54,9,0)))))))))))))))))))))))))))))))))))))))))))))))</f>
        <v>8</v>
      </c>
      <c r="S5" s="372" t="s">
        <v>39</v>
      </c>
      <c r="U5" s="18"/>
      <c r="W5" s="69"/>
      <c r="X5" s="20"/>
      <c r="AD5" s="36" t="s">
        <v>23</v>
      </c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52"/>
      <c r="BH5" s="352"/>
    </row>
    <row r="6" spans="1:67" s="40" customFormat="1" ht="18" customHeight="1" thickBot="1" x14ac:dyDescent="0.35">
      <c r="A6" s="69"/>
      <c r="B6" s="69"/>
      <c r="C6" s="69"/>
      <c r="D6" s="69"/>
      <c r="E6" s="69"/>
      <c r="F6" s="69"/>
      <c r="G6" s="69"/>
      <c r="H6" s="69"/>
      <c r="I6" s="69"/>
      <c r="J6" s="69"/>
      <c r="K6" s="343"/>
      <c r="L6" s="69"/>
      <c r="M6" s="69"/>
      <c r="N6" s="69"/>
      <c r="O6" s="69"/>
      <c r="P6" s="388"/>
      <c r="Q6" s="69"/>
      <c r="R6" s="375"/>
      <c r="S6" s="373"/>
      <c r="U6" s="345">
        <v>45</v>
      </c>
      <c r="V6" s="346">
        <v>50</v>
      </c>
      <c r="W6" s="69"/>
      <c r="X6" s="20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54"/>
      <c r="BH6" s="354"/>
    </row>
    <row r="7" spans="1:67" s="69" customFormat="1" ht="21" customHeight="1" thickTop="1" thickBot="1" x14ac:dyDescent="0.3">
      <c r="A7"/>
      <c r="B7"/>
      <c r="C7"/>
      <c r="D7" s="376" t="s">
        <v>60</v>
      </c>
      <c r="E7" s="37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 s="347" t="s">
        <v>131</v>
      </c>
      <c r="W7"/>
      <c r="Y7" s="20"/>
      <c r="Z7" s="363" t="s">
        <v>1</v>
      </c>
      <c r="AA7" s="364"/>
      <c r="AB7" s="364"/>
      <c r="AC7" s="365"/>
      <c r="AD7" s="20"/>
      <c r="AE7" s="366" t="s">
        <v>2</v>
      </c>
      <c r="AF7" s="367"/>
      <c r="AG7" s="367"/>
      <c r="AH7" s="368"/>
      <c r="AI7" s="20"/>
      <c r="AJ7" s="369" t="s">
        <v>3</v>
      </c>
      <c r="AK7" s="370"/>
      <c r="AL7" s="370"/>
      <c r="AM7" s="371"/>
      <c r="AO7" s="20"/>
      <c r="AP7" s="316" t="s">
        <v>0</v>
      </c>
      <c r="AQ7" s="357" t="s">
        <v>1</v>
      </c>
      <c r="AR7" s="358"/>
      <c r="AS7" s="359"/>
      <c r="AT7" s="403" t="s">
        <v>2</v>
      </c>
      <c r="AU7" s="404"/>
      <c r="AV7" s="405"/>
      <c r="AW7" s="406" t="s">
        <v>3</v>
      </c>
      <c r="AX7" s="407"/>
      <c r="AY7" s="408"/>
      <c r="AZ7" s="398" t="s">
        <v>7</v>
      </c>
      <c r="BA7" s="399"/>
      <c r="BB7" s="400"/>
      <c r="BC7" s="268"/>
      <c r="BD7" s="66"/>
      <c r="BE7" s="20"/>
      <c r="BF7" s="20"/>
      <c r="BG7" s="269"/>
      <c r="BH7" s="398" t="s">
        <v>21</v>
      </c>
      <c r="BI7" s="399"/>
      <c r="BJ7" s="399"/>
      <c r="BK7" s="399"/>
      <c r="BL7" s="400"/>
    </row>
    <row r="8" spans="1:67" s="164" customFormat="1" ht="24.75" customHeight="1" thickTop="1" thickBot="1" x14ac:dyDescent="0.45">
      <c r="A8" s="163"/>
      <c r="B8"/>
      <c r="C8"/>
      <c r="D8" s="389" t="s">
        <v>61</v>
      </c>
      <c r="E8" s="390"/>
      <c r="F8"/>
      <c r="H8" s="109"/>
      <c r="N8" s="163"/>
      <c r="O8" s="409" t="s">
        <v>9</v>
      </c>
      <c r="P8" s="410"/>
      <c r="Q8" s="410"/>
      <c r="R8" s="410"/>
      <c r="S8" s="410"/>
      <c r="T8" s="410"/>
      <c r="U8" s="410"/>
      <c r="V8" s="410"/>
      <c r="W8" s="411"/>
      <c r="X8" s="109"/>
      <c r="Y8" s="20"/>
      <c r="Z8" s="19"/>
      <c r="AA8" s="19"/>
      <c r="AB8" s="19"/>
      <c r="AC8" s="19"/>
      <c r="AD8" s="20"/>
      <c r="AE8" s="19"/>
      <c r="AF8" s="19"/>
      <c r="AG8" s="19"/>
      <c r="AH8" s="18"/>
      <c r="AI8" s="19"/>
      <c r="AJ8" s="19"/>
      <c r="AK8" s="20"/>
      <c r="AL8" s="20"/>
      <c r="AM8" s="19"/>
      <c r="AN8" s="109"/>
      <c r="AO8" s="20"/>
      <c r="AP8" s="87" t="s">
        <v>6</v>
      </c>
      <c r="AQ8" s="88" t="s">
        <v>10</v>
      </c>
      <c r="AR8" s="89" t="s">
        <v>11</v>
      </c>
      <c r="AS8" s="92" t="s">
        <v>12</v>
      </c>
      <c r="AT8" s="94" t="s">
        <v>10</v>
      </c>
      <c r="AU8" s="92" t="s">
        <v>11</v>
      </c>
      <c r="AV8" s="187" t="s">
        <v>12</v>
      </c>
      <c r="AW8" s="91" t="s">
        <v>10</v>
      </c>
      <c r="AX8" s="92" t="s">
        <v>11</v>
      </c>
      <c r="AY8" s="187" t="s">
        <v>12</v>
      </c>
      <c r="AZ8" s="105" t="s">
        <v>16</v>
      </c>
      <c r="BA8" s="95" t="s">
        <v>11</v>
      </c>
      <c r="BB8" s="188" t="s">
        <v>12</v>
      </c>
      <c r="BC8" s="84" t="s">
        <v>19</v>
      </c>
      <c r="BD8" s="186" t="s">
        <v>20</v>
      </c>
      <c r="BE8" s="185" t="s">
        <v>14</v>
      </c>
      <c r="BF8" s="99" t="s">
        <v>15</v>
      </c>
      <c r="BG8" s="69"/>
      <c r="BH8" s="100" t="s">
        <v>6</v>
      </c>
      <c r="BI8" s="104" t="s">
        <v>16</v>
      </c>
      <c r="BJ8" s="39" t="s">
        <v>17</v>
      </c>
      <c r="BK8" s="243" t="s">
        <v>12</v>
      </c>
      <c r="BL8" s="233" t="s">
        <v>18</v>
      </c>
      <c r="BN8" s="224" t="s">
        <v>16</v>
      </c>
      <c r="BO8" s="341" t="s">
        <v>129</v>
      </c>
    </row>
    <row r="9" spans="1:67" ht="18" customHeight="1" thickBot="1" x14ac:dyDescent="0.45">
      <c r="A9" s="109"/>
      <c r="B9" s="391" t="s">
        <v>33</v>
      </c>
      <c r="C9" s="392"/>
      <c r="D9" s="393" t="s">
        <v>34</v>
      </c>
      <c r="E9" s="392"/>
      <c r="F9" s="394" t="s">
        <v>35</v>
      </c>
      <c r="G9" s="392"/>
      <c r="I9" s="116"/>
      <c r="J9" s="395" t="s">
        <v>40</v>
      </c>
      <c r="K9" s="396"/>
      <c r="L9" s="397"/>
      <c r="M9" s="129"/>
      <c r="N9" s="66"/>
      <c r="O9" s="386" t="s">
        <v>1</v>
      </c>
      <c r="P9" s="386"/>
      <c r="Q9" s="386"/>
      <c r="R9" s="401" t="s">
        <v>2</v>
      </c>
      <c r="S9" s="402"/>
      <c r="T9" s="402"/>
      <c r="U9" s="406" t="s">
        <v>3</v>
      </c>
      <c r="V9" s="407"/>
      <c r="W9" s="408"/>
      <c r="Y9" s="31" t="s">
        <v>30</v>
      </c>
      <c r="Z9" s="21" t="s">
        <v>4</v>
      </c>
      <c r="AA9" s="21" t="s">
        <v>12</v>
      </c>
      <c r="AB9" s="21" t="s">
        <v>10</v>
      </c>
      <c r="AC9" s="21" t="s">
        <v>11</v>
      </c>
      <c r="AD9" s="19"/>
      <c r="AE9" s="21" t="s">
        <v>4</v>
      </c>
      <c r="AF9" s="21" t="s">
        <v>12</v>
      </c>
      <c r="AG9" s="21" t="s">
        <v>10</v>
      </c>
      <c r="AH9" s="21" t="s">
        <v>11</v>
      </c>
      <c r="AI9" s="19"/>
      <c r="AJ9" s="21" t="s">
        <v>4</v>
      </c>
      <c r="AK9" s="21" t="s">
        <v>12</v>
      </c>
      <c r="AL9" s="21" t="s">
        <v>10</v>
      </c>
      <c r="AM9" s="21" t="s">
        <v>11</v>
      </c>
      <c r="AN9" s="18"/>
      <c r="AO9" s="43">
        <v>1</v>
      </c>
      <c r="AP9" s="277" t="str">
        <f>+Inscrits!B3</f>
        <v>A1</v>
      </c>
      <c r="AQ9" s="246">
        <f>IF(ISNA(VLOOKUP(AP9,$Z$11:$AC$81,3,0))," ",IF(VLOOKUP(AP9,$Z$11:$AC$81,3,0)=0,"0",VLOOKUP(AP9,$Z$11:$AC$81,3,0)))</f>
        <v>1</v>
      </c>
      <c r="AR9" s="30">
        <f>IF(ISNA(VLOOKUP(AP9,$Z$11:$AC$81,4,0))," ",IF(VLOOKUP(AP9,$Z$11:$AC$81,4,0)=0,"0",VLOOKUP(AP9,$Z$11:$AC$81,4,0)))</f>
        <v>-1</v>
      </c>
      <c r="AS9" s="77">
        <f>IF(ISNA(VLOOKUP(AP9,$Z$11:$AC$81,2,0))," ",IF(VLOOKUP(AP9,$Z$11:$AC$81,2,0)=0,"0",VLOOKUP(AP9,$Z$11:$AC$81,2,0)))</f>
        <v>5</v>
      </c>
      <c r="AT9" s="74" t="str">
        <f>IF(ISNA(VLOOKUP(AP9,$AE$11:$AH$81,3,0))," ",IF(VLOOKUP(AP9,$AE$11:$AH$81,3,0)=0,"0",VLOOKUP(AP9,$AE$11:$AH$81,3,0)))</f>
        <v>0</v>
      </c>
      <c r="AU9" s="30" t="str">
        <f>IF(ISNA(VLOOKUP(AP9,$AE$11:$AH$81,4,0))," ",IF(VLOOKUP(AP9,$AE$11:$AH$81,4,0)=0,"0",VLOOKUP(AP9,$AE$11:$AH$81,4,0)))</f>
        <v>0</v>
      </c>
      <c r="AV9" s="249" t="str">
        <f>IF(ISNA(VLOOKUP(AP9,$AE$11:$AH$81,2,0))," ",IF(VLOOKUP(AP9,$AE$11:$AH$81,2,0)=0,"0",VLOOKUP(AP9,$AE$11:$AH$81,2,0)))</f>
        <v>0</v>
      </c>
      <c r="AW9" s="246" t="str">
        <f>IF(ISNA(VLOOKUP(AP9,$AJ$11:$AM$81,3,0))," ",IF(VLOOKUP(AP9,$AJ$11:$AM$81,3,0)=0,"0",VLOOKUP(AP9,$AJ$11:$AM$81,3,0)))</f>
        <v>0</v>
      </c>
      <c r="AX9" s="30" t="str">
        <f>IF(ISNA(VLOOKUP(AP9,$AJ$11:$AM$81,4,0))," ",IF(VLOOKUP(AP9,$AJ$11:$AM$81,4,0)=0,"0",VLOOKUP(AP9,$AJ$11:$AM$81,4,0)))</f>
        <v>0</v>
      </c>
      <c r="AY9" s="249" t="str">
        <f>IF(ISNA(VLOOKUP(AP9,$AJ$11:$AM$81,2,0))," ",IF(VLOOKUP(AP9,$AJ$11:$AM$81,2,0)=0,"0",VLOOKUP(AP9,$AJ$11:$AM$81,2,0)))</f>
        <v>0</v>
      </c>
      <c r="AZ9" s="246">
        <f>SUMIFS(AQ9:AW9,$AQ$8:$AW$8,"Pts",AQ9:AW9,"&lt;&gt;#N/A")</f>
        <v>1</v>
      </c>
      <c r="BA9" s="30">
        <f>SUMIFS(AQ9:AX9,$AQ$8:$AX$8,"GA",AQ9:AX9,"&lt;&gt;#N/A")</f>
        <v>-1</v>
      </c>
      <c r="BB9" s="249">
        <f>SUMIFS(AQ9:AY9,$AQ$8:$AY$8,"Score",AQ9:AY9,"&lt;&gt;#N/A")</f>
        <v>5</v>
      </c>
      <c r="BC9" s="254">
        <f>IF(BA9="","",IF(BA9&lt;0,BA9,0))</f>
        <v>-1</v>
      </c>
      <c r="BD9" s="182">
        <f>IF(BA9="","",IF(BA9&gt;0,BA9,0))</f>
        <v>0</v>
      </c>
      <c r="BE9" s="183">
        <f>IF(OR(AP9="",AZ9="",BA9="",BB9=""),"",RANK(AZ9,$AZ$9:$AZ$62)+SUM(-BA9/100)-(+BB9/10000)+COUNTIF(AP$9:AP$62,"&lt;="&amp;AP9+1)/1000000+ROW()/100000000)</f>
        <v>18.009500090000003</v>
      </c>
      <c r="BF9" s="82">
        <f>IF(AP9="","",SMALL(BE$9:BE$62,ROWS(AZ$9:AZ9)))</f>
        <v>0.89740010999999997</v>
      </c>
      <c r="BG9"/>
      <c r="BH9" s="74" t="str">
        <f>IF(OR(AP9="",AZ9=""),"",INDEX($AP$9:$AP$63,MATCH(BF9,$BE$9:BE$62,0)))</f>
        <v>A3</v>
      </c>
      <c r="BI9" s="2">
        <f t="shared" ref="BI9:BI40" si="0">IF(AP9="","",INDEX($AZ$9:$AZ$63,MATCH(BF9,$BE$9:$BE$62,0)))</f>
        <v>7</v>
      </c>
      <c r="BJ9" s="2">
        <f t="shared" ref="BJ9:BJ40" si="1">IF(AP9="","",INDEX($BA$9:$BA$63,MATCH(BF9,$BE$9:$BE$62,0)))</f>
        <v>10</v>
      </c>
      <c r="BK9" s="2">
        <f t="shared" ref="BK9:BK40" si="2">IF(AP9="","",INDEX($BB$9:$BB$63,MATCH(BF9,$BE$9:$BE$62,0)))</f>
        <v>26</v>
      </c>
      <c r="BL9" s="241">
        <f>IF(BF9="","",1)</f>
        <v>1</v>
      </c>
      <c r="BN9" s="67">
        <f>IF(BH9="","",IF(AND(BK8=BK9,BL8=BL9,BM8=BM9),BN8,$BL$9+19))</f>
        <v>20</v>
      </c>
      <c r="BO9" s="342">
        <f>IF(AND($K$5=8),8,IF(AND($K$5=9),9,IF(AND($K$5=10),10,IF(AND($K$5=11),11,IF(AND($K$5=12),12,IF(AND($K$5=13),13,IF(AND($K$5=14),14,IF(AND($K$5=15),15,IF(AND($K$5=16),16,IF(AND($K$5=17),17,IF(AND($K$5=18),18,IF(AND($K$5=19),19,IF(AND($K$5=20),20,IF(AND($K$5=21),21,IF(AND($K$5=22),22,IF(AND($K$5=23),23,IF(AND($K$5=24),24,IF(AND($K$5=25),25,IF(AND($K$5=26),26,IF(AND($K$5=27),27,IF(AND($K$5=28),28,IF(AND($K$5=29),29,IF(AND($K$5=30),30,IF(AND($K$5=31),31,IF(AND($K$5=32),32,IF(AND($K$5=33),33,IF(AND($K$5=34),34,IF(AND($K$5=35),35,IF(AND($K$5=36),36,IF(AND($K$5=37),37,IF(AND($K$5=38),38,IF(AND($K$5=39),39,IF(AND($K$5=40),40,IF(AND($K$5=41),41,IF(AND($K$5=42),42,IF(AND($K$5=43),43,IF(AND($K$5=44),44,IF(AND($K$5=45),45,IF(AND($K$5=46),46,IF(AND($K$5=47),47,IF(AND($K$5=48),48,IF(AND($K$5=49),49,IF(AND($K$5=50),50,IF(AND($K$5=51),51,IF(AND($K$5=52),52,IF(AND($K$5=53),53,IF(AND($K$5=54),54," ")))))))))))))))))))))))))))))))))))))))))))))))</f>
        <v>48</v>
      </c>
    </row>
    <row r="10" spans="1:67" ht="18" customHeight="1" thickBot="1" x14ac:dyDescent="0.45">
      <c r="A10" s="110">
        <v>1</v>
      </c>
      <c r="B10" s="329" t="s">
        <v>66</v>
      </c>
      <c r="C10" s="234">
        <f>IF($P$5&gt;7,1,0)</f>
        <v>1</v>
      </c>
      <c r="D10" s="332" t="s">
        <v>84</v>
      </c>
      <c r="E10" s="340">
        <f>IF($P$5&gt;7,1,0)</f>
        <v>1</v>
      </c>
      <c r="F10" s="19" t="s">
        <v>102</v>
      </c>
      <c r="G10" s="234">
        <f>IF($P$5&gt;7,1,0)</f>
        <v>1</v>
      </c>
      <c r="I10" s="170">
        <v>1</v>
      </c>
      <c r="J10" s="171" t="str">
        <f>IF(ISNA(MATCH(I10,$C$10:$C$27,0)),"",INDEX(B$10:$B$27,MATCH(I10,$C$10:$C$27,0)))</f>
        <v>A1</v>
      </c>
      <c r="K10" s="158" t="str">
        <f>IF(ISNA(MATCH(I10,$E$10:$E$27,0)),"",INDEX($D$10:D$27,MATCH(I10,$E$10:$E$27,0)))</f>
        <v>B1</v>
      </c>
      <c r="L10" s="159" t="str">
        <f>IF(ISNA(MATCH(I10,$G$10:$G$27,0)),"",INDEX($F$10:F$27,MATCH(I10,$G$10:$G$27,0)))</f>
        <v>C1</v>
      </c>
      <c r="M10" s="130"/>
      <c r="N10" s="67">
        <v>1</v>
      </c>
      <c r="O10" s="118" t="str">
        <f>IF($P$5&lt;55&gt;7,J10,0)</f>
        <v>A1</v>
      </c>
      <c r="P10" s="119" t="str">
        <f>IF($P$5&gt;=8,K10,0)</f>
        <v>B1</v>
      </c>
      <c r="Q10" s="120" t="str">
        <f>IF($P$5&gt;9,L10,IF($P$5=9,L10,0))</f>
        <v>C1</v>
      </c>
      <c r="R10" s="150" t="str">
        <f>IF($P$5=8,O13,IF($P$5=9,O13,IF($P$5=10,O12,IF($P$5=11,O10,IF($P$5=12,O10,IF($P$5=13,J11,IF($P$5=14,J11,IF($P$5=15,J11,IF($P$5=16,J11,IF($P$5=17,J10,IF($P$5=18,J10,IF($P$5=19,J11,IF($P$5=20,J10,IF($P$5=21,J10,IF($P$5=22,J11,IF($P$5=23,J11,IF($P$5=24,J11,IF($P$5=25,J11,IF($P$5=26,J11,IF($P$5=27,J11,IF($P$5=28,J11,IF($P$5=29,J11,IF($P$5=30,J11,IF($P$5=31,J11,IF($P$5=32,J11,IF($P$5=33,J11,IF($P$5=34,J11,IF($P$5=35,J11,IF($P$5=36,J11,IF($P$5=37,J11,IF($P$5=38,J11,IF($P$5=39,J11,IF($P$5=40,J11,IF($P$5=41,J11,IF($P$5=42,J11,IF($P$5=43,J11,IF($P$5=44,J11,IF($P$5=45,J11,IF($P$5=46,J11,IF($P$5=47,J11,IF($P$5=48,J11,IF($P$5=49,J11,IF($P$5=50,J11,IF($P$5=51,J11,IF($P$5=52,J11,IF($P$5=53,J11,IF($P$5=54,J11,0)))))))))))))))))))))))))))))))))))))))))))))))</f>
        <v>A2</v>
      </c>
      <c r="S10" s="132" t="str">
        <f>IF($P$5=8,P12,IF($P$5=9,P12,IF($P$5=10,P10,IF($P$5=11,P13,IF($P$5=12,P13,IF($P$5=13,L10,IF($P$5=14,K12,IF($P$5=15,K13,IF($P$5=16,K12,IF($P$5=17,K13,IF($P$5=18,K13,IF($P$5=19,K13,IF($P$5=20,P17,IF($P$5=21,K13,IF($P$5=22,K13,IF($P$5=23,K13,IF($P$5=24,K16,IF($P$5=25,K13,IF($P$5=26,P16,IF($P$5=27,K13,IF($P$5=28,K13,IF($P$5=29,K13,IF($P$5=30,K13,IF($P$5=31,K13,IF($P$5=32,K13,IF($P$5=33,K13,IF($P$5=34,K13,IF($P$5=35,K13,IF($P$5=36,K12,IF($P$5=37,K12,IF($P$5=38,K12,IF($P$5=39,K12,IF($P$5=40,K12,IF($P$5=41,K12,IF($P$5=42,K12,IF($P$5=43,K12,IF($P$5=44,K12,IF($P$5=45,K12,IF($P$5=46,K12,IF($P$5=47,K12,IF($P$5=48,K12,IF($P$5=49,K12,IF($P$5=50,K12,IF($P$5=51,K12,IF($P$5=52,K12,IF($P$5=53,K12,IF($P$5=54,K12,0)))))))))))))))))))))))))))))))))))))))))))))))</f>
        <v>B3</v>
      </c>
      <c r="T10" s="151" t="str">
        <f>IF($P$5=9,P13,IF($P$5=10,P13,IF($P$5=11,Q11,IF($P$5=12,L12,IF($P$5=13,P15,IF($P$5=14,P15,IF($P$5=15,P14,IF($P$5=16,L13,IF($P$5=17,L12,IF($P$5=18,L12,IF($P$5=19,P17,IF($P$5=20,L12,IF($P$5=21,P11,IF($P$5=22,L12,IF($P$5=23,Q12,IF($P$5=24,L12,IF($P$5=25,L12,IF($P$5=26,L12,IF($P$5=27,L12,IF($P$5=28,L12,IF($P$5=29,L12,IF($P$5=30,L12,IF($P$5=31,L12,IF($P$5=32,L12,IF($P$5=33,L12,IF($P$5=34,L12,IF($P$5=35,L12,IF($P$5=36,L13,IF($P$5=37,L13,IF($P$5=38,L13,IF($P$5=39,L13,IF($P$5=40,L13,IF($P$5=41,L13,IF($P$5=42,L13,IF($P$5=43,L13,IF($P$5=44,L13,IF($P$5=45,L13,IF($P$5=46,L13,IF($P$5=47,L13,IF($P$5=48,L13,IF($P$5=49,L13,IF($P$5=50,L13,IF($P$5=51,L13,IF($P$5=52,L13,IF($P$5=53,L13,IF($P$5=54,L13,0))))))))))))))))))))))))))))))))))))))))))))))</f>
        <v>C4</v>
      </c>
      <c r="U10" s="140" t="str">
        <f>IF($P$5=8,R12,IF($P$5=9,R11,IF($P$5=10,R11,IF($P$5=11,R13,IF($P$5=12,R13,IF($P$5=13,R12,IF($P$5=14,R11,IF($P$5=15,R11,IF($P$5=16,R15,IF($P$5=17,R10,IF(P$5=18,R10,IF($P$5=19,R13,IF($P$5=20,R10,IF($P$5=21,R10,IF($P$5=22,R17,IF($P$5=23,R11,IF($P$5=24,R17,IF($P$5=25,R19,IF($P$5=26,R19,IF($P$5=27,R18,IF($P$5=28,R19,IF($P$5=29,R19,IF($P$5=30,R19,IF($P$5=31,R20,IF($P$5=32,R21,IF($P$5=33,R20,IF($P$5=34,R21,IF($P$5=35,R21,IF($P$5=36,R11,IF($P$5=37,R11,IF($P$5=38,R11,IF($P$5=39,R11,IF($P$5=40,R11,IF($P$5=41,R11,IF($P$5=42,R11,IF($P$5=43,R11,IF($P$5=44,R11,IF($P$5=45,R11,IF($P$5=46,R11,IF($P$5=47,R11,IF($P$5=48,R11,IF($P$5=49,R11,IF($P$5=50,R11,IF($P$5=51,O10,IF($P$5=52,R11,IF($P$5=53,R11,IF($P$5=54,R11,0)))))))))))))))))))))))))))))))))))))))))))))))</f>
        <v>A3</v>
      </c>
      <c r="V10" s="132" t="str">
        <f>IF($P$5=8,S10,IF($P$5=9,T10,IF($P$5=10,S12,IF($P$5=11,S12,IF($P$5=12,S11,IF($P$5=13,T10,IF($P$5=14,S12,IF($P$5=15,S10,IF($P$5=16,S10,IF($P$5=17,S13,IF($P$5=18,S13,IF($P$5=19,T10,IF($P$5=20,S13,IF($P$5=21,S13,IF($P$5=22,S13,IF($P$5=23,S13,IF($P$5=24,S13,IF($P$5=25,S10,IF($P$5=26,S13,IF($P$5=27,S13,IF($P$5=28,S10,IF($P$5=29,S13,IF($P$5=30,S13,IF($P$5=31,S13,IF($P$5=32,S10,IF($P$5=33,S10,IF($P$5=34,S10,IF($P$5=35,S10,IF($P$5=36,S12,IF($P$5=37,S12,IF($P$5=38,S12,IF($P$5=39,S12,IF($P$5=40,S12,IF($P$5=41,S12,IF($P$5=42,S12,IF($P$5=43,S12,IF($P$5=44,S12,IF($P$5=45,S12,IF($P$5=46,S12,IF($P$5=47,S12,IF($P$5=48,S12,IF($P$5=49,S12,IF($P$5=50,S12,IF($P$5=51,S12,IF($P$5=52,S12,IF($P$5=53,S12,IF($P$5=54,S12,0)))))))))))))))))))))))))))))))))))))))))))))))</f>
        <v>B5</v>
      </c>
      <c r="W10" s="144" t="str">
        <f>IF($P$5=9,S10,IF($P$5=10,S11,IF($P$5=11,T10,IF($P$5=12,T12,IF($P$5=13,S11,IF($P$5=14,S14,IF($P$5=15,T12,IF($P$5=16,T11,IF($P$5=17,T12,IF($P$5=18,T12,IF($P$5=19,T12,IF($P$5=20,T12,IF($P$5=21,T12,IF($P$5=22,T12,IF(P$5=23,T12,IF($P$5=24,T12,IF($P$5=25,T12,IF($P$5=26,T12,IF($P$5=27,T12,IF($P$5=28,T13,IF($P$5=29,T12,IF($P$5=30,T12,IF($P$5=31,T12,IF($P$5=32,T11,IF($P$5=33,T11,IF($P$5=34,T11,IF($P$5=35,T11,IF($P$5=36,T13,IF($P$5=37,T13,IF($P$5=38,T13,IF($P$5=39,T13,IF($P$5=40,T13,IF($P$5=41,T13,IF($P$5=42,T13,IF($P$5=43,T13,IF($P$5=44,T13,IF($P$5=45,T13,IF($P$5=46,T13,IF($P$5=47,T13,IF($P$5=48,T13,IF($P$5=49,T13,IF($P$5=50,T13,IF($P$5=51,T13,IF($P$5=52,T13,IF($P$5=53,T13,IF($P$5=54,T13,0))))))))))))))))))))))))))))))))))))))))))))))</f>
        <v>C7</v>
      </c>
      <c r="Y10" s="20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8"/>
      <c r="AO10" s="44">
        <v>2</v>
      </c>
      <c r="AP10" s="278" t="str">
        <f>+Inscrits!B4</f>
        <v>A2</v>
      </c>
      <c r="AQ10" s="247">
        <f t="shared" ref="AQ10:AQ62" si="3">IF(ISNA(VLOOKUP(AP10,$Z$11:$AC$81,3,0))," ",IF(VLOOKUP(AP10,$Z$11:$AC$81,3,0)=0,"0",VLOOKUP(AP10,$Z$11:$AC$81,3,0)))</f>
        <v>3</v>
      </c>
      <c r="AR10" s="82">
        <f t="shared" ref="AR10:AR62" si="4">IF(ISNA(VLOOKUP(AP10,$Z$11:$AC$81,4,0))," ",IF(VLOOKUP(AP10,$Z$11:$AC$81,4,0)=0,"0",VLOOKUP(AP10,$Z$11:$AC$81,4,0)))</f>
        <v>1</v>
      </c>
      <c r="AS10" s="184">
        <f t="shared" ref="AS10:AS62" si="5">IF(ISNA(VLOOKUP(AP10,$Z$11:$AC$81,2,0))," ",IF(VLOOKUP(AP10,$Z$11:$AC$81,2,0)=0,"0",VLOOKUP(AP10,$Z$11:$AC$81,2,0)))</f>
        <v>6</v>
      </c>
      <c r="AT10" s="250">
        <f t="shared" ref="AT10:AT62" si="6">IF(ISNA(VLOOKUP(AP10,$AE$11:$AH$81,3,0))," ",IF(VLOOKUP(AP10,$AE$11:$AH$81,3,0)=0,"0",VLOOKUP(AP10,$AE$11:$AH$81,3,0)))</f>
        <v>1</v>
      </c>
      <c r="AU10" s="82">
        <f t="shared" ref="AU10:AU62" si="7">IF(ISNA(VLOOKUP(AP10,$AE$11:$AH$81,4,0))," ",IF(VLOOKUP(AP10,$AE$11:$AH$81,4,0)=0,"0",VLOOKUP(AP10,$AE$11:$AH$81,4,0)))</f>
        <v>-5</v>
      </c>
      <c r="AV10" s="252">
        <f t="shared" ref="AV10:AV62" si="8">IF(ISNA(VLOOKUP(AP10,$AE$11:$AH$81,2,0))," ",IF(VLOOKUP(AP10,$AE$11:$AH$81,2,0)=0,"0",VLOOKUP(AP10,$AE$11:$AH$81,2,0)))</f>
        <v>5</v>
      </c>
      <c r="AW10" s="247" t="str">
        <f t="shared" ref="AW10:AW62" si="9">IF(ISNA(VLOOKUP(AP10,$AJ$11:$AM$81,3,0))," ",IF(VLOOKUP(AP10,$AJ$11:$AM$81,3,0)=0,"0",VLOOKUP(AP10,$AJ$11:$AM$81,3,0)))</f>
        <v>0</v>
      </c>
      <c r="AX10" s="82" t="str">
        <f t="shared" ref="AX10:AX62" si="10">IF(ISNA(VLOOKUP(AP10,$AJ$11:$AM$81,4,0))," ",IF(VLOOKUP(AP10,$AJ$11:$AM$81,4,0)=0,"0",VLOOKUP(AP10,$AJ$11:$AM$81,4,0)))</f>
        <v>0</v>
      </c>
      <c r="AY10" s="252" t="str">
        <f t="shared" ref="AY10:AY62" si="11">IF(ISNA(VLOOKUP(AP10,$AJ$11:$AM$81,2,0))," ",IF(VLOOKUP(AP10,$AJ$11:$AM$81,2,0)=0,"0",VLOOKUP(AP10,$AJ$11:$AM$81,2,0)))</f>
        <v>0</v>
      </c>
      <c r="AZ10" s="247">
        <f>SUMIFS(AQ10:AW10,$AQ$8:$AW$8,"Pts",AQ10:AW10,"&lt;&gt;#N/A")</f>
        <v>4</v>
      </c>
      <c r="BA10" s="82">
        <f t="shared" ref="BA10:BA62" si="12">SUMIFS(AQ10:AX10,$AQ$8:$AX$8,"GA",AQ10:AX10,"&lt;&gt;#N/A")</f>
        <v>-4</v>
      </c>
      <c r="BB10" s="252">
        <f t="shared" ref="BB10:BB62" si="13">SUMIFS(AQ10:AY10,$AQ$8:$AY$8,"Score",AQ10:AY10,"&lt;&gt;#N/A")</f>
        <v>11</v>
      </c>
      <c r="BC10" s="255">
        <f t="shared" ref="BC10:BC62" si="14">IF(BA10="","",IF(BA10&lt;0,BA10,0))</f>
        <v>-4</v>
      </c>
      <c r="BD10" s="7">
        <f t="shared" ref="BD10:BD62" si="15">IF(BA10="","",IF(BA10&gt;0,BA10,0))</f>
        <v>0</v>
      </c>
      <c r="BE10" s="183">
        <f t="shared" ref="BE10:BE62" si="16">IF(OR(AP10="",AZ10="",BA10="",BB10=""),"",RANK(AZ10,$AZ$9:$AZ$62)+SUM(-BA10/100)-(+BB10/10000)+COUNTIF(AP$9:AP$62,"&lt;="&amp;AP10+1)/1000000+ROW()/100000000)</f>
        <v>5.0389001000000002</v>
      </c>
      <c r="BF10" s="82">
        <f>IF(AP10="","",SMALL(BE$9:BE$62,ROWS(AZ$9:AZ10)))</f>
        <v>1.8774001300000001</v>
      </c>
      <c r="BG10"/>
      <c r="BH10" s="250" t="str">
        <f>IF(OR(AP10="",AZ10=""),"",INDEX($AP$9:$AP$63,MATCH(BF10,$BE$9:BE$62,0)))</f>
        <v>A5</v>
      </c>
      <c r="BI10" s="7">
        <f t="shared" si="0"/>
        <v>6</v>
      </c>
      <c r="BJ10" s="7">
        <f t="shared" si="1"/>
        <v>12</v>
      </c>
      <c r="BK10" s="7">
        <f t="shared" si="2"/>
        <v>26</v>
      </c>
      <c r="BL10" s="242">
        <f>IF(BF10="","",IF(AND(BI9=BI10,BJ9=BJ10,BK9=BK10),BL9,$BL$9+1))</f>
        <v>2</v>
      </c>
      <c r="BN10" s="3">
        <f>IF(BH10="","",IF(AND(BK9=BK10,BL9=BL10,BM9=BM10),BN9,$BL$9+18))</f>
        <v>19</v>
      </c>
      <c r="BO10" s="342">
        <f>IF(AND($K$5=8),7,IF(AND($K$5=9),8,IF(AND($K$5=10),9,IF(AND($K$5=11),10,IF(AND($K$5=12),11,IF(AND($K$5=13),12,IF(AND($K$5=14),13,IF(AND($K$5=15),14,IF(AND($K$5=16),15,IF(AND($K$5=17),16,IF(AND($K$5=18),17,IF(AND($K$5=19),18,IF(AND($K$5=20),19,IF(AND($K$5=21),20,IF(AND($K$5=22),21,IF(AND($K$5=23),22,IF(AND($K$5=24),23,IF(AND($K$5=25),24,IF(AND($K$5=26),25,IF(AND($K$5=27),26,IF(AND($K$5=28),27,IF(AND($K$5=29),28,IF(AND($K$5=30),29,IF(AND($K$5=31),30,IF(AND($K$5=32),31,IF(AND($K$5=33),32,IF(AND($K$5=34),33,IF(AND($K$5=35),34,IF(AND($K$5=36),35,IF(AND($K$5=37),36,IF(AND($K$5=38),37,IF(AND($K$5=39),38,IF(AND($K$5=40),39,IF(AND($K$5=41),40,IF(AND($K$5=42),41,IF(AND($K$5=43),42,IF(AND($K$5=44),43,IF(AND($K$5=45),44,IF(AND($K$5=46),45,IF(AND($K$5=47),46,IF(AND($K$5=48),47,IF(AND($K$5=49),48,IF(AND($K$5=50),49,IF(AND($K$5=51),50,IF(AND($K$5=52),51,IF(AND($K$5=53),52,IF(AND($K$5=54),53," ")))))))))))))))))))))))))))))))))))))))))))))))</f>
        <v>47</v>
      </c>
    </row>
    <row r="11" spans="1:67" ht="18" customHeight="1" thickBot="1" x14ac:dyDescent="0.45">
      <c r="A11" s="111">
        <v>2</v>
      </c>
      <c r="B11" s="330" t="s">
        <v>67</v>
      </c>
      <c r="C11" s="235">
        <f>IF($P$5&gt;7,2,0)</f>
        <v>2</v>
      </c>
      <c r="D11" s="332" t="s">
        <v>85</v>
      </c>
      <c r="E11" s="235">
        <f>IF($P$5&gt;7,2,0)</f>
        <v>2</v>
      </c>
      <c r="F11" s="19" t="s">
        <v>103</v>
      </c>
      <c r="G11" s="235">
        <f>IF($P$5&gt;7,2,0)</f>
        <v>2</v>
      </c>
      <c r="I11" s="165">
        <v>2</v>
      </c>
      <c r="J11" s="172" t="str">
        <f>IF(ISNA(MATCH(I11,$C$10:$C$27,0)),"",INDEX(B$10:$B$27,MATCH(I11,$C$10:$C$27,0)))</f>
        <v>A2</v>
      </c>
      <c r="K11" s="117" t="str">
        <f>IF(ISNA(MATCH(I11,$E$10:$E$27,0)),"",INDEX($D$10:D$27,MATCH(I11,$E$10:$E$27,0)))</f>
        <v>B2</v>
      </c>
      <c r="L11" s="160" t="str">
        <f>IF(ISNA(MATCH(I11,$G$10:$G$27,0)),"",INDEX($F$10:F$27,MATCH(I11,$G$10:$G$27,0)))</f>
        <v>C2</v>
      </c>
      <c r="M11" s="130"/>
      <c r="N11" s="42" t="s">
        <v>5</v>
      </c>
      <c r="O11" s="121" t="str">
        <f>IF($P$5&gt;=8,J11,0)</f>
        <v>A2</v>
      </c>
      <c r="P11" s="124" t="str">
        <f>IF($P$5&gt;=8,K11,0)</f>
        <v>B2</v>
      </c>
      <c r="Q11" s="123" t="str">
        <f>IF($P$5=10,L11,IF($P$5=11,L11,IF($P$5=12,L11,IF($P$5=14,L11,IF($P$5=15,L11,IF($P$5=16,L11,IF($P$5=17,L11,IF($P$5=18,L11,IF($P$5=19,L11,IF($P$5=20,L11,IF($P$5=21,L11,IF($P$5=22,L11,IF($P$5=23,L11,IF($P$5=24,L11,IF($P$5=25,L11,IF($P$5=26,L11,IF($P$5=27,L11,IF($P$5=28,L11,IF($P$5=29,L11,IF($P$5=30,L11,IF($P$5=31,L11,IF($P$5=32,L11,IF($P$5=33,L11,IF($P$5=34,L11,IF($P$5=35,L11,IF($P$5=36,L11,IF($P$5=37,L11,IF($P$5=38,L11,IF($P$5=39,L11,IF($P$5=40,L11,IF($P$5=41,L11,IF($P$5=42,L11,IF($P$5=43,L11,IF($P$5=44,L11,IF($P$5=45,L11,IF($P$5=46,L11,IF($P$5=47,L11,IF($P$5=48,L11,IF($P$5=49,L11,IF($P$5=50,L11,IF($P$5=51,L11,IF($P$5=52,L11,IF($P$5=53,L11,IF($P$5=54,L11,0))))))))))))))))))))))))))))))))))))))))))))</f>
        <v>C2</v>
      </c>
      <c r="R11" s="133" t="str">
        <f>IF($P$5=8,O10,IF($P$5=9,O10,IF($P$5=10,O13,IF($P$5=11,O12,IF($P$5=12,O13,IF($P$5=13,J12,IF($P$5=14,J12,IF($P$5=15,J12,IF($P$5=16,J12,IF($P$5=17,J12,IF($P$5=18,J12,IF($P$5=19,J13,IF($P$5=20,J12,IF($P$5=21,J12,IF($P$5=22,J12,IF($P$5=23,J12,IF($P$5=24,J12,IF($P$5=25,J12,IF($P$5=26,J12,IF($P$5=27,J12,IF($P$5=28,J12,IF($P$5=29,J12,IF($P$5=30,J12,IF($P$5=31,J12,IF($P$5=32,J12,IF($P$5=33,J12,IF($P$5=34,J12,IF($P$5=35,J12,IF($P$5=36,J12,IF($P$5=37,J12,IF($P$5=38,J12,IF($P$5=39,J12,IF($P$5=40,J12,IF($P$5=41,J12,IF($P$5=42,J12,IF($P$5=43,J12,IF($P$5=44,J12,IF($P$5=45,J12,IF($P$5=46,J12,IF($P$5=47,J12,IF($P$5=48,J12,IF($P$5=49,J12,IF($P$5=50,J12,IF($P$5=51,J12,IF($P$5=52,J12,IF($P$5=53,J12,IF($P$5=54,J12,0)))))))))))))))))))))))))))))))))))))))))))))))</f>
        <v>A3</v>
      </c>
      <c r="S11" s="134" t="str">
        <f>IF($P$5=8,P13,IF($P$5=9,P11,IF($P$5=10,Q11,IF($P$5=11,P11,IF($P$5=12,P12,IF($P$5=13,P13,IF($P$5=14,K13,IF($P$5=15,K10,IF($P$5=16,K13,IF($P$5=17,K14,IF($P$5=18,K14,IF($P$5=19,K14,IF($P$5=20,K14,IF($P$5=21,K14,IF($P$5=22,K14,IF($P$5=23,K14,IF($P$5=24,K14,IF($P$5=25,K14,IF($P$5=26,P10,IF(P$5=27,P11,IF($P$5=28,K14,IF($P$5=29,K14,IF($P$5=30,P15,IF($P$5=31,K14,IF($P$5=32,K14,IF($P$5=33,K14,IF($P$5=34,K14,IF($P$5=35,K14,IF($P$5=36,K13,IF($P$5=37,K13,IF($P$5=38,K13,IF($P$5=39,K13,IF($P$5=40,K13,IF($P$5=41,K13,IF($P$5=42,K13,IF($P$5=43,K13,IF($P$5=44,K13,IF($P$5=45,K13,IF($P$5=46,K13,IF($P$5=47,K13,IF($P$5=48,K13,IF($P$5=49,K13,IF($P$5=50,K13,IF($P$5=51,K13,IF($P$5=52,K13,IF($P$5=53,K13,IF($P$5=54,K13,0)))))))))))))))))))))))))))))))))))))))))))))))</f>
        <v>B4</v>
      </c>
      <c r="T11" s="152" t="str">
        <f>IF($P$5=10,Q10,IF($P$5=11,Q10,IF($P$5=12,L11,IF($P$5=14,L10,IF($P$5=15,P15,IF($P$5=16,P15,IF($P$5=17,L11,IF($P$5=18,L13,IF($P$5=19,L10,IF($P$5=20,L11,IF($P$5=21,P17,IF($P$5=22,L13,IF($P$5=23,Q13,IF($P$5=24,L13,IF($P$5=25,L13,IF($P$5=26,L13,IF($P$5=27,L13,IF($P$5=28,L13,IF($P$5=29,L10,IF($P$5=30,L10,IF($P$5=31,L13,IF($P$5=32,L11,IF($P$5=33,L11,IF($P$5=34,L11,IF($P$5=35,L11,IF($P$5=36,L14,IF($P$5=37,L14,IF($P$5=38,L14,IF($P$5=39,L14,IF($P$5=40,L14,IF($P$5=41,L14,IF($P$5=42,L14,IF($P$5=43,L14,IF($P$5=44,L14,IF($P$5=45,L14,IF($P$5=46,L14,IF($P$5=47,L14,IF($P$5=48,L14,IF($P$5=49,L14,IF($P$5=50,L14,IF($P$5=51,L14,IF($P$5=52,L14,IF($P$5=53,L14,IF($P$5=54,L14,0))))))))))))))))))))))))))))))))))))))))))))</f>
        <v>C5</v>
      </c>
      <c r="U11" s="157" t="str">
        <f>IF($P$5=8,R13,IF($P$5=9,R12,IF($P$5=10,R12,IF($P$5=11,R12,IF($P$5=12,R12,IF($P$5=13,R11,IF($P$5=14,R12,IF($P$5=15,R12,IF($P$5=16,R11,IF($P$5=17,R12,IF($P$5=18,R14,IF($P$5=19,R14,IF($P$5=20,R13,IF($P$5=21,R13,IF($P$5=22,R11,IF(P$5=23,R13,IF($P$5=24,R12,IF($P$5=25,R12,IF($P$5=26,R12,IF($P$5=27,R12,IF($P$5=28,R11,IF($P$5=29,R12,IF($P$5=30,R12,IF($P$5=31,R12,IF($P$5=32,R12,IF($P$5=33,R12,IF($P$5=34,R12,IF($P$5=35,R12,IF($P$5=36,R12,IF($P$5=37,R12,IF($P$5=38,R12,IF($P$5=39,R12,IF($P$5=40,R12,IF($P$5=41,R12,IF($P$5=42,R12,IF($P$5=43,R12,IF($P$5=44,R12,IF($P$5=45,R12,IF($P$5=46,R12,IF($P$5=47,R12,IF($P$5=48,R12,IF($P$5=49,O13,IF($P$5=50,O13,IF($P$5=51,O13,IF($P$5=52,O13,IF($P$5=53,R12,IF($P$5=54,O13,0)))))))))))))))))))))))))))))))))))))))))))))))</f>
        <v>A4</v>
      </c>
      <c r="V11" s="148" t="str">
        <f>IF($P$5=8,S11,IF($P$5=9,S13,IF($P$5=10,S13,IF($P$5=11,S13,IF($P$5=12,S10,IF($P$5=13,S10,IF($P$5=14,S13,IF($P$5=15,S13,IF($P$5=16,S12,IF($P$5=17,S14,IF($P$5=18,S11,IF($P$5=19,S15,IF($P$5=20,S10,IF($P$5=21,S17,IF($P$5=22,S10,IF($P$5=23,S10,IF($P$5=24,S10,IF($P$5=25,S11,IF($P$5=26,S11,IF($P$5=27,S14,IF($P$5=28,S13,IF($P$5=29,S11,IF($P$5=30,S11,IF($P$5=31,S11,IF($P$5=32,S11,IF($P$5=33,S11,IF($P$5=34,S11,IF($P$5=35,S11,IF($P$5=36,S13,IF($P$5=37,S13,IF($P$5=38,S13,IF($P$5=39,S13,IF($P$5=40,S13,IF($P$5=41,S13,IF($P$5=42,S13,IF($P$5=43,S13,IF($P$5=44,S13,IF($P$5=45,S13,IF($P$5=46,S13,IF($P$5=47,S13,IF($P$5=48,S13,IF($P$5=49,S13,IF($P$5=50,S13,IF($P$5=51,S13,IF($P$5=52,S13,IF($P$5=53,S13,IF($P$5=54,S13,0)))))))))))))))))))))))))))))))))))))))))))))))</f>
        <v>B6</v>
      </c>
      <c r="W11" s="145" t="str">
        <f>IF($P$5=10,T10,IF($P$5=11,T11,IF($P$5=12,T11,IF(P$5=14,T11,IF($P$5=15,S14,IF(P$5=16,T13,IF($P$5=17,T11,IF($P$5=18,T13,IF($P$5=19,S17,IF($P$5=20,T11,IF($P$5=21,S12,IF($P$5=22,T13,IF($P$5=23,T14,IF($P$5=24,T15,IF($P$5=25,T13,IF($P$5=26,T13,IF($P$5=27,T13,IF($P$5=28,T12,IF($P$5=29,T13,IF($P$5=30,T13,IF($P$5=31,T13,IF($P$5=32,T10,IF($P$5=33,T10,IF($P$5=34,T10,IF($P$5=35,T10,IF($P$5=36,T14,IF($P$5=37,T14,IF($P$5=38,T14,IF($P$5=39,T14,IF($P$5=40,T14,IF($P$5=41,T14,IF($P$5=42,T14,IF($P$5=43,T14,IF($P$5=44,T14,IF($P$5=45,T14,IF($P$5=46,T14,IF($P$5=47,T14,IF($P$5=48,T14,IF($P$5=49,T14,IF($P$5=50,T14,IF($P$5=51,T14,IF($P$5=52,T14,IF($P$5=53,T14,IF($P$5=54,T14,0))))))))))))))))))))))))))))))))))))))))))))</f>
        <v>C8</v>
      </c>
      <c r="Y11" s="382">
        <v>1</v>
      </c>
      <c r="Z11" s="9" t="str">
        <f>+O10</f>
        <v>A1</v>
      </c>
      <c r="AA11" s="25">
        <v>5</v>
      </c>
      <c r="AB11" s="38">
        <f>IF(AA11+AA15=0,0,IF(AA11=AA15,2,IF(AA11&gt;AA15,3,1)))</f>
        <v>1</v>
      </c>
      <c r="AC11" s="10">
        <f>AA11-AA15</f>
        <v>-1</v>
      </c>
      <c r="AD11" s="19"/>
      <c r="AE11" s="9" t="str">
        <f>+R10</f>
        <v>A2</v>
      </c>
      <c r="AF11" s="107">
        <v>5</v>
      </c>
      <c r="AG11" s="38">
        <f>IF(AF11+AF15=0,0,IF(AF11=AF15,2,IF(AF11&gt;AF15,3,1)))</f>
        <v>1</v>
      </c>
      <c r="AH11" s="10">
        <f>AF11-AF15</f>
        <v>-5</v>
      </c>
      <c r="AI11" s="19"/>
      <c r="AJ11" s="9" t="str">
        <f>+U10</f>
        <v>A3</v>
      </c>
      <c r="AK11" s="28">
        <v>4</v>
      </c>
      <c r="AL11" s="38">
        <f>IF(AK11+AK15=0,0,IF(AK11=AK15,2,IF(AK11&gt;AK15,3,1)))</f>
        <v>1</v>
      </c>
      <c r="AM11" s="10">
        <f>AK11-AK15</f>
        <v>-1</v>
      </c>
      <c r="AN11" s="18"/>
      <c r="AO11" s="44">
        <v>3</v>
      </c>
      <c r="AP11" s="278" t="str">
        <f>+Inscrits!B5</f>
        <v>A3</v>
      </c>
      <c r="AQ11" s="247">
        <f t="shared" si="3"/>
        <v>3</v>
      </c>
      <c r="AR11" s="82">
        <f t="shared" si="4"/>
        <v>6</v>
      </c>
      <c r="AS11" s="184">
        <f t="shared" si="5"/>
        <v>12</v>
      </c>
      <c r="AT11" s="250">
        <f t="shared" si="6"/>
        <v>3</v>
      </c>
      <c r="AU11" s="82">
        <f t="shared" si="7"/>
        <v>5</v>
      </c>
      <c r="AV11" s="252">
        <f t="shared" si="8"/>
        <v>10</v>
      </c>
      <c r="AW11" s="247">
        <f t="shared" si="9"/>
        <v>1</v>
      </c>
      <c r="AX11" s="82">
        <f t="shared" si="10"/>
        <v>-1</v>
      </c>
      <c r="AY11" s="252">
        <f t="shared" si="11"/>
        <v>4</v>
      </c>
      <c r="AZ11" s="247">
        <f t="shared" ref="AZ11:AZ62" si="17">SUMIFS(AQ11:AW11,$AQ$8:$AW$8,"Pts",AQ11:AW11,"&lt;&gt;#N/A")</f>
        <v>7</v>
      </c>
      <c r="BA11" s="82">
        <f t="shared" si="12"/>
        <v>10</v>
      </c>
      <c r="BB11" s="252">
        <f t="shared" si="13"/>
        <v>26</v>
      </c>
      <c r="BC11" s="255">
        <f t="shared" si="14"/>
        <v>0</v>
      </c>
      <c r="BD11" s="7">
        <f t="shared" si="15"/>
        <v>10</v>
      </c>
      <c r="BE11" s="183">
        <f t="shared" si="16"/>
        <v>0.89740010999999997</v>
      </c>
      <c r="BF11" s="82">
        <f>IF(AP11="","",SMALL(BE$9:BE$62,ROWS(AZ$9:AZ11)))</f>
        <v>1.9183003199999999</v>
      </c>
      <c r="BG11"/>
      <c r="BH11" s="250" t="str">
        <f>IF(OR(AP11="",AZ11=""),"",INDEX($AP$9:$AP$63,MATCH(BF11,$BE$9:BE$62,0)))</f>
        <v>B6</v>
      </c>
      <c r="BI11" s="7">
        <f t="shared" si="0"/>
        <v>6</v>
      </c>
      <c r="BJ11" s="7">
        <f t="shared" si="1"/>
        <v>8</v>
      </c>
      <c r="BK11" s="7">
        <f t="shared" si="2"/>
        <v>17</v>
      </c>
      <c r="BL11" s="17">
        <f>IF(BF11="","",IF(AND(BI10=BI11,BJ10=BJ11,BK10=BK11),BL10,$BL$9+2))</f>
        <v>3</v>
      </c>
      <c r="BN11" s="3">
        <f>IF(BH11="","",IF(AND(BK10=BK11,BL10=BL11,BM10=BM11),BN10,$BL$9+17))</f>
        <v>18</v>
      </c>
      <c r="BO11" s="342">
        <f>IF(AND($K$5=8),6,IF(AND($K$5=9),7,IF(AND($K$5=10),8,IF(AND($K$5=11),9,IF(AND($K$5=12),10,IF(AND($K$5=13),11,IF(AND($K$5=14),12,IF(AND($K$5=15),13,IF(AND($K$5=16),14,IF(AND($K$5=17),15,IF(AND($K$5=18),16,IF(AND($K$5=19),17,IF(AND($K$5=20),18,IF(AND($K$5=21),19,IF(AND($K$5=22),20,IF(AND($K$5=23),21,IF(AND($K$5=24),22,IF(AND($K$5=25),23,IF(AND($K$5=26),24,IF(AND($K$5=27),25,IF(AND($K$5=28),26,IF(AND($K$5=29),27,IF(AND($K$5=30),28,IF(AND($K$5=31),29,IF(AND($K$5=32),30,IF(AND($K$5=33),31,IF(AND($K$5=34),32,IF(AND($K$5=35),33,IF(AND($K$5=36),34,IF(AND($K$5=37),35,IF(AND($K$5=38),36,IF(AND($K$5=39),37,IF(AND($K$5=40),38,IF(AND($K$5=41),39,IF(AND($K$5=42),40,IF(AND($K$5=43),41,IF(AND($K$5=44),42,IF(AND($K$5=45),43,IF(AND($K$5=46),44,IF(AND($K$5=47),45,IF(AND($K$5=48),46,IF(AND($K$5=49),47,IF(AND($K$5=50),48,IF(AND($K$5=51),49,IF(AND($K$5=52),50,IF(AND($K$5=53),51,IF(AND($K$5=54),52," ")))))))))))))))))))))))))))))))))))))))))))))))</f>
        <v>46</v>
      </c>
    </row>
    <row r="12" spans="1:67" ht="18" customHeight="1" thickBot="1" x14ac:dyDescent="0.45">
      <c r="A12" s="111">
        <v>3</v>
      </c>
      <c r="B12" s="330" t="s">
        <v>68</v>
      </c>
      <c r="C12" s="235">
        <f>IF($P$5&gt;7,3,0)</f>
        <v>3</v>
      </c>
      <c r="D12" s="332" t="s">
        <v>86</v>
      </c>
      <c r="E12" s="235">
        <f>IF($P$5&gt;7,3,0)</f>
        <v>3</v>
      </c>
      <c r="F12" s="19" t="s">
        <v>104</v>
      </c>
      <c r="G12" s="235">
        <f>IF($P$5=8,0,3)</f>
        <v>3</v>
      </c>
      <c r="I12" s="165">
        <v>3</v>
      </c>
      <c r="J12" s="172" t="str">
        <f>IF(ISNA(MATCH(I12,$C$10:$C$27,0)),"",INDEX(B$10:$B$27,MATCH(I12,$C$10:$C$27,0)))</f>
        <v>A3</v>
      </c>
      <c r="K12" s="117" t="str">
        <f>IF(ISNA(MATCH(I12,$E$10:$E$27,0)),"",INDEX($D$10:D$27,MATCH(I12,$E$10:$E$27,0)))</f>
        <v>B3</v>
      </c>
      <c r="L12" s="160" t="str">
        <f>IF(ISNA(MATCH(I12,$G$10:$G$27,0)),"",INDEX($F$10:F$27,MATCH(I12,$G$10:$G$27,0)))</f>
        <v>C3</v>
      </c>
      <c r="M12" s="130"/>
      <c r="N12" s="67">
        <v>2</v>
      </c>
      <c r="O12" s="118" t="str">
        <f>IF($P$5&gt;=8,J12,0)</f>
        <v>A3</v>
      </c>
      <c r="P12" s="119" t="str">
        <f>IF($P$5&gt;=10,K12,IF($P$5=8,L10,IF($P$5=9,L11,0)))</f>
        <v>B3</v>
      </c>
      <c r="Q12" s="120" t="str">
        <f>IF($P$5=11,L12,IF($P$5=12,L12,IF($P$5=15,L14,IF($P$5=16,L12,IF($P$5=17,L12,IF($P$5=18,L12,IF($P$5=19,L12,IF($P$5=20,L12,IF($P$5=21,L12,IF($P$5=22,L12,IF($P$5=23,L12,IF($P$5=24,L12,IF($P$5=25,L12,IF($P$5=26,L12,IF($P$5=27,L12,IF($P$5=28,L12,IF($P$5=29,L12,IF($P$5=30,L12,IF($P$5=31,L12,IF($P$5=32,L12,IF($P$5=33,L12,IF($P$5=34,L12,IF($P$5=35,L12,IF($P$5=36,L12,IF($P$5=37,L12,IF($P$5=38,L12,IF($P$5=39,L12,IF($P$5=40,L12,IF($P$5=41,L12,IF($P$5=42,L12,IF($P$5=43,L12,IF($P$5=44,L12,IF($P$5=45,L12,IF($P$5=46,L12,IF($P$5=47,L12,IF($P$5=48,L12,IF($P$5=49,L12,IF($P$5=50,L12,IF($P$5=51,L12,IF($P$5=52,L12,IF($P$5=53,L12,IF($P$5=54,L12,0))))))))))))))))))))))))))))))))))))))))))</f>
        <v>C3</v>
      </c>
      <c r="R12" s="135" t="str">
        <f>IF($P$5=8,O12,IF($P$5=9,O11,IF($P$5=10,O10,IF($P$5=11,O11,IF(P$5=12,O12,IF($P$5=13,J10,IF($P$5=14,J13,IF($P$5=15,J13,IF($P$5=16,J13,IF($P$5=17,J14,IF($P$5=18,J14,IF($P$5=19,J12,IF($P$5=20,J11,IF($P$5=21,J11,IF($P$5=22,J13,IF($P$5=23,J13,IF($P$5=24,J13,IF($P$5=25,J13,IF($P$5=26,J13,IF($P$5=27,J13,IF($P$5=28,J13,IF($P$5=29,J13,IF($P$5=30,J13,IF($P$5=31,J13,IF($P$5=32,J13,IF($P$5=33,J13,IF($P$5=34,J13,IF($P$5=35,J13,IF($P$5=36,J13,IF($P$5=37,J13,IF($P$5=38,J13,IF($P$5=39,J13,IF($P$5=40,J13,IF($P$5=41,J13,IF($P$5=42,J13,IF($P$5=43,J13,IF($P$5=44,J13,IF($P$5=45,J13,IF($P$5=46,J13,IF($P$5=47,J13,IF($P$5=48,J13,IF($P$5=49,J13,IF($P$5=50,O13,IF($P$5=51,C13,IF($P$5=52,C13,IF($P$5=53,O13,IF($P$5=54,O13,0)))))))))))))))))))))))))))))))))))))))))))))))</f>
        <v>A4</v>
      </c>
      <c r="S12" s="132" t="str">
        <f>IF($P$5=8,P11,IF($P$5=9,P10,IF($P$5=10,P11,IF($P$5=11,P10,IF($P$5=12,P11,IF($P$5=13,K11,IF($P$5=14,K10,IF($P$5=15,K11,IF($P$5=16,K14,IF($P$5=17,K11,IF($P$5=18,K11,IF($P$5=19,K11,IF($P$5=20,K10,IF($P$5=21,P10,IF($P$5=22,K11,IF($P$5=23,K15,IF($P$5=24,K10,IF($P$5=25,K11,IF($P$5=26,K11,IF($P$5=27,P14,IF($P$5=28,K11,IF($P$5=29,K11,IF($P$5=30,K11,IF($P$5=31,K10,IF($P$5=32,K11,IF($P$5=33,K11,IF($P$5=34,K11,IF($P$5=35,K11,IF($P$5=36,K14,IF($P$5=37,K14,IF($P$5=38,K14,IF($P$5=39,K14,IF($P$5=40,K14,IF($P$5=41,K14,IF($P$5=42,K14,IF($P$5=43,K14,IF($P$5=44,K14,IF($P$5=45,K14,IF($P$5=46,K14,IF($P$5=47,K14,IF($P$5=48,K14,IF($P$5=49,K14,IF($P$5=50,K14,IF($P$5=51,K14,IF($P$5=52,K14,IF($P$5=53,K14,IF($P$5=54,K14,0)))))))))))))))))))))))))))))))))))))))))))))))</f>
        <v>B5</v>
      </c>
      <c r="T12" s="151" t="str">
        <f>IF($P$5=11,Q12,IF($P$5=12,L10,IF($P$5=15,Q12,IF($P$5=16,L10,IF($P$5=17,L13,IF($P$5=18,L15,IF($P$5=19,P15,IF($P$5=20,L13,IF($P$5=21,L13,IF($P$5=22,L14,IF($P$5=23,Q11,IF($P$5=24,L11,IF($P$5=25,P19,IF($P$5=26,P19,IF($P$5=27,P19,IF($P$5=28,L10,IF($P$5=29,Q14,IF($P$5=30,L14,IF($P$5=31,L14,IF($P$5=32,L14,IF($P$5=33,L14,IF($P$5=34,L14,IF($P$5=35,L14,IF($P$5=36,L15,IF($P$5=37,L15,IF($P$5=38,L15,IF($P$5=39,L15,IF($P$5=40,L15,IF($P$5=41,L15,IF($P$5=42,L15,IF($P$5=43,L15,IF($P$5=44,L15,IF($P$5=45,L15,IF($P$5=46,L15,IF($P$5=47,L15,IF($P$5=48,L15,IF($P$5=49,L15,IF($P$5=50,L15,IF($P$5=51,L15,IF($P$5=52,L15,IF($P$5=53,L15,IF($P$5=54,L15,0))))))))))))))))))))))))))))))))))))))))))</f>
        <v>C6</v>
      </c>
      <c r="U12" s="140" t="str">
        <f>IF($P$5=8,R11,IF($P$5=9,R13,IF($P$5=10,R13,IF($P$5=11,R10,IF($P$5=12,R10,IF($P$5=13,R14,IF(P$5=14,R13,IF($P$5=15,R13,IF(P$5=16,R13,IF($P$5=17,R13,IF($P$5=18,R11,IF($P$5=19,R12,IF($P$5=20,R12,IF($P$5=21,R14,IF($P$5=22,R10,IF($P$5=23,R12,IF($P$5=24,R11,IF($P$5=25,R11,IF($P$5=26,R11,IF($P$5=27,R11,IF($P$5=28,R12,IF($P$5=29,R11,IF($P$5=30,R11,IF($P$5=31,R11,IF($P$5=32,R11,IF($P$5=33,R11,IF($P$5=34,R11,IF($P$5=35,R11,IF($P$5=36,R13,IF($P$5=37,R13,IF($P$5=38,R13,IF($P$5=39,R13,IF($P$5=40,R13,IF($P$5=41,R13,IF($P$5=42,O14,IF($P$5=43,R13,IF($P$5=44,R13,IF($P$5=45,R13,IF($P$5=46,R13,IF($P$5=47,R13,IF($P$5=48,R13,IF($P$5=49,R13,IF($P$5=50,O14,IF($P$5=51,O14,IF($P$5=52,O14,IF($P$5=53,O14,IF($P$5=54,O14,0)))))))))))))))))))))))))))))))))))))))))))))))</f>
        <v>A5</v>
      </c>
      <c r="V12" s="138" t="str">
        <f>IF($P$5=8,S12,IF($P$5=9,S12,IF($P$5=10,T11,IF($P$5=11,S11,IF($P$5=12,S12,IF($P$5=13,R15,IF($P$5=14,T10,IF($P$5=15,S11,IF($P$5=16,S14,IF($P$5=17,S11,IF($P$5=18,S14,IF($P$5=19,S11,IF($P$5=20,S11,IF($P$5=21,S11,IF($P$5=22,S11,IF($P$5=23,S11,IF($P$5=24,S15,IF($P$5=25,S13,IF($P$5=26,S10,IF($P$5=27,S12,IF($P$5=28,S11,IF($P$5=29,S10,IF($P$5=30,S10,IF($P$5=31,S16,IF($P$5=32,S16,IF($P$5=33,S16,IF($P$5=34,S16,IF($P$5=35,S16,IF($P$5=36,S14,IF($P$5=37,S14,IF($P$5=38,S14,IF($P$5=39,S14,IF($P$5=40,S14,IF($P$5=41,S14,IF($P$5=42,S14,IF($P$5=43,S14,IF($P$5=44,S14,IF($P$5=45,S14,IF($P$5=46,S14,IF($P$5=47,S14,IF($P$5=48,S14,IF($P$5=49,S14,IF($P$5=50,S14,IF($P$5=51,S14,IF($P$5=52,S14,IF($P$5=53,S14,IF($P$5=54,S14,0)))))))))))))))))))))))))))))))))))))))))))))))</f>
        <v>B7</v>
      </c>
      <c r="W12" s="144" t="str">
        <f>IF($P$5=11,T12,IF($P$5=12,T13,IF($P$5=14,T14,IF($P$5=15,T11,IF(P$5=16,T10,IF($P$5=17,T14,IF($P$5=18,T14,IF($P$5=19,S16,IF($P$5=20,S16,IF($P$5=21,T13,IF($P$5=22,T15,IF($P$5=23,T16,IF($P$5=24,T13,IF($P$5=25,S19,IF($P$5=26,T14,IF($P$5=27,T14,IF($P$5=28,T14,IF($P$5=29,T15,IF($P$5=30,T14,IF($P$5=31,T14,IF($P$5=32,T12,IF($P$5=33,T12,IF($P$5=34,T12,IF($P$5=35,T12,IF($P$5=36,T15,IF($P$5=37,T15,IF($P$5=38,T15,IF($P$5=39,T15,IF($P$5=40,T15,IF($P$5=41,T15,IF($P$5=42,T15,IF($P$5=43,T15,IF($P$5=44,T15,IF($P$5=45,T15,IF($P$5=46,T15,IF($P$5=47,T15,IF($P$5=48,T15,IF($P$5=49,T15,IF($P$5=50,T15,IF($P$5=51,T15,IF($P$5=52,T15,IF($P$5=53,T15,IF($P$5=54,T15,0)))))))))))))))))))))))))))))))))))))))))))</f>
        <v>C9</v>
      </c>
      <c r="Y12" s="383"/>
      <c r="Z12" s="11" t="str">
        <f>+P10</f>
        <v>B1</v>
      </c>
      <c r="AA12" s="48">
        <f>IF(ISTEXT(Z12),AA11,0)</f>
        <v>5</v>
      </c>
      <c r="AB12" s="48">
        <f>IF(ISTEXT(Z12),AB11,0)</f>
        <v>1</v>
      </c>
      <c r="AC12" s="49">
        <f>IF(ISTEXT(Z12),AC11,0)</f>
        <v>-1</v>
      </c>
      <c r="AD12" s="6"/>
      <c r="AE12" s="11" t="str">
        <f>+S10</f>
        <v>B3</v>
      </c>
      <c r="AF12" s="48">
        <f>IF(ISTEXT(AE12),AF11,0)</f>
        <v>5</v>
      </c>
      <c r="AG12" s="48">
        <f>IF(ISTEXT(AE12),AG11,0)</f>
        <v>1</v>
      </c>
      <c r="AH12" s="50">
        <f>IF(ISTEXT(AE12),AH11,0)</f>
        <v>-5</v>
      </c>
      <c r="AI12" s="6"/>
      <c r="AJ12" s="11" t="str">
        <f>+V10</f>
        <v>B5</v>
      </c>
      <c r="AK12" s="14">
        <f>IF(ISTEXT(AJ12),AK11,0)</f>
        <v>4</v>
      </c>
      <c r="AL12" s="48">
        <f>IF(ISTEXT(AJ12),AL11,0)</f>
        <v>1</v>
      </c>
      <c r="AM12" s="15">
        <f>IF(ISTEXT(AJ12),AM11,0)</f>
        <v>-1</v>
      </c>
      <c r="AN12" s="18"/>
      <c r="AO12" s="44">
        <v>4</v>
      </c>
      <c r="AP12" s="278" t="str">
        <f>+Inscrits!B6</f>
        <v>A4</v>
      </c>
      <c r="AQ12" s="247">
        <f t="shared" si="3"/>
        <v>1</v>
      </c>
      <c r="AR12" s="82">
        <f t="shared" si="4"/>
        <v>-6</v>
      </c>
      <c r="AS12" s="184">
        <f t="shared" si="5"/>
        <v>6</v>
      </c>
      <c r="AT12" s="250">
        <f t="shared" si="6"/>
        <v>1</v>
      </c>
      <c r="AU12" s="82">
        <f t="shared" si="7"/>
        <v>-7</v>
      </c>
      <c r="AV12" s="252">
        <f t="shared" si="8"/>
        <v>5</v>
      </c>
      <c r="AW12" s="247">
        <f t="shared" si="9"/>
        <v>3</v>
      </c>
      <c r="AX12" s="82">
        <f t="shared" si="10"/>
        <v>1</v>
      </c>
      <c r="AY12" s="252">
        <f t="shared" si="11"/>
        <v>5</v>
      </c>
      <c r="AZ12" s="247">
        <f t="shared" si="17"/>
        <v>5</v>
      </c>
      <c r="BA12" s="82">
        <f t="shared" si="12"/>
        <v>-12</v>
      </c>
      <c r="BB12" s="252">
        <f t="shared" si="13"/>
        <v>16</v>
      </c>
      <c r="BC12" s="255">
        <f t="shared" si="14"/>
        <v>-12</v>
      </c>
      <c r="BD12" s="7">
        <f t="shared" si="15"/>
        <v>0</v>
      </c>
      <c r="BE12" s="183">
        <f t="shared" si="16"/>
        <v>4.1184001200000004</v>
      </c>
      <c r="BF12" s="82">
        <f>IF(AP12="","",SMALL(BE$9:BE$62,ROWS(AZ$9:AZ12)))</f>
        <v>4.1184001200000004</v>
      </c>
      <c r="BG12"/>
      <c r="BH12" s="250" t="str">
        <f>IF(OR(AP12="",AZ12=""),"",INDEX($AP$9:$AP$63,MATCH(BF12,$BE$9:BE$62,0)))</f>
        <v>A4</v>
      </c>
      <c r="BI12" s="7">
        <f t="shared" si="0"/>
        <v>5</v>
      </c>
      <c r="BJ12" s="7">
        <f t="shared" si="1"/>
        <v>-12</v>
      </c>
      <c r="BK12" s="7">
        <f t="shared" si="2"/>
        <v>16</v>
      </c>
      <c r="BL12" s="17">
        <f>IF(BF12="","",IF(AND(BI11=BI12,BJ11=BJ12,BK11=BK12),BL11,$BL$9+3))</f>
        <v>4</v>
      </c>
      <c r="BN12" s="3">
        <f>IF(BH12="","",IF(AND(BK11=BK12,BL11=BL12,BM11=BM12),BN11,$BL$9+16))</f>
        <v>17</v>
      </c>
      <c r="BO12" s="342">
        <f>IF(AND($K$5=8),5,IF(AND($K$5=9),6,IF(AND($K$5=10),7,IF(AND($K$5=11),8,IF(AND($K$5=12),9,IF(AND($K$5=13),10,IF(AND($K$5=14),11,IF(AND($K$5=15),12,IF(AND($K$5=16),13,IF(AND($K$5=17),14,IF(AND($K$5=18),15,IF(AND($K$5=19),16,IF(AND($K$5=20),17,IF(AND($K$5=21),18,IF(AND($K$5=22),19,IF(AND($K$5=23),20,IF(AND($K$5=24),21,IF(AND($K$5=25),22,IF(AND($K$5=26),23,IF(AND($K$5=27),24,IF(AND($K$5=28),25,IF(AND($K$5=29),26,IF(AND($K$5=30),27,IF(AND($K$5=31),28,IF(AND($K$5=32),29,IF(AND($K$5=33),30,IF(AND($K$5=34),31,IF(AND($K$5=35),32,IF(AND($K$5=36),33,IF(AND($K$5=37),34,IF(AND($K$5=38),35,IF(AND($K$5=39),36,IF(AND($K$5=40),37,IF(AND($K$5=41),38,IF(AND($K$5=42),39,IF(AND($K$5=43),40,IF(AND($K$5=44),41,IF(AND($K$5=45),42,IF(AND($K$5=46),43,IF(AND($K$5=47),44,IF(AND($K$5=48),45,IF(AND($K$5=49),46,IF(AND($K$5=50),47,IF(AND($K$5=51),48,IF(AND($K$5=52),49,IF(AND($K$5=53),50,IF(AND($K$5=54),51," ")))))))))))))))))))))))))))))))))))))))))))))))</f>
        <v>45</v>
      </c>
    </row>
    <row r="13" spans="1:67" ht="18" customHeight="1" thickBot="1" x14ac:dyDescent="0.45">
      <c r="A13" s="111">
        <v>4</v>
      </c>
      <c r="B13" s="330" t="s">
        <v>69</v>
      </c>
      <c r="C13" s="236">
        <f>IF($P$5=8,0,IF($P$5=9,0,4))</f>
        <v>4</v>
      </c>
      <c r="D13" s="332" t="s">
        <v>87</v>
      </c>
      <c r="E13" s="235">
        <f>IF($P$5&gt;=11,4,0)</f>
        <v>4</v>
      </c>
      <c r="F13" s="19" t="s">
        <v>105</v>
      </c>
      <c r="G13" s="235">
        <f>IF($P$5&gt;=12,4,0)</f>
        <v>4</v>
      </c>
      <c r="I13" s="165">
        <v>4</v>
      </c>
      <c r="J13" s="172" t="str">
        <f>IF(ISNA(MATCH(I13,$C$10:$C$27,0)),"",INDEX(B$10:$B$27,MATCH(I13,$C$10:$C$27,0)))</f>
        <v>A4</v>
      </c>
      <c r="K13" s="117" t="str">
        <f>IF(ISNA(MATCH(I13,$E$10:$E$27,0)),"",INDEX($D$10:D$27,MATCH(I13,$E$10:$E$27,0)))</f>
        <v>B4</v>
      </c>
      <c r="L13" s="160" t="str">
        <f>IF(ISNA(MATCH(I13,$G$10:$G$27,0)),"",INDEX($F$10:F$27,MATCH(I13,$G$10:$G$27,0)))</f>
        <v>C4</v>
      </c>
      <c r="M13" s="130"/>
      <c r="N13" s="42" t="s">
        <v>5</v>
      </c>
      <c r="O13" s="121" t="str">
        <f>IF($P$5&gt;=10,J13,IF($P$5=8,K12,IF($P$5=9,K12,0)))</f>
        <v>A4</v>
      </c>
      <c r="P13" s="122" t="str">
        <f>IF($P$5=8,L11,IF($P$5=9,L12,IF($P$5=10,L12,IF($P$5=11,K13,IF($P$5=12,K13,IF($P$5=13,L11,IF($P$5=14,K13,IF($P$5=15,K13,IF($P$5=16,K13,IF($P$5=17,K13,IF($P$5=18,K13,IF($P$5=19,K13,IF($P$5=20,K13,IF($P$5=21,K13,IF(P$5=22,K13,IF($P$5=23,K13,IF($P$5=24,K13,IF($P$5=25,K13,IF($P$5=26,K13,IF($P$5=27,K13,IF($P$5=28,K13,IF($P$5=29,K13,IF($P$5=30,K13,IF($P$5=31,K13,IF($P$5=32,K13,IF($P$5=33,K13,IF($P$5=34,K13,IF($P$5=35,K13,IF($P$5=36,K13,IF($P$5=37,K13,IF($P$5=38,K13,IF($P$5=39,K13,IF($P$5=40,K13,IF($P$5=41,K13,IF($P$5=42,K13,IF($P$5=43,K13,IF($P$5=44,K13,IF($P$5=45,K13,IF($P$5=46,K13,IF($P$5=47,K13,IF($P$5=48,K13,IF($P$5=49,K13,IF($P$5=50,K13,IF($P$5=51,K13,IF($P$5=52,K13,IF($P$5=53,K13,IF($P$5=54,K13,0)))))))))))))))))))))))))))))))))))))))))))))))</f>
        <v>B4</v>
      </c>
      <c r="Q13" s="123" t="str">
        <f>IF($P$5=12,L13,IF($P$5=16,L13,IF($P$5=17,L13,IF($P$5=18,L13,IF($P$5=20,L13,IF($P$5=21,L13,IF($P$5=22,L13,IF($P$5=23,L13,IF($P$5=24,L13,IF($P$5=25,L13,IF($P$5=26,L13,IF($P$5=27,L13,IF($P$5=28,L13,IF($P$5=29,L13,IF($P$5=30,L13,IF($P$5=31,L13,IF($P$5=32,L13,IF($P$5=33,L13,IF($P$5=34,L13,IF($P$5=35,L13,IF($P$5=36,L13,IF($P$5=37,L13,IF($P$5=38,L13,IF($P$5=39,L13,IF($P$5=40,L13,IF($P$5=41,L13,IF($P$5=42,L13,IF($P$5=43,L13,IF($P$5=44,L13,IF($P$5=45,L13,IF($P$5=46,L13,IF($P$5=47,L13,IF($P$5=48,L13,IF($P$5=49,L13,IF($P$5=50,L13,IF($P$5=51,L13,IF($P$5=52,L13,IF($P$5=53,L13,IF($P$5=54,L13,0)))))))))))))))))))))))))))))))))))))))</f>
        <v>C4</v>
      </c>
      <c r="R13" s="136" t="str">
        <f>IF($P$5=8,O11,IF($P$5=9,O12,IF($P$5=10,O11,IF($P$5=11,O13,IF($P$5=12,O11,IF($P$5=13,J14,IF($P$5=14,J14,IF($P$5=15,J14,IF($P$5=16,J14,IF($P$5=17,J13,IF($P$5=18,J11,IF($P$5=19,J10,IF($P$5=20,J13,IF($P$5=21,J14,IF($P$5=22,J14,IF($P$5=23,J14,IF($P$5=24,J14,IF($P$5=25,J14,IF($P$5=26,J14,IF($P$5=27,J14,IF($P$5=28,J14,IF($P$5=29,J14,IF($P$5=30,J14,IF($P$5=31,J14,IF($P$5=32,J14,IF($P$5=33,J14,IF($P$5=34,J14,IF($P$5=35,J14,IF($P$5=36,J14,IF($P$5=37,J14,IF($P$5=38,J14,IF($P$5=39,J14,IF($P$5=40,J14,IF($P$5=41,J14,IF($P$5=42,J14,IF($P$5=43,J14,IF($P$5=44,J14,IF($P$5=45,J14,IF($P$5=46,J14,IF($P$5=47,J14,IF($P$5=48,J14,IF($P$5=49,J14,IF($P$5=50,J14,IF($P$5=51,J14,IF($P$5=52,J14,IF($P$5=53,J14,IF($P$5=54,J14,0)))))))))))))))))))))))))))))))))))))))))))))))</f>
        <v>A5</v>
      </c>
      <c r="S13" s="137" t="str">
        <f>IF($P$5=8,P10,IF($P$5=9,Q10,IF($P$5=10,P12,IF($P$5=11,P12,IF($P$5=12,P10,IF($P$5=13,K12,IF($P$5=14,K11,IF($P$5=15,P12,IF($P$5=16,K10,IF($P$5=17,K12,IF($P$5=18,K12,IF($P$5=19,K12,IF($P$5=20,K12,IF($P$5=21,K12,IF($P$5=22,K12,IF($P$5=23,K16,IF($P$5=24,K12,IF($P$5=25,K12,IF($P$5=26,K12,IF($P$5=27,K12,IF($P$5=28,P16,IF($P$5=29,K12,IF($P$5=30,K12,IF($P$5=31,K12,IF($P$5=32,K12,IF($P$5=33,K12,IF($P$5=34,K12,IF($P$5=35,K12,IF($P$5=36,K15,IF($P$5=37,K15,IF($P$5=38,K15,IF($P$5=39,K15,IF($P$5=40,K15,IF($P$5=41,K15,IF($P$5=42,K15,IF($P$5=43,K15,IF($P$5=44,K15,IF($P$5=45,K15,IF($P$5=46,K15,IF($P$5=47,K15,IF($P$5=48,K15,IF($P$5=49,K15,IF($P$5=50,K15,IF($P$5=51,K15,IF($P$5=52,K15,IF($P$5=53,K15,IF($P$5=54,K15,0)))))))))))))))))))))))))))))))))))))))))))))))</f>
        <v>B6</v>
      </c>
      <c r="T13" s="153" t="str">
        <f>IF($P$5=12,L13,IF($P$5=16,L11,IF($P$5=17,L14,IF($P$5=18,L14,IF($P$5=20,P16,IF($P$5=21,P16,IF($P$5=22,L15,IF($P$5=23,Q10,IF($P$5=24,L15,IF($P$5=25,P17,IF($P$5=26,Q15,IF($P$5=27,Q16,IF($P$5=28,Q17,IF($P$5=29,Q16,IF($P$5=30,L15,IF($P$5=31,L11,IF($P$5=32,L13,IF($P$5=33,L13,IF($P$5=34,L13,IF($P$5=35,L13,IF($P$5=36,L16,IF($P$5=37,L16,IF($P$5=38,L16,IF($P$5=39,L16,IF($P$5=40,L16,IF($P$5=41,L16,IF($P$5=42,L16,IF($P$5=43,L16,IF($P$5=44,L16,IF($P$5=45,L16,IF($P$5=46,L16,IF($P$5=47,L16,IF($P$5=48,L16,IF($P$5=49,L16,IF($P$5=50,L16,IF($P$5=51,L16,IF($P$5=52,L16,IF($P$5=53,L16,IF($P$5=54,L16,0)))))))))))))))))))))))))))))))))))))))</f>
        <v>C7</v>
      </c>
      <c r="U13" s="156" t="str">
        <f>IF($P$5=8,R10,IF($P$5=9,R10,IF($P$5=10,R10,IF($P$5=11,R11,IF($P$5=12,R11,IF($P$5=13,R13,IF($P$5=14,R14,IF($P$5=15,R14,IF(P$5=16,R14,IF($P$5=17,R11,IF($P$5=18,R12,IF($P$5=19,R11,IF($P$5=20,R11,IF($P$5=21,R12,IF($P$5=22,R12,IF($P$5=23,R15,IF($P$5=24,R13,IF($P$5=25,R13,IF($P$5=26,R13,IF($P$5=27,R13,IF($P$5=28,R13,IF($P$5=29,R13,IF($P$5=30,R13,IF($P$5=31,R13,IF($P$5=32,R13,IF($P$5=33,R13,IF($P$5=34,R13,IF($P$5=35,R13,IF($P$5=36,R14,IF($P$5=37,R14,IF($P$5=38,R14,IF($P$5=39,R14,IF($P$5=40,R14,IF($P$5=41,R14,IF($P$5=42,O15,IF($P$5=43,R14,IF($P$5=44,R14,IF($P$5=45,R14,IF($P$5=46,R14,IF($P$5=47,R14,IF($P$5=48,R14,IF($P$5=49,R14,IF($P$5=50,O15,IF($P$5=51,O15,IF($P$5=52,O15,IF($P$5=53,O15,IF($P$5=54,O15,0)))))))))))))))))))))))))))))))))))))))))))))))</f>
        <v>A6</v>
      </c>
      <c r="V13" s="138" t="str">
        <f>IF($P$5=8,S13,IF($P$5=9,S11,IF($P$5=10,S10,IF($P$5=11,S10,IF($P$5=12,S13,IF($P$5=13,S12,IF($P$5=14,S11,IF($P$5=15,S12,IF($P$5=16,S11,IF($P$5=17,S10,IF($P$5=18,S10,IF($P$5=19,S12,IF($P$5=20,S14,IF($P$5=21,S14,IF($P$5=22,S15,IF($P$5=23,S14,IF($P$5=24,S14,IF($P$5=25,S14,IF($P$5=26,S14,IF($P$5=27,S10,IF($P$5=28,S14,IF($P$5=29,S15,IF($P$5=30,S17,IF($P$5=31,S14,IF($P$5=32,S20,IF($P$5=33,S18,IF($P$5=34,S18,IF($P$5=35,S17,IF($P$5=36,S15,IF($P$5=37,S15,IF($P$5=38,S15,IF($P$5=39,S15,IF($P$5=40,S15,IF($P$5=41,S15,IF($P$5=42,S15,IF($P$5=43,S15,IF($P$5=44,S15,IF($P$5=45,S15,IF($P$5=46,S15,IF($P$5=47,S15,IF($P$5=48,S15,IF($P$5=49,S15,IF($P$5=50,S15,IF($P$5=51,S15,IF($P$5=52,S15,IF($P$5=53,S15,IF($P$5=54,S15,0)))))))))))))))))))))))))))))))))))))))))))))))</f>
        <v>B8</v>
      </c>
      <c r="W13" s="146" t="str">
        <f>IF($P$5=12,T10,IF($P$5=16,S15,IF($P$5=17,T13,IF($P$5=18,T15,IF($P$5=20,T13,IF($P$5=21,T11,IF($P$5=22,T14,IF($P$5=23,T13,IF($P$5=24,T14,IF($P$5=25,S17,IF($P$5=26,T15,IF($P$5=27,T15,IF($P$5=28,T15,IF($P$5=29,T11,IF($P$5=30,T15,IF($P$5=31,T15,IF($P$5=32,T14,IF($P$5=33,T14,IF($P$5=34,T14,IF($P$5=35,T20,IF($P$5=36,T16,IF($P$5=37,T16,IF($P$5=38,T16,IF($P$5=39,T16,IF($P$5=40,T16,IF($P$5=41,T16,IF($P$5=42,T16,IF($P$5=43,T16,IF($P$5=44,T16,IF($P$5=45,T16,IF($P$5=46,T16,IF($P$5=47,T16,IF($P$5=48,T16,IF($P$5=49,T16,IF($P$5=50,T16,IF($P$5=51,T16,IF($P$5=52,T16,IF($P$5=53,T16,IF($P$5=54,T16,0)))))))))))))))))))))))))))))))))))))))</f>
        <v>C10</v>
      </c>
      <c r="Y13" s="383"/>
      <c r="Z13" s="11" t="str">
        <f>+Q10</f>
        <v>C1</v>
      </c>
      <c r="AA13" s="51">
        <f>IF(ISTEXT(Z13),AA11,0)</f>
        <v>5</v>
      </c>
      <c r="AB13" s="52">
        <f>IF(ISTEXT(Z13),AB11,0)</f>
        <v>1</v>
      </c>
      <c r="AC13" s="53">
        <f>IF(ISTEXT(Z13),AC11,0)</f>
        <v>-1</v>
      </c>
      <c r="AD13" s="6"/>
      <c r="AE13" s="11" t="str">
        <f>+T10</f>
        <v>C4</v>
      </c>
      <c r="AF13" s="51">
        <f>IF(ISTEXT(AE13),AF11,0)</f>
        <v>5</v>
      </c>
      <c r="AG13" s="52">
        <f>IF(ISTEXT(AE13),AG11,0)</f>
        <v>1</v>
      </c>
      <c r="AH13" s="54">
        <f>IF(ISTEXT(AE13),AH11,0)</f>
        <v>-5</v>
      </c>
      <c r="AI13" s="6"/>
      <c r="AJ13" s="11" t="str">
        <f>+W10</f>
        <v>C7</v>
      </c>
      <c r="AK13" s="55">
        <f>IF(ISTEXT(AJ13),AK11,0)</f>
        <v>4</v>
      </c>
      <c r="AL13" s="52">
        <f>IF(ISTEXT(AJ13),AL11,0)</f>
        <v>1</v>
      </c>
      <c r="AM13" s="56">
        <f>IF(ISTEXT(AJ13),AM11,0)</f>
        <v>-1</v>
      </c>
      <c r="AN13" s="18"/>
      <c r="AO13" s="44">
        <v>5</v>
      </c>
      <c r="AP13" s="278" t="str">
        <f>+Inscrits!B7</f>
        <v>A5</v>
      </c>
      <c r="AQ13" s="247" t="str">
        <f t="shared" si="3"/>
        <v>0</v>
      </c>
      <c r="AR13" s="82" t="str">
        <f t="shared" si="4"/>
        <v>0</v>
      </c>
      <c r="AS13" s="184" t="str">
        <f t="shared" si="5"/>
        <v>0</v>
      </c>
      <c r="AT13" s="250">
        <f t="shared" si="6"/>
        <v>3</v>
      </c>
      <c r="AU13" s="82">
        <f t="shared" si="7"/>
        <v>7</v>
      </c>
      <c r="AV13" s="252">
        <f t="shared" si="8"/>
        <v>12</v>
      </c>
      <c r="AW13" s="247">
        <f t="shared" si="9"/>
        <v>3</v>
      </c>
      <c r="AX13" s="82">
        <f t="shared" si="10"/>
        <v>5</v>
      </c>
      <c r="AY13" s="252">
        <f t="shared" si="11"/>
        <v>14</v>
      </c>
      <c r="AZ13" s="247">
        <f t="shared" si="17"/>
        <v>6</v>
      </c>
      <c r="BA13" s="82">
        <f t="shared" si="12"/>
        <v>12</v>
      </c>
      <c r="BB13" s="252">
        <f t="shared" si="13"/>
        <v>26</v>
      </c>
      <c r="BC13" s="255">
        <f t="shared" si="14"/>
        <v>0</v>
      </c>
      <c r="BD13" s="7">
        <f t="shared" si="15"/>
        <v>12</v>
      </c>
      <c r="BE13" s="183">
        <f t="shared" si="16"/>
        <v>1.8774001300000001</v>
      </c>
      <c r="BF13" s="82">
        <f>IF(AP13="","",SMALL(BE$9:BE$62,ROWS(AZ$9:AZ13)))</f>
        <v>4.9384005100000001</v>
      </c>
      <c r="BG13"/>
      <c r="BH13" s="250" t="str">
        <f>IF(OR(AP13="",AZ13=""),"",INDEX($AP$9:$AP$63,MATCH(BF13,$BE$9:BE$62,0)))</f>
        <v>C7</v>
      </c>
      <c r="BI13" s="7">
        <f t="shared" si="0"/>
        <v>4</v>
      </c>
      <c r="BJ13" s="7">
        <f t="shared" si="1"/>
        <v>6</v>
      </c>
      <c r="BK13" s="7">
        <f t="shared" si="2"/>
        <v>16</v>
      </c>
      <c r="BL13" s="17">
        <f>IF(BF13="","",IF(AND(BI12=BI13,BJ12=BJ13,BK12=BK13),BL12,$BL$9+4))</f>
        <v>5</v>
      </c>
      <c r="BN13" s="3">
        <f>IF(BH13="","",IF(AND(BK12=BK13,BL12=BL13,BM12=BM13),BN12,$BL$9+15))</f>
        <v>16</v>
      </c>
      <c r="BO13" s="342">
        <f>IF(AND($K$5=8),4,IF(AND($K$5=9),5,IF(AND($K$5=10),6,IF(AND($K$5=11),7,IF(AND($K$5=12),8,IF(AND($K$5=13),9,IF(AND($K$5=14),10,IF(AND($K$5=15),11,IF(AND($K$5=16),12,IF(AND($K$5=17),13,IF(AND($K$5=18),14,IF(AND($K$5=19),15,IF(AND($K$5=20),16,IF(AND($K$5=21),17,IF(AND($K$5=22),18,IF(AND($K$5=23),19,IF(AND($K$5=24),20,IF(AND($K$5=25),21,IF(AND($K$5=26),22,IF(AND($K$5=27),23,IF(AND($K$5=28),24,IF(AND($K$5=29),25,IF(AND($K$5=30),26,IF(AND($K$5=31),27,IF(AND($K$5=32),28,IF(AND($K$5=33),29,IF(AND($K$5=34),30,IF(AND($K$5=35),31,IF(AND($K$5=36),32,IF(AND($K$5=37),33,IF(AND($K$5=38),34,IF(AND($K$5=39),35,IF(AND($K$5=40),36,IF(AND($K$5=41),37,IF(AND($K$5=42),38,IF(AND($K$5=43),39,IF(AND($K$5=44),40,IF(AND($K$5=45),41,IF(AND($K$5=46),42,IF(AND($K$5=47),43,IF(AND($K$5=48),44,IF(AND($K$5=49),45,IF(AND($K$5=50),46,IF(AND($K$5=51),47,IF(AND($K$5=52),48,IF(AND($K$5=53),49,IF(AND($K$5=54),50," ")))))))))))))))))))))))))))))))))))))))))))))))</f>
        <v>44</v>
      </c>
    </row>
    <row r="14" spans="1:67" ht="18" customHeight="1" x14ac:dyDescent="0.4">
      <c r="A14" s="111">
        <v>5</v>
      </c>
      <c r="B14" s="330" t="s">
        <v>70</v>
      </c>
      <c r="C14" s="235">
        <f>IF($P$5&gt;=13,5,0)</f>
        <v>5</v>
      </c>
      <c r="D14" s="332" t="s">
        <v>88</v>
      </c>
      <c r="E14" s="235">
        <f>IF($P$5&gt;=14,5,0)</f>
        <v>5</v>
      </c>
      <c r="F14" s="19" t="s">
        <v>106</v>
      </c>
      <c r="G14" s="235">
        <f>IF($P$5&gt;=15,5,0)</f>
        <v>5</v>
      </c>
      <c r="I14" s="165">
        <v>5</v>
      </c>
      <c r="J14" s="172" t="str">
        <f>IF(ISNA(MATCH(I14,$C$10:$C$27,0)),"",INDEX(B$10:$B$27,MATCH(I14,$C$10:$C$27,0)))</f>
        <v>A5</v>
      </c>
      <c r="K14" s="117" t="str">
        <f>IF(ISNA(MATCH(I14,$E$10:$E$27,0)),"",INDEX($D$10:D$27,MATCH(I14,$E$10:$E$27,0)))</f>
        <v>B5</v>
      </c>
      <c r="L14" s="160" t="str">
        <f>IF(ISNA(MATCH(I14,$G$10:$G$27,0)),"",INDEX($F$10:F$27,MATCH(I14,$G$10:$G$27,0)))</f>
        <v>C5</v>
      </c>
      <c r="M14" s="130"/>
      <c r="N14" s="67">
        <v>3</v>
      </c>
      <c r="O14" s="118" t="str">
        <f>IF($P$5=13,J14,IF($P$5=14,J14,IF($P$5=15,J14,IF($P$5=16,J14,IF($P$5=17,J14,IF($P$5=18,J14,IF($P$5=19,J14,IF($P$5=20,J14,IF($P$5=21,J14,IF($P$5=22,J14,IF($P$5=23,J14,IF($P$5=24,J14,IF($P$5=25,J14,IF($P$5=26,J14,IF($P$5=27,J14,IF($P$5=28,J14,IF($P$5=29,J14,IF($P$5=29,J14,IF($P$5=30,J14,IF($P$5=31,J14,IF($P$5=32,J14,IF($P$5=33,J14,IF($P$5=34,J14,IF($P$5=35,J14,IF($P$5=36,J14,IF($P$5=37,J14,IF($P$5=38,J14,IF($P$5=39,J14,IF($P$5=40,J14,IF($P$5=41,J14,IF($P$5=42,J14,IF($P$5=43,J14,IF($P$5=44,J14,IF($P$5=45,J14,IF($P$5=46,J14,IF($P$5=47,J14,IF($P$5=48,J14,IF($P$5=49,J14,IF($P$5=50,J14,IF($P$5=51,J14,IF($P$5=52,J14,IF($P$5=53,J14,IF($P$5=54,J14,0)))))))))))))))))))))))))))))))))))))))))))</f>
        <v>A5</v>
      </c>
      <c r="P14" s="119" t="str">
        <f>IF($P$5=13,L12,IF($P$5=14,L12,IF($P$5=15,L12,IF($P$5=16,K14,IF($P$5=17,K14,IF($P$5=18,K14,IF($P$5=19,K14,IF($P$5=20,K14,IF($P$5=21,K14,IF($P$5=22,K14,IF($P$5=23,K14,IF($P$5=24,K14,IF($P$5=25,K14,IF($P$5=26,K14,IF($P$5=27,K14,IF($P$5=28,K14,IF($P$5=29,K14,IF($P$5=30,K14,IF($P$5=31,K14,IF($P$5=32,K14,IF($P$5=33,K14,IF($P$5=34,K14,IF($P$5=35,K14,IF($P$5=36,K14,IF($P$5=37,K14,IF($P$5=38,K14,IF($P$5=39,K14,IF($P$5=40,K14,IF($P$5=41,K14,IF($P$5=42,K14,IF($P$5=43,K14,IF($P$5=44,K14,IF($P$5=45,K14,IF($P$5=46,K14,IF($P$5=47,K14,IF($P$5=48,K14,IF($P$5=49,K14,IF($P$5=50,K14,IF($P$5=51,K14,IF($P$5=52,K14,IF($P$5=53,K14,IF($P$5=54,K14,0))))))))))))))))))))))))))))))))))))))))))</f>
        <v>B5</v>
      </c>
      <c r="Q14" s="120" t="str">
        <f>IF($P$5=17,L14,IF($P$5=18,L14,IF($P$5=21,L14,IF($P$5=22,L14,IF($P$5=23,L14,IF($P$5=24,L14,IF($P$5=25,L14,IF($P$5=26,L14,IF($P$5=27,L14,IF($P$5=28,L14,IF($P$5=29,L14,IF($P$5=30,L14,IF($P$5=31,L14,IF($P$5=32,L14,IF($P$5=33,L14,IF($P$5=34,L14,IF($P$5=35,L14,IF($P$5=36,L14,IF($P$5=37,L14,IF($P$5=38,L14,IF($P$5=39,L14,IF($P$5=40,L14,IF($P$5=41,L14,IF($P$5=42,L14,IF($P$5=43,L14,IF($P$5=44,L14,IF($P$5=45,L14,IF($P$5=46,L14,IF($P$5=47,L14,IF($P$5=48,L14,IF($P$5=49,L14,IF($P$5=50,L14,IF($P$5=51,L14,IF($P$5=52,L14,IF($P$5=53,L14,IF($P$5=54,L14,0))))))))))))))))))))))))))))))))))))</f>
        <v>C5</v>
      </c>
      <c r="R14" s="135" t="str">
        <f>IF($P$5=13,J13,IF($P$5=14,J10,IF($P$5=15,J10,IF($P$5=16,J15,IF($P$5=17,J11,IF($P$5=18,J13,IF($P$5=19,J14,IF($P$5=20,J14,IF($P$5=21,J13,IF($P$5=22,J15,IF($P$5=23,O16,IF($P$5=24,J15,IF($P$5=25,J15,IF($P$5=26,J15,IF($P$5=27,J15,IF($P$5=28,J15,IF($P$5=29,J15,IF($P$5=30,J15,IF($P$5=31,J15,IF($P$5=32,J15,IF($P$5=33,J15,IF($P$5=34,J15,IF($P$5=35,J15,IF($P$5=36,J15,IF($P$5=37,J15,IF($P$5=38,J15,IF($P$5=39,J15,IF($P$5=40,J15,IF($P$5=41,J15,IF($P$5=42,J15,IF($P$5=43,J15,IF($P$5=44,J15,IF($P$5=45,J15,IF($P$5=46,J15,IF($P$5=47,J15,IF($P$5=48,J15,IF($P$5=49,J15,IF($P$5=50,J15,IF($P$5=51,J15,IF($P$5=52,J15,IF($P$5=53,J15,IF($P$5=54,J15,0))))))))))))))))))))))))))))))))))))))))))</f>
        <v>A6</v>
      </c>
      <c r="S14" s="138" t="str">
        <f>IF($P$5=13,P14,IF($P$5=14,L11,IF($P$5=15,Q11,IF($P$5=16,K11,IF($P$5=17,K15,IF($P$5=18,K15,IF($P$5=19,P10,IF($P$5=20,K11,IF($P$5=21,K15,IF($P$5=22,Q11,IF($P$5=23,P17,IF($P$5=24,K17,IF($P$5=25,K16,IF($P$5=26,K17,IF($P$5=27,K15,IF($P$5=28,K17,IF($P$5=29,P16,IF($P$5=30,P14,IF($P$5=31,K17,IF($P$5=32,K17,IF($P$5=33,K17,IF($P$5=34,K17,IF($P$5=35,K17,IF($P$5=36,K16,IF($P$5=37,K16,IF($P$5=38,K16,IF($P$5=39,K16,IF($P$5=40,K16,IF($P$5=41,K16,IF($P$5=42,K16,IF($P$5=43,K16,IF($P$5=44,K16,IF($P$5=45,K16,IF($P$5=46,K16,IF($P$5=47,K16,IF($P$5=48,K16,IF($P$5=49,K16,IF($P$5=50,K16,IF($P$5=51,K16,IF($P$5=52,K16,IF($P$5=53,K16,IF($P$5=54,K16,0))))))))))))))))))))))))))))))))))))))))))</f>
        <v>B7</v>
      </c>
      <c r="T14" s="154" t="str">
        <f>IF($P$5=17,L10,IF($P$5=18,Q10,IF($P$5=20,0,IF($P$5=21,Q14,IF($P$5=22,P17,IF($P$5=23,Q15,IF($P$5=24,Q16,IF($P$5=25,Q14,IF($P$5=26,Q14,IF($P$5=27,L15,IF($P$5=28,Q16,IF($P$5=29,Q13,IF($P$5=30,L11,IF($P$5=31,L16,IF($P$5=32,L16,IF($P$5=33,L16,IF($P$5=34,L16,IF($P$5=35,L16,IF($P$5=36,L17,IF($P$5=37,L17,IF($P$5=38,L17,IF($P$5=39,L17,IF($P$5=40,L17,IF($P$5=41,L17,IF($P$5=42,L17,IF($P$5=43,L17,IF($P$5=44,L17,IF($P$5=45,L17,IF($P$5=46,L17,IF($P$5=47,L17,IF($P$5=48,L17,IF($P$5=49,L17,IF($P$5=50,L17,IF($P$5=51,L17,IF($P$5=52,L17,IF($P$5=53,L17,IF($P$5=54,L17,0)))))))))))))))))))))))))))))))))))))</f>
        <v>C8</v>
      </c>
      <c r="U14" s="135" t="str">
        <f>IF($P$5=13,R10,IF($P$5=14,R10,IF($P$5=15,R10,IF($P$5=16,R12,IF($P$5=17,R14,IF($P$5=18,R13,IF($P$5=19,R10,IF($P$5=20,R14,IF($P$5=21,R11,IF($P$5=22,R13,IF($P$5=23,R17,IF($P$5=24,R10,IF($P$5=25,R10,IF($P$5=26,R10,IF($P$5=27,R10,IF($P$5=28,R10,IF($P$5=29,R10,IF($P$5=30,R10,IF($P$5=31,R14,IF($P$5=32,R14,IF($P$5=33,R14,IF($P$5=34,R14,IF($P$5=35,R14,IF($P$5=36,R15,IF($P$5=37,R15,IF($P$5=38,R15,IF($P$5=39,R15,IF($P$5=40,R15,IF($P$5=41,R15,IF($P$5=42,O16,IF($P$5=43,R15,IF($P$5=44,R15,IF($P$5=45,R15,IF($P$5=46,R15,IF($P$5=47,R15,IF($P$5=48,R15,IF($P$5=49,R15,IF($P$5=50,O16,IF($P$5=51,O16,IF($P$5=52,O16,IF($P$5=53,O16,IF($P$5=54,O16,0))))))))))))))))))))))))))))))))))))))))))</f>
        <v>A7</v>
      </c>
      <c r="V14" s="132" t="str">
        <f>IF($P$5=13,S13,IF($P$5=14,S15,IF($P$5=15,S15,IF($P$5=16,S13,IF($P$5=17,S15,IF($P$5=18,S15,IF($P$5=19,S13,IF($P$5=20,S15,IF($P$5=21,S10,IF($P$5=22,S17,IF($P$5=23,S12,IF($P$5=24,S11,IF($P$5=25,S15,IF($P$5=26,S15,IF($P$5=27,S15,IF($P$5=28,S15,IF($P$5=29,S14,IF($P$5=30,S15,IF($P$5=31,T11,IF($P$5=32,S15,IF($P$5=33,S15,IF($P$5=34,S15,IF($P$5=35,S15,IF($P$5=36,S16,IF($P$5=37,S16,IF($P$5=38,S16,IF($P$5=39,S16,IF($P$5=40,S16,IF($P$5=41,S16,IF($P$5=42,S16,IF($P$5=43,S16,IF($P$5=44,S16,IF($P$5=45,S16,IF($P$5=46,S16,IF($P$5=47,S16,IF($P$5=48,S16,IF($P$5=49,S16,IF($P$5=50,S16,IF($P$5=51,S16,IF($P$5=52,S16,IF($P$5=53,S16,IF($P$5=54,S16,0))))))))))))))))))))))))))))))))))))))))))</f>
        <v>B9</v>
      </c>
      <c r="W14" s="144" t="str">
        <f>IF($P$5=17,T10,IF($P$5=18,T11,IF($P$5=21,T14,IF($P$5=22,T11,IF($P$5=23,T15,IF($P$5=24,T16,IF($P$5=25,T14,IF($P$5=26,S17,IF($P$5=27,T16,IF($P$5=28,T16,IF($P$5=29,T16,IF($P$5=30,T16,IF($P$5=31,S19,IF($P$5=32,T13,IF($P$5=33,T16,IF($P$5=34,T18,IF($P$5=35,T17,IF($P$5=36,T17,IF($P$5=37,T17,IF($P$5=38,T17,IF($P$5=39,T17,IF($P$5=40,T17,IF($P$5=41,T17,IF($P$5=42,T17,IF($P$5=43,T17,IF($P$5=44,T17,IF($P$5=45,T17,IF($P$5=46,T17,IF($P$5=47,T17,IF($P$5=48,T17,IF($P$5=49,T17,IF($P$5=50,T17,IF($P$5=51,T17,IF($P$5=52,T17,IF($P$5=53,T17,IF($P$5=54,T17,0))))))))))))))))))))))))))))))))))))</f>
        <v>C11</v>
      </c>
      <c r="Y14" s="383"/>
      <c r="Z14" s="24"/>
      <c r="AA14" s="195" t="s">
        <v>5</v>
      </c>
      <c r="AB14" s="16"/>
      <c r="AC14" s="17"/>
      <c r="AD14" s="20"/>
      <c r="AE14" s="24"/>
      <c r="AF14" s="195" t="s">
        <v>5</v>
      </c>
      <c r="AG14" s="16"/>
      <c r="AH14" s="17"/>
      <c r="AI14" s="20"/>
      <c r="AJ14" s="24"/>
      <c r="AK14" s="195" t="s">
        <v>5</v>
      </c>
      <c r="AL14" s="16"/>
      <c r="AM14" s="17"/>
      <c r="AN14" s="18"/>
      <c r="AO14" s="44">
        <v>6</v>
      </c>
      <c r="AP14" s="278" t="str">
        <f>+Inscrits!B8</f>
        <v>A6</v>
      </c>
      <c r="AQ14" s="247" t="str">
        <f t="shared" si="3"/>
        <v>0</v>
      </c>
      <c r="AR14" s="82" t="str">
        <f t="shared" si="4"/>
        <v>0</v>
      </c>
      <c r="AS14" s="184" t="str">
        <f t="shared" si="5"/>
        <v>0</v>
      </c>
      <c r="AT14" s="250" t="str">
        <f t="shared" si="6"/>
        <v>0</v>
      </c>
      <c r="AU14" s="82" t="str">
        <f t="shared" si="7"/>
        <v>0</v>
      </c>
      <c r="AV14" s="252" t="str">
        <f t="shared" si="8"/>
        <v>0</v>
      </c>
      <c r="AW14" s="247">
        <f t="shared" si="9"/>
        <v>1</v>
      </c>
      <c r="AX14" s="82">
        <f t="shared" si="10"/>
        <v>-5</v>
      </c>
      <c r="AY14" s="252">
        <f t="shared" si="11"/>
        <v>9</v>
      </c>
      <c r="AZ14" s="247">
        <f t="shared" si="17"/>
        <v>1</v>
      </c>
      <c r="BA14" s="82">
        <f t="shared" si="12"/>
        <v>-5</v>
      </c>
      <c r="BB14" s="252">
        <f t="shared" si="13"/>
        <v>9</v>
      </c>
      <c r="BC14" s="255">
        <f t="shared" si="14"/>
        <v>-5</v>
      </c>
      <c r="BD14" s="7">
        <f t="shared" si="15"/>
        <v>0</v>
      </c>
      <c r="BE14" s="183">
        <f t="shared" si="16"/>
        <v>18.04910014</v>
      </c>
      <c r="BF14" s="82">
        <f>IF(AP14="","",SMALL(BE$9:BE$62,ROWS(AZ$9:AZ14)))</f>
        <v>4.9883002900000006</v>
      </c>
      <c r="BG14"/>
      <c r="BH14" s="250" t="str">
        <f>IF(OR(AP14="",AZ14=""),"",INDEX($AP$9:$AP$63,MATCH(BF14,$BE$9:BE$62,0)))</f>
        <v>B3</v>
      </c>
      <c r="BI14" s="7">
        <f t="shared" si="0"/>
        <v>4</v>
      </c>
      <c r="BJ14" s="7">
        <f t="shared" si="1"/>
        <v>1</v>
      </c>
      <c r="BK14" s="7">
        <f t="shared" si="2"/>
        <v>17</v>
      </c>
      <c r="BL14" s="17">
        <f>IF(BF14="","",IF(AND(BI13=BI14,BJ13=BJ14,BK13=BK14),BL13,$BL$9+5))</f>
        <v>6</v>
      </c>
      <c r="BN14" s="3">
        <f>IF(BH14="","",IF(AND(BK13=BK14,BL13=BL14,BM13=BM14),BN13,$BL$9+14))</f>
        <v>15</v>
      </c>
      <c r="BO14" s="342">
        <f>IF(AND($K$5=8),3,IF(AND($K$5=9),4,IF(AND($K$5=10),5,IF(AND($K$5=11),6,IF(AND($K$5=12),7,IF(AND($K$5=13),8,IF(AND($K$5=14),9,IF(AND($K$5=15),10,IF(AND($K$5=16),11,IF(AND($K$5=17),12,IF(AND($K$5=18),13,IF(AND($K$5=19),14,IF(AND($K$5=20),15,IF(AND($K$5=21),16,IF(AND($K$5=22),17,IF(AND($K$5=23),18,IF(AND($K$5=24),19,IF(AND($K$5=25),20,IF(AND($K$5=26),21,IF(AND($K$5=27),22,IF(AND($K$5=28),23,IF(AND($K$5=29),24,IF(AND($K$5=30),25,IF(AND($K$5=31),26,IF(AND($K$5=32),27,IF(AND($K$5=33),28,IF(AND($K$5=34),29,IF(AND($K$5=35),30,IF(AND($K$5=36),31,IF(AND($K$5=37),32,IF(AND($K$5=38),33,IF(AND($K$5=39),34,IF(AND($K$5=40),35,IF(AND($K$5=41),36,IF(AND($K$5=42),37,IF(AND($K$5=43),38,IF(AND($K$5=44),39,IF(AND($K$5=45),40,IF(AND($K$5=46),41,IF(AND($K$5=47),42,IF(AND($K$5=48),43,IF(AND($K$5=49),44,IF(AND($K$5=50),45,IF(AND($K$5=51),46,IF(AND($K$5=52),47,IF(AND($K$5=53),48,IF(AND($K$5=54),49," ")))))))))))))))))))))))))))))))))))))))))))))))</f>
        <v>43</v>
      </c>
    </row>
    <row r="15" spans="1:67" ht="18" customHeight="1" thickBot="1" x14ac:dyDescent="0.45">
      <c r="A15" s="111">
        <v>6</v>
      </c>
      <c r="B15" s="330" t="s">
        <v>71</v>
      </c>
      <c r="C15" s="235">
        <f>IF($P$5&gt;=16,6,0)</f>
        <v>6</v>
      </c>
      <c r="D15" s="332" t="s">
        <v>89</v>
      </c>
      <c r="E15" s="235">
        <f>IF($P$5&gt;=17,6,0)</f>
        <v>6</v>
      </c>
      <c r="F15" s="19" t="s">
        <v>107</v>
      </c>
      <c r="G15" s="235">
        <f>IF($P$5&gt;=18,6,0)</f>
        <v>6</v>
      </c>
      <c r="I15" s="165">
        <v>6</v>
      </c>
      <c r="J15" s="172" t="str">
        <f>IF(ISNA(MATCH(I15,$C$10:$C$27,0)),"",INDEX(B$10:$B$27,MATCH(I15,$C$10:$C$27,0)))</f>
        <v>A6</v>
      </c>
      <c r="K15" s="117" t="str">
        <f>IF(ISNA(MATCH(I15,$E$10:$E$27,0)),"",INDEX($D$10:D$27,MATCH(I15,$E$10:$E$27,0)))</f>
        <v>B6</v>
      </c>
      <c r="L15" s="160" t="str">
        <f>IF(ISNA(MATCH(I15,$G$10:$G$27,0)),"",INDEX($F$10:F$27,MATCH(I15,$G$10:$G$27,0)))</f>
        <v>C6</v>
      </c>
      <c r="M15" s="130"/>
      <c r="N15" s="42" t="s">
        <v>5</v>
      </c>
      <c r="O15" s="121" t="str">
        <f>IF($P$5=13,K13,IF($P$5=14,K14,IF($P$5=15,K14,IF($P$5=16,J15,IF($P$5=17,J15,IF($P5=18,J15,IF($P$5=19,J15,IF($P$5=20,J15,IF($P$5=21,J15,IF($P$5=22,J15,IF($P$5=23,J15,IF($P$5=24,J15,IF($P$5=25,J15,IF($P$5=26,J15,IF($P$5=27,J15,IF($P$5=28,J15,IF($P$5=29,J15,IF($P$5=30,J15,IF($P$5=31,J15,IF($P$5=32,J15,IF($P$5=33,J15,IF($P$5=34,J15,IF($P$5=35,J15,IF($P$5=36,J15,IF($P$5=37,J15,IF($P$5=38,J15,IF($P$5=39,J15,IF($P$5=40,J15,IF($P$5=41,J15,IF($P$5=42,J15,IF($P$5=43,J15,IF($P$5=44,J15,IF($P$5=45,J15,IF($P$5=46,J15,IF($P$5=47,J15,IF($P$5=48,J15,IF($P$5=49,J15,IF($P$5=50,J15,IF($P$5=51,J15,IF($P$5=52,J15,IF($P$5=53,J15,IF($P$5=54,J15,0))))))))))))))))))))))))))))))))))))))))))</f>
        <v>A6</v>
      </c>
      <c r="P15" s="122" t="str">
        <f>IF($P$5=13,L13,IF($P$5=14,L13,IF($P$5=15,L13,IF($P$5=16,L14,IF($P$5=17,K15,IF($P$5=18,K15,IF($P$5=19,L13,IF($P$5=20,K15,IF($P$5=21,K15,IF($P$5=22,K15,IF($P$5=23,K15,IF($P$5=24,K15,IF($P$5=25,K15,IF($P$5=26,K15,IF($P$5=27,K15,IF($P$5=28,K15,IF($P$5=29,K15,IF($P$5=30,K15,IF($P$5=31,K15,IF($P$5=32,K15,IF($P$5=33,K15,IF($P$5=34,K15,IF($P$5=35,K15,IF($P$5=36,K15,IF($P$5=37,K15,IF($P$5=38,K15,IF($P$5=39,K15,IF($P$5=40,K15,IF($P$5=41,K15,IF($P$5=42,K15,IF($P$5=43,K15,IF($P$5=44,K15,IF($P$5=45,K15,IF($P$5=46,K15,IF($P$5=47,K15,IF($P$5=48,K15,IF($P$5=49,K15,IF($P$5=50,K15,IF($P$5=51,K15,IF($P$5=52,K15,IF($P$5=53,K15,IF($P$5=54,K15,0))))))))))))))))))))))))))))))))))))))))))</f>
        <v>B6</v>
      </c>
      <c r="Q15" s="123" t="str">
        <f>IF($P$5=18,L15,IF($P$5=22,L15,IF($P$5=23,L15,IF(P$5=24,L15,IF($P$5=26,L15,IF($P$5=27,L15,IF($P$5=28,L15,IF($P$5=29,L15,IF($P$5=30,L15,IF($P$5=31,L15,IF($P$5=32,L15,IF($P$5=33,L15,IF($P$5=34,L15,IF($P$5=35,L15,IF($P$5=36,L15,IF($P$5=37,L15,IF($P$5=38,L15,IF($P$5=39,L15,IF($P$5=40,L15,IF($P$5=41,L15,IF($P$5=42,L15,IF($P$5=43,L15,IF($P$5=44,L15,IF($P$5=45,L15,IF($P$5=46,L15,IF($P$5=47,L15,IF($P$5=48,L15,IF($P$5=49,L15,IF($P$5=50,L15,IF($P$5=51,L15,IF($P$5=52,L15,IF($P$5=53,L15,IF($P$5=54,L15,0)))))))))))))))))))))))))))))))))</f>
        <v>C6</v>
      </c>
      <c r="R15" s="139" t="str">
        <f>IF($P$5=13,K10,IF($P$5=14,O15,IF($P$5=15,O15,IF($P$5=16,J10,IF($P$5=17,J15,IF($P$5=18,J15,IF($P$5=19,J15,IF($P$5=20,J15,IF($P$5=21,J15,IF($P$5=22,J16,IF($P$5=23,O15,IF($P$5=24,J16,IF($P$5=25,J16,IF($P$5=26,J16,IF($P$5=27,J16,IF($P$5=28,J16,IF($P$5=29,O16,IF($P$5=30,J16,IF($P$5=31,J16,IF($P$5=32,J16,IF($P$5=33,J16,IF($P$5=34,J16,IF($P$5=35,J16,IF($P$5=36,J16,IF($P$5=37,J16,IF($P$5=38,J16,IF($P$5=39,J16,IF($P$5=40,J16,IF($P$5=41,J16,IF($P$5=42,J16,IF($P$5=43,J16,IF($P$5=44,J16,IF($P$5=45,J16,IF($P$5=46,J16,IF($P$5=47,J16,IF($P$5=48,J16,IF($P$5=49,J16,IF($P$5=50,J16,IF($P$5=51,J16,IF($P$5=52,J16,IF($P$5=53,J16,IF($P$5=54,J16,0))))))))))))))))))))))))))))))))))))))))))</f>
        <v>A7</v>
      </c>
      <c r="S15" s="134" t="str">
        <f>IF($P$5=13,O15,IF($P$5=14,P14,IF($P$5=15,Q10,IF($P$5=16,L12,IF(P$5=17,P10,IF($P$5=18,K10,IF($P$5=19,L11,IF($P$5=20,K13,IF($P$5=21,L10,IF($P$5=22,P15,IF($P$5=23,P10,IF($P$5=24,K13,IF($P$5=25,K15,IF($P$5=26,K13,IF($P$5=27,K16,IF($P$5=28,P12,IF($P$5=29,P17,IF($P$5=30,P17,IF($P$5=31,K15,IF($P$5=32,K18,IF($P$5=33,K18,IF($P$5=34,K18,IF($P$5=35,K18,IF($P$5=36,K17,IF($P$5=37,K17,IF($P$5=38,K17,IF($P$5=39,K17,IF($P$5=40,K17,IF($P$5=41,K17,IF($P$5=42,K17,IF($P$5=43,K17,IF($P$5=44,K17,IF($P$5=45,K17,IF($P$5=46,K17,IF($P$5=47,K17,IF($P$5=48,K17,IF($P$5=49,K17,IF($P$5=50,K17,IF($P$5=51,K17,IF($P$5=52,K17,IF($P$5=53,K17,IF($P$5=54,K17,0))))))))))))))))))))))))))))))))))))))))))</f>
        <v>B8</v>
      </c>
      <c r="T15" s="155" t="str">
        <f>IF($P$5=17,0,IF($P$5=18,Q11,IF($P$5=21,0,IF($P$5=22,L10,IF($P$5=23,Q14,IF($P$5=24,Q14,IF($P$5=25,0,IF($P$5=26,P18,IF($P$5=27,Q14,IF($P$5=28,Q15,IF($P$5=29,Q15,IF($P$5=30,Q18,IF($P$5=31,L10,IF($P$5=32,L15,IF($P$5=33,L15,IF($P$5=34,L15,IF($P$5=35,L15,IF($P$5=36,L18,IF($P$5=37,L18,IF($P$5=38,L18,IF($P$5=39,L18,IF($P$5=40,L18,IF($P$5=41,L18,IF($P$5=42,L18,IF($P$5=43,L18,IF($P$5=44,L18,IF($P$5=45,L18,IF($P$5=46,L18,IF($P$5=47,L18,IF($P$5=48,L18,IF($P$5=49,L18,IF($P$5=50,L18,IF($P$5=51,L18,IF($P$5=52,L18,IF($P$5=53,L18,IF($P$5=54,L18,0))))))))))))))))))))))))))))))))))))</f>
        <v>C9</v>
      </c>
      <c r="U15" s="157" t="str">
        <f>IF($P$5=13,S15,IF($P$5=14,R15,IF($P$5=15,R15,IF($P$5=16,R10,IF($P$5=17,R15,IF($P$5=18,R15,IF($P$5=19,R15,IF($P$5=20,R15,IF($P$5=21,R15,IF($P$5=22,R15,IF($P$5=23,R14,IF($P$5=24,R15,IF($P$5=25,R15,IF($P$5=26,R15,IF($P$5=27,R15,IF($P$5=28,R15,IF($P$5=29,R15,IF($P$5=30,R15,IF($P$5=31,R15,IF($P$5=32,R16,IF($P$5=33,R16,IF($P$5=34,R16,IF($P$5=35,R16,IF($P$5=36,R16,IF($P$5=37,R16,IF($P$5=38,R16,IF($P$5=39,R16,IF($P$5=40,R16,IF($P$5=41,R16,IF($P$5=42,O17,IF($P$5=43,R16,IF($P$5=44,R16,IF($P$5=45,R16,IF($P$5=46,R16,IF($P$5=47,R16,IF($P$5=48,R16,IF($P$5=49,R16,IF($P$5=50,O17,IF($P$5=51,O17,IF($P$5=52,O17,IF($P$5=53,O17,IF($P$5=54,O17,0))))))))))))))))))))))))))))))))))))))))))</f>
        <v>A8</v>
      </c>
      <c r="V15" s="137" t="str">
        <f>IF($P$5=13,S14,IF($P$5=14,S10,IF($P$5=15,T10,IF($P$5=16,T12,IF($P$5=17,S12,IF($P$5=18,S12,IF($P$5=19,T11,IF($P$5=20,S12,IF($P$5=21,T10,IF($P$5=22,S16,IF($P$5=23,S16,IF($P$5=24,S16,IF($P$5=25,S18,IF($P$5=26,S16,IF($P$5=27,S16,IF($P$5=28,S16,IF($P$5=29,S16,IF($P$5=30,S16,IF($P$5=31,S10,IF($P$5=32,S21,IF($P$5=33,S17,IF($P$5=34,S17,IF($P$5=35,S19,IF($P$5=36,S17,IF($P$5=37,S17,IF($P$5=38,S17,IF($P$5=39,S17,IF($P$5=40,S17,IF($P$5=41,S17,IF($P$5=42,S17,IF($P$5=43,S17,IF($P$5=44,S17,IF($P$5=45,S17,IF($P$5=46,S17,IF($P$5=47,S17,IF($P$5=48,S17,IF($P$5=49,S17,IF($P$5=50,S17,IF($P$5=51,S17,IF($P$5=52,S17,IF($P$5=53,S17,IF($P$5=54,S17,0))))))))))))))))))))))))))))))))))))))))))</f>
        <v>B10</v>
      </c>
      <c r="W15" s="146" t="str">
        <f>IF($P$5=18,T10,IF($P$5=22,S14,IF($P$5=23,T10,IF($P$5=24,T17,IF($P$5=26,T11,IF($P$5=27,S17,IF($P$5=28,T17,IF($P$5=29,T17,IF($P$5=30,T17,IF($P$5=31,S20,IF($P$5=32,T15,IF($P$5=33,T13,IF($P$5=34,T13,IF($P$5=35,T13,IF($P$5=36,T18,IF($P$5=37,T18,IF($P$5=38,T18,IF($P$5=39,S23,IF($P$5=40,T18,IF($P$5=41,T18,IF($P$5=42,T18,IF($P$5=43,T18,IF($P$5=44,T18,IF($P$5=45,T18,IF($P$5=46,T18,IF($P$5=47,T18,IF($P$5=48,T18,IF($P$5=49,T18,IF($P$5=50,T18,IF($P$5=51,T18,IF($P$5=52,T18,IF($P$5=53,T18,IF($P$5=54,T18,0)))))))))))))))))))))))))))))))))</f>
        <v>C12</v>
      </c>
      <c r="Y15" s="383"/>
      <c r="Z15" s="11" t="str">
        <f>+O11</f>
        <v>A2</v>
      </c>
      <c r="AA15" s="26">
        <v>6</v>
      </c>
      <c r="AB15" s="23">
        <f>IF(AA11+AA15=0,0,IF(AA11=AA15,2,IF(AA11&lt;AA15,3,1)))</f>
        <v>3</v>
      </c>
      <c r="AC15" s="12">
        <f>AA15-AA11</f>
        <v>1</v>
      </c>
      <c r="AD15" s="19"/>
      <c r="AE15" s="11" t="str">
        <f>+R11</f>
        <v>A3</v>
      </c>
      <c r="AF15" s="108">
        <v>10</v>
      </c>
      <c r="AG15" s="23">
        <f>IF(AF11+AF15=0,0,IF(AF11=AF15,2,IF(AF11&lt;AF15,3,1)))</f>
        <v>3</v>
      </c>
      <c r="AH15" s="12">
        <f>AF15-AF11</f>
        <v>5</v>
      </c>
      <c r="AI15" s="19"/>
      <c r="AJ15" s="11" t="str">
        <f>+U11</f>
        <v>A4</v>
      </c>
      <c r="AK15" s="29">
        <v>5</v>
      </c>
      <c r="AL15" s="23">
        <f>IF(AK11+AK15=0,0,IF(AK11=AK15,2,IF(AK11&lt;AK15,3,1)))</f>
        <v>3</v>
      </c>
      <c r="AM15" s="12">
        <f>AK15-AK11</f>
        <v>1</v>
      </c>
      <c r="AN15" s="18"/>
      <c r="AO15" s="44">
        <v>7</v>
      </c>
      <c r="AP15" s="278" t="str">
        <f>+Inscrits!B9</f>
        <v>A7</v>
      </c>
      <c r="AQ15" s="247" t="str">
        <f t="shared" si="3"/>
        <v>0</v>
      </c>
      <c r="AR15" s="82" t="str">
        <f t="shared" si="4"/>
        <v>0</v>
      </c>
      <c r="AS15" s="184" t="str">
        <f t="shared" si="5"/>
        <v>0</v>
      </c>
      <c r="AT15" s="250" t="str">
        <f t="shared" si="6"/>
        <v>0</v>
      </c>
      <c r="AU15" s="82" t="str">
        <f t="shared" si="7"/>
        <v>0</v>
      </c>
      <c r="AV15" s="252" t="str">
        <f t="shared" si="8"/>
        <v>0</v>
      </c>
      <c r="AW15" s="247" t="str">
        <f t="shared" si="9"/>
        <v>0</v>
      </c>
      <c r="AX15" s="82" t="str">
        <f t="shared" si="10"/>
        <v>0</v>
      </c>
      <c r="AY15" s="252" t="str">
        <f t="shared" si="11"/>
        <v>0</v>
      </c>
      <c r="AZ15" s="247">
        <f t="shared" si="17"/>
        <v>0</v>
      </c>
      <c r="BA15" s="82">
        <f t="shared" si="12"/>
        <v>0</v>
      </c>
      <c r="BB15" s="252">
        <f t="shared" si="13"/>
        <v>0</v>
      </c>
      <c r="BC15" s="255">
        <f t="shared" si="14"/>
        <v>0</v>
      </c>
      <c r="BD15" s="7">
        <f t="shared" si="15"/>
        <v>0</v>
      </c>
      <c r="BE15" s="183">
        <f t="shared" si="16"/>
        <v>25.000000150000002</v>
      </c>
      <c r="BF15" s="82">
        <f>IF(AP15="","",SMALL(BE$9:BE$62,ROWS(AZ$9:AZ15)))</f>
        <v>5.0084002999999999</v>
      </c>
      <c r="BG15"/>
      <c r="BH15" s="250" t="str">
        <f>IF(OR(AP15="",AZ15=""),"",INDEX($AP$9:$AP$63,MATCH(BF15,$BE$9:BE$62,0)))</f>
        <v>B4</v>
      </c>
      <c r="BI15" s="7">
        <f t="shared" si="0"/>
        <v>4</v>
      </c>
      <c r="BJ15" s="7">
        <f t="shared" si="1"/>
        <v>-1</v>
      </c>
      <c r="BK15" s="7">
        <f t="shared" si="2"/>
        <v>16</v>
      </c>
      <c r="BL15" s="17">
        <f>IF(BF15="","",IF(AND(BI14=BI15,BJ14=BJ15,BK14=BK15),BL14,$BL$9+6))</f>
        <v>7</v>
      </c>
      <c r="BN15" s="3">
        <f>IF(BH15="","",IF(AND(BK14=BK15,BL14=BL15,BM14=BM15),BN14,$BL$9+13))</f>
        <v>14</v>
      </c>
      <c r="BO15" s="342">
        <f>IF(AND($K$5=8),2,IF(AND($K$5=9),3,IF(AND($K$5=10),4,IF(AND($K$5=11),5,IF(AND($K$5=12),6,IF(AND($K$5=13),7,IF(AND($K$5=14),8,IF(AND($K$5=15),9,IF(AND($K$5=16),10,IF(AND($K$5=17),11,IF(AND($K$5=18),12,IF(AND($K$5=19),13,IF(AND($K$5=20),14,IF(AND($K$5=21),15,IF(AND($K$5=22),16,IF(AND($K$5=23),17,IF(AND($K$5=24),18,IF(AND($K$5=25),19,IF(AND($K$5=26),20,IF(AND($K$5=27),21,IF(AND($K$5=28),22,IF(AND($K$5=29),23,IF(AND($K$5=30),24,IF(AND($K$5=31),25,IF(AND($K$5=32),26,IF(AND($K$5=33),27,IF(AND($K$5=34),28,IF(AND($K$5=35),29,IF(AND($K$5=36),30,IF(AND($K$5=37),31,IF(AND($K$5=38),32,IF(AND($K$5=39),33,IF(AND($K$5=40),34,IF(AND($K$5=41),35,IF(AND($K$5=42),36,IF(AND($K$5=43),37,IF(AND($K$5=44),38,IF(AND($K$5=45),39,IF(AND($K$5=46),40,IF(AND($K$5=47),41,IF(AND($K$5=48),42,IF(AND($K$5=49),43,IF(AND($K$5=50),44,IF(AND($K$5=51),45,IF(AND($K$5=52),46,IF(AND($K$5=53),47,IF(AND($K$5=54),48," ")))))))))))))))))))))))))))))))))))))))))))))))</f>
        <v>42</v>
      </c>
    </row>
    <row r="16" spans="1:67" ht="18" customHeight="1" thickBot="1" x14ac:dyDescent="0.45">
      <c r="A16" s="111">
        <v>7</v>
      </c>
      <c r="B16" s="330" t="s">
        <v>72</v>
      </c>
      <c r="C16" s="235">
        <f>IF($P$5&gt;=19,7,0)</f>
        <v>7</v>
      </c>
      <c r="D16" s="332" t="s">
        <v>90</v>
      </c>
      <c r="E16" s="235">
        <f>IF($P$5&gt;=20,7,0)</f>
        <v>7</v>
      </c>
      <c r="F16" s="19" t="s">
        <v>108</v>
      </c>
      <c r="G16" s="235">
        <f>IF($P$5&gt;=21,7,0)</f>
        <v>7</v>
      </c>
      <c r="I16" s="165">
        <v>7</v>
      </c>
      <c r="J16" s="172" t="str">
        <f>IF(ISNA(MATCH(I16,$C$10:$C$27,0)),"",INDEX(B$10:$B$27,MATCH(I16,$C$10:$C$27,0)))</f>
        <v>A7</v>
      </c>
      <c r="K16" s="117" t="str">
        <f>IF(ISNA(MATCH(I16,$E$10:$E$27,0)),"",INDEX($D$10:D$27,MATCH(I16,$E$10:$E$27,0)))</f>
        <v>B7</v>
      </c>
      <c r="L16" s="160" t="str">
        <f>IF(ISNA(MATCH(I16,$G$10:$G$27,0)),"",INDEX($F$10:F$27,MATCH(I16,$G$10:$G$27,0)))</f>
        <v>C7</v>
      </c>
      <c r="M16" s="130"/>
      <c r="N16" s="67">
        <v>4</v>
      </c>
      <c r="O16" s="118" t="str">
        <f>IF($P$5=19,J16,IF($P$5=20,J16,IF($P$5=21,J16,IF($P$5=22,J16,IF($P$5=23,J16,IF(P$5=24,J16,IF($P$5=25,J16,IF($P$5=26,J16,IF(P$5=27,J16,IF($P$5=28,J16,IF($P$5=29,J16,IF($P$5=30,J16,IF($P$5=31,J16,IF($P$5=32,J16,IF($P$5=33,J16,IF($P$5=34,J16,IF($P$5=35,J16,IF($P$5=36,J16,IF($P$5=37,J16,IF($P$5=38,J16,IF($P$5=39,J16,IF($P$5=40,J16,IF($P$5=41,J16,IF($P$5=42,J16,IF($P$5=43,J16,IF($P$5=44,J16,IF($P$5=45,J16,IF($P$5=46,J16,IF($P$5=47,J16,IF($P$5=48,J16,IF($P$5=49,J16,IF($P$5=50,J16,IF($P$5=51,J16,IF($P$5=52,J16,IF($P$5=53,J16,IF($P$5=54,J16,0))))))))))))))))))))))))))))))))))))</f>
        <v>A7</v>
      </c>
      <c r="P16" s="119" t="str">
        <f>IF($P$5=19,L15,IF($P$5=20,L14,IF($P$5=21,L15,IF($P$5=22,K16,IF($P$5=23,K16,IF($P$5=24,K16,IF($P$5=25,K16,IF($P$5=26,K16,IF($P$5=27,K16,IF($P$5=28,K16,IF($P$5=29,K16,IF($P$5=30,K16,IF($P$5=31,K16,IF($P$5=32,K16,IF($P$5=33,K16,IF($P$5=34,K16,IF($P$5=35,K16,IF($P$5=36,K16,IF($P$5=37,K16,IF($P$5=38,K16,IF($P$5=39,K16,IF($P$5=40,K16,IF($P$5=41,K16,IF($P$5=42,K16,IF($P$5=43,K16,IF($P$5=44,K16,IF($P$5=45,K16,IF($P$5=46,K16,IF($P$5=47,K16,IF($P$5=48,K16,IF($P$5=49,K16,IF($P$5=50,K16,IF($P$5=51,K16,IF($P$5=52,I16,IF($P$5=53,K16,IF($P$5=54,K16,0))))))))))))))))))))))))))))))))))))</f>
        <v>B7</v>
      </c>
      <c r="Q16" s="120" t="str">
        <f>IF($P$5=23,L16,IF($P$5=24,L16,IF($P$5=27,L16,IF($P$5=28,L16,IF($P$5=29,L16,IF($P$5=30,L16,IF($P$5=31,L16,IF($P$5=32,L16,IF($P$5=33,L16,IF($P$5=34,L16,IF($P$5=35,L16,IF($P$5=36,L16,IF($P$5=37,L16,IF($P$5=38,L16,IF($P$5=39,L16,IF($P$5=40,L16,IF($P$5=41,L16,IF($P$5=42,L16,IF($P$5=43,L16,IF($P$5=44,L16,IF($P$5=45,L16,IF($P$5=46,L16,IF($P$5=47,L16,IF($P$5=48,L16,IF($P$5=49,L16,IF($P$5=50,L16,IF($P$5=51,L16,IF($P$5=52,L16,IF($P$5=53,L16,IF($P$5=54,L16,0))))))))))))))))))))))))))))))</f>
        <v>C7</v>
      </c>
      <c r="R16" s="140" t="str">
        <f>IF($P$5=19,J16,IF($P$5=20,J16,IF($P$5=21,J16,IF($P$5=22,J17,IF($P$5=23,J17,IF($P$5=24,J17,IF($P$5=25,J17,IF($P$5=26,J17,IF($P$5=27,J17,IF($P$5=28,J17,IF($P$5=29,J17,IF($P$5=30,J17,IF($P$5=31,J17,IF($P$5=32,J17,IF($P$5=33,J17,IF($P$5=34,J17,IF($P$5=35,J17,IF($P$5=36,J17,IF($P$5=37,J17,IF($P$5=38,J17,IF($P$5=39,J17,IF($P$5=40,J17,IF($P$5=41,J17,IF($P$5=42,J17,IF($P$5=43,J17,IF($P$5=44,J17,IF($P$5=45,J17,IF($P$5=46,J17,IF($P$5=47,J17,IF($P$5=48,J17,IF($P$5=49,J17,IF($P$5=50,J17,IF($P$5=51,J17,IF($P$5=52,J17,IF($P$5=53,J17,IF($P$5=54,J17,0))))))))))))))))))))))))))))))))))))</f>
        <v>A8</v>
      </c>
      <c r="S16" s="132" t="str">
        <f>IF($P$5=19,P16,IF($P$5=20,L10,IF($P$5=21,L11,IF($P$5=22,K10,IF($P$5=23,P11,IF($P$5=24,K15,IF($P$5=25,K10,IF($P$5=26,K15,IF($P$5=27,K17,IF(P$5=28,K15,IF($P$5=29,P15,IF($P$5=30,P16,IF($P$5=31,P18,IF($P$5=32,K15,IF($P$5=33,K15,IF($P$5=34,K15,IF($P$5=35,K15,IF($P$5=36,K18,IF($P$5=37,K18,IF($P$5=38,K18,IF($P$5=39,K18,IF($P$5=40,K18,IF($P$5=41,K18,IF($P$5=42,K18,IF($P$5=43,K18,IF($P$5=44,K18,IF($P$5=45,K18,IF($P$5=46,K18,IF($P$5=47,K18,IF($P$5=48,K18,IF($P$5=49,K18,IF($P$5=50,K18,IF($P$5=51,K18,IF($P$5=52,K18,IF($P$5=53,K18,IF($P$5=54,K18,0))))))))))))))))))))))))))))))))))))</f>
        <v>B9</v>
      </c>
      <c r="T16" s="151" t="str">
        <f>IF($P$5=22,0,IF($P$5=23,Q16,IF($P$5=24,L10,IF($P$5=26,0,IF($P$5=27,P18,IF($P$5=28,Q14,IF($P$5=29,Q18,IF($P$5=30,Q13,IF($P$5=31,L15,IF($P$5=32,L10,IF($P$5=33,L10,IF($P$5=34,L10,IF($P$5=35,L10,IF($P$5=36,L19,IF($P$5=37,P23,IF($P$5=38,L19,IF($P$5=39,L19,IF($P$5=40,L19,IF($P$5=41,L19,IF($P$5=42,L19,IF($P$5=43,L19,IF($P$5=44,L19,IF($P$5=45,L19,IF($P$5=46,L19,IF($P$5=47,L19,IF($P$5=48,L19,IF($P$5=49,L19,IF($P$5=50,L19,IF($P$5=51,L19,IF($P$5=52,L19,IF($P$5=53,L19,IF($P$5=54,L19,0))))))))))))))))))))))))))))))))</f>
        <v>C10</v>
      </c>
      <c r="U16" s="140" t="str">
        <f>IF($P$5=19,R16,IF($P$5=20,R16,IF($P$5=21,R16,IF($P$5=22,R14,IF($P$5=23,R16,IF($P$5=24,R14,IF($P$5=25,R14,IF($P$5=26,R14,IF($P$5=27,R14,IF($P$5=28,R14,IF($P$5=29,R14,IF($P$5=30,R14,IF($P$5=31,R16,IF($P$5=32,R15,IF($P$5=33,R15,IF($P$5=34,R15,IF($P$5=35,R15,IF($P$5=36,R17,IF($P$5=37,R17,IF($P$5=38,R17,IF($P$5=39,R17,IF($P$5=40,R17,IF($P$5=41,R17,IF($P$5=42,O18,IF($P$5=43,R17,IF($P$5=44,R17,IF($P$5=45,R17,IF($P$5=46,R17,IF($P$5=47,O18,IF($P$5=48,R17,IF($P$5=49,R17,IF($P$5=50,O18,IF($P$5=51,O18,IF($P$5=52,O18,IF($P$5=53,O18,IF($P$5=54,O18,0))))))))))))))))))))))))))))))))))))</f>
        <v>A9</v>
      </c>
      <c r="V16" s="138" t="str">
        <f>IF($P$5=19,S10,IF($P$5=20,S17,IF($P$5=21,S15,IF($P$5=22,S12,IF($P$5=23,S15,IF($P$5=24,S12,IF($P$5=25,S16,IF($P$5=26,S19,IF($P$5=27,T11,IF($P$5=28,S19,IF($P$5=29,S19,IF($P$5=30,S19,IF($P$5=31,S17,IF($P$5=32,S12,IF($P$5=33,S19,IF($P$5=34,S19,IF($P$5=35,S18,IF($P$5=36,S18,IF($P$5=37,S18,IF($P$5=38,S18,IF($P$5=39,S18,IF($P$5=40,S18,IF($P$5=41,S18,IF($P$5=42,S18,IF($P$5=43,S18,IF($P$5=44,S18,IF($P$5=45,S18,IF($P$5=46,S18,IF($P$5=47,S18,IF($P$5=48,S18,IF($P$5=49,S18,IF($P$5=50,S18,IF($P$5=51,S18,IF($P$5=52,S18,IF($P$5=53,S18,IF($P$5=54,S18,0))))))))))))))))))))))))))))))))))))</f>
        <v>B11</v>
      </c>
      <c r="W16" s="145" t="str">
        <f>IF($P$5=23,T11,IF($P$5=24,T11,IF($P$5=27,S18,IF($P$5=28,T11,IF($P$5=29,T18,IF($P$5=30,T11,IF($P$5=31,S18,IF($P$5=32,T17,IF($P$5=33,T17,IF($P$5=34,T17,IF($P$5=35,T19,IF($P$5=36,T19,IF($P$5=37,S21,IF($P$5=38,T19,IF($P$5=39,S22,IF($P$5=40,T19,IF($P$5=41,T19,IF($P$5=42,T19,IF($P$5=43,T19,IF($P$5=44,T19,IF($P$5=45,T19,IF($P$5=46,T19,IF($P$5=47,T19,IF($P$5=48,T19,IF($P$5=49,T19,IF($P$5=50,T19,IF($P$5=51,T19,IF($P$5=52,T19,IF($P$5=53,T19,IF($P$5=54,T19,0))))))))))))))))))))))))))))))</f>
        <v>C13</v>
      </c>
      <c r="Y16" s="383"/>
      <c r="Z16" s="11" t="str">
        <f>+P11</f>
        <v>B2</v>
      </c>
      <c r="AA16" s="57">
        <f>IF(ISTEXT(Z16),AA15,0)</f>
        <v>6</v>
      </c>
      <c r="AB16" s="14">
        <f>IF(ISTEXT(Z16),AB15,0)</f>
        <v>3</v>
      </c>
      <c r="AC16" s="15">
        <f>IF(ISTEXT(Z16),AC15,0)</f>
        <v>1</v>
      </c>
      <c r="AD16" s="6"/>
      <c r="AE16" s="11" t="str">
        <f>+S11</f>
        <v>B4</v>
      </c>
      <c r="AF16" s="14">
        <f>IF(ISTEXT(AE16),AF15,0)</f>
        <v>10</v>
      </c>
      <c r="AG16" s="14">
        <f>IF(ISTEXT(AE16),AG15,0)</f>
        <v>3</v>
      </c>
      <c r="AH16" s="15">
        <f>IF(ISTEXT(AE16),AH15,0)</f>
        <v>5</v>
      </c>
      <c r="AI16" s="6"/>
      <c r="AJ16" s="11" t="str">
        <f>+V11</f>
        <v>B6</v>
      </c>
      <c r="AK16" s="14">
        <f>IF(ISTEXT(AJ16),AK15,0)</f>
        <v>5</v>
      </c>
      <c r="AL16" s="14">
        <f>IF(ISTEXT(AJ16),AL15,0)</f>
        <v>3</v>
      </c>
      <c r="AM16" s="15">
        <f>IF(ISTEXT(AJ16),AM15,0)</f>
        <v>1</v>
      </c>
      <c r="AN16" s="18"/>
      <c r="AO16" s="44">
        <v>8</v>
      </c>
      <c r="AP16" s="278" t="str">
        <f>+Inscrits!B10</f>
        <v>A8</v>
      </c>
      <c r="AQ16" s="247" t="str">
        <f t="shared" si="3"/>
        <v>0</v>
      </c>
      <c r="AR16" s="82" t="str">
        <f t="shared" si="4"/>
        <v>0</v>
      </c>
      <c r="AS16" s="184" t="str">
        <f t="shared" si="5"/>
        <v>0</v>
      </c>
      <c r="AT16" s="250" t="str">
        <f t="shared" si="6"/>
        <v>0</v>
      </c>
      <c r="AU16" s="82" t="str">
        <f t="shared" si="7"/>
        <v>0</v>
      </c>
      <c r="AV16" s="252" t="str">
        <f t="shared" si="8"/>
        <v>0</v>
      </c>
      <c r="AW16" s="247" t="str">
        <f t="shared" si="9"/>
        <v>0</v>
      </c>
      <c r="AX16" s="82" t="str">
        <f t="shared" si="10"/>
        <v>0</v>
      </c>
      <c r="AY16" s="252" t="str">
        <f t="shared" si="11"/>
        <v>0</v>
      </c>
      <c r="AZ16" s="247">
        <f t="shared" si="17"/>
        <v>0</v>
      </c>
      <c r="BA16" s="82">
        <f t="shared" si="12"/>
        <v>0</v>
      </c>
      <c r="BB16" s="252">
        <f t="shared" si="13"/>
        <v>0</v>
      </c>
      <c r="BC16" s="255">
        <f t="shared" si="14"/>
        <v>0</v>
      </c>
      <c r="BD16" s="7">
        <f t="shared" si="15"/>
        <v>0</v>
      </c>
      <c r="BE16" s="183">
        <f t="shared" si="16"/>
        <v>25.000000159999999</v>
      </c>
      <c r="BF16" s="82">
        <f>IF(AP16="","",SMALL(BE$9:BE$62,ROWS(AZ$9:AZ16)))</f>
        <v>5.0389001000000002</v>
      </c>
      <c r="BG16"/>
      <c r="BH16" s="250" t="str">
        <f>IF(OR(AP16="",AZ16=""),"",INDEX($AP$9:$AP$63,MATCH(BF16,$BE$9:BE$62,0)))</f>
        <v>A2</v>
      </c>
      <c r="BI16" s="7">
        <f t="shared" si="0"/>
        <v>4</v>
      </c>
      <c r="BJ16" s="7">
        <f t="shared" si="1"/>
        <v>-4</v>
      </c>
      <c r="BK16" s="7">
        <f t="shared" si="2"/>
        <v>11</v>
      </c>
      <c r="BL16" s="17">
        <f>IF(BF16="","",IF(AND(BI15=BI16,BJ15=BJ16,BK15=BK16),BL15,$BL$9+7))</f>
        <v>8</v>
      </c>
      <c r="BN16" s="3">
        <f>IF(BH16="","",IF(AND(BK15=BK16,BL15=BL16,BM15=BM16),BN15,$BL$9+12))</f>
        <v>13</v>
      </c>
      <c r="BO16" s="342">
        <f>IF(AND($K$5=8),1,IF(AND($K$5=9),2,IF(AND($K$5=10),3,IF(AND($K$5=11),4,IF(AND($K$5=12),5,IF(AND($K$5=13),6,IF(AND($K$5=14),7,IF(AND($K$5=15),8,IF(AND($K$5=16),19,IF(AND($K$5=17),10,IF(AND($K$5=18),11,IF(AND($K$5=19),12,IF(AND($K$5=20),13,IF(AND($K$5=21),14,IF(AND($K$5=22),15,IF(AND($K$5=23),16,IF(AND($K$5=24),17,IF(AND($K$5=25),18,IF(AND($K$5=26),19,IF(AND($K$5=27),20,IF(AND($K$5=28),21,IF(AND($K$5=29),22,IF(AND($K$5=30),23,IF(AND($K$5=31),24,IF(AND($K$5=32),25,IF(AND($K$5=33),26,IF(AND($K$5=34),27,IF(AND($K$5=35),28,IF(AND($K$5=36),29,IF(AND($K$5=37),30,IF(AND($K$5=38),31,IF(AND($K$5=39),32,IF(AND($K$5=40),33,IF(AND($K$5=41),34,IF(AND($K$5=42),35,IF(AND($K$5=43),36,IF(AND($K$5=44),37,IF(AND($K$5=45),38,IF(AND($K$5=46),39,IF(AND($K$5=47),40,IF(AND($K$5=48),41,IF(AND($K$5=49),42,IF(AND($K$5=50),43,IF(AND($K$5=51),44,IF(AND($K$5=52),45,IF(AND($K$5=53),46,IF(AND($K$5=54),47," ")))))))))))))))))))))))))))))))))))))))))))))))</f>
        <v>41</v>
      </c>
    </row>
    <row r="17" spans="1:67" ht="18" customHeight="1" thickBot="1" x14ac:dyDescent="0.45">
      <c r="A17" s="111">
        <v>8</v>
      </c>
      <c r="B17" s="330" t="s">
        <v>73</v>
      </c>
      <c r="C17" s="235">
        <f>IF($P$5&gt;=22,8,0)</f>
        <v>8</v>
      </c>
      <c r="D17" s="332" t="s">
        <v>91</v>
      </c>
      <c r="E17" s="235">
        <f>IF($P$5&gt;=23,8,0)</f>
        <v>8</v>
      </c>
      <c r="F17" s="19" t="s">
        <v>109</v>
      </c>
      <c r="G17" s="235">
        <f>IF($P$5&gt;=24,8,0)</f>
        <v>8</v>
      </c>
      <c r="I17" s="165">
        <v>8</v>
      </c>
      <c r="J17" s="172" t="str">
        <f>IF(ISNA(MATCH(I17,$C$10:$C$27,0)),"",INDEX(B$10:$B$27,MATCH(I17,$C$10:$C$27,0)))</f>
        <v>A8</v>
      </c>
      <c r="K17" s="117" t="str">
        <f>IF(ISNA(MATCH(I17,$E$10:$E$27,0)),"",INDEX($D$10:D$27,MATCH(I17,$E$10:$E$27,0)))</f>
        <v>B8</v>
      </c>
      <c r="L17" s="160" t="str">
        <f>IF(ISNA(MATCH(I17,$G$10:$G$27,0)),"",INDEX($F$10:F$27,MATCH(I17,$G$10:$G$27,0)))</f>
        <v>C8</v>
      </c>
      <c r="M17" s="130"/>
      <c r="N17" s="42" t="s">
        <v>5</v>
      </c>
      <c r="O17" s="125" t="str">
        <f>IF($P$5=19,K15,IF($P$5=20,K16,IF($P$5=21,K16,IF($P$5=22,J17,IF($P$5=23,J17,IF(P$5=24,J17,IF($P$5=25,J17,IF($P$5=26,J17,IF($P$5=27,J17,IF($P$5=28,J17,IF($P$5=29,J17,IF($P$5=30,J17,IF($P$5=31,J17,IF($P$5=32,J17,IF($P$5=33,J17,IF($P$5=34,J17,IF($P$5=35,J17,IF($P$5=36,J17,IF($P$5=37,J17,IF($P$5=38,J17,IF($P$5=39,J17,IF($P$5=40,J17,IF($P$5=41,J17,IF($P$5=42,J17,IF($P$5=43,J17,IF($P$5=44,J17,IF($P$5=45,J17,IF($P$5=46,J17,IF($P$5=47,J17,IF($P$5=48,J17,IF($P$5=49,J17,IF($P$5=50,J17,IF($P$5=51,J17,IF($P$5=52,J17,IF($P$5=53,J17,IF($P$5=54,J17,0))))))))))))))))))))))))))))))))))))</f>
        <v>A8</v>
      </c>
      <c r="P17" s="126" t="str">
        <f>IF($P$5=19,L14,IF($P$5=20,L15,IF($P$5=21,L16,IF(P$5=22,L16,IF($P$5=23,K17,IF($P$5=24,K17,IF($P$5=25,L15,IF($P$5=26,K17,IF($P$5=27,K17,IF($P$5=28,K17,IF($P$5=29,K17,IF($P$5=30,K17,IF($P$5=31,K17,IF($P$5=32,K17,IF($P$5=33,K17,IF($P$5=34,K17,IF($P$5=35,K17,IF($P$5=36,K17,IF($P$5=37,K17,IF($P$5=38,K17,IF($P$5=39,K17,IF($P$5=40,K17,IF($P$5=41,K17,IF($P$5=42,K17,IF($P$5=43,K17,IF($P$5=44,K17,IF($P$5=45,K17,IF($P$5=46,K17,IF($P$5=47,K17,IF($P$5=48,K17,IF($P$5=49,K17,IF($P$5=50,K17,IF($P$5=51,K17,IF($P$5=52,K17,IF($P$5=53,K17,IF($P$5=54,K17,0))))))))))))))))))))))))))))))))))))</f>
        <v>B8</v>
      </c>
      <c r="Q17" s="123" t="str">
        <f>IF($P$5=24,L17,IF($P$5=28,L17,IF($P$5=29,L17,IF($P$5=30,L17,IF($P$5=31,0,IF($P$5=32,L17,IF($P$5=33,L17,IF($P$5=34,L17,IF($P$5=35,L17,IF($P$5=36,L17,IF($P$5=37,L17,IF($P$5=38,L17,IF($P$5=39,L17,IF(P$5=40,L17,IF($P$5=41,L17,IF($P$5=42,L17,IF($P$5=43,L17,IF($P$5=44,L17,IF($P$5=45,L17,IF($P$5=46,L17,IF($P$5=47,L17,IF($P$5=48,L17,IF($P$5=49,L17,IF($P$5=50,L17,IF($P$5=51,L17,IF($P$5=52,L17,IF($P$5=53,L17,IF($P$5=54,L17,0))))))))))))))))))))))))))))</f>
        <v>C8</v>
      </c>
      <c r="R17" s="136" t="str">
        <f>IF($P$5=19,K15,IF($P$5=20,O17,IF($P$5=21,O17,IF($P$5=22,J10,IF($P$5=23,J10,IF($P$5=24,J10,IF($P$5=25,J18,IF($P$5=26,J18,IF($P$5=27,J18,IF($P$5=28,J18,IF($P$5=29,J18,IF($P$5=30,J18,IF($P$5=31,J18,IF($P$5=32,J18,IF($P$5=33,J18,IF($P$5=34,J18,IF($P$5=35,J18,IF($P$5=36,J18,IF($P$5=37,J18,IF($P$5=38,J18,IF($P$5=39,J18,IF($P$5=40,J18,IF($P$5=41,J18,IF($P$5=42,J18,IF($P$5=43,J18,IF($P$5=44,J18,IF($P$5=45,J18,IF($P$5=46,J18,IF($P$5=47,J18,IF($P$5=48,J18,IF($P$5=49,J18,IF($P$5=50,J18,IF($P$5=51,J18,IF($P$5=52,J18,IF($P$5=53,J18,IF($P$5=54,J18,0))))))))))))))))))))))))))))))))))))</f>
        <v>A9</v>
      </c>
      <c r="S17" s="137" t="str">
        <f>IF($P$5=19,L12,IF($P$5=20,K15,IF($P$5=21,L12,IF($P$5=22,P16,IF($P$5=23,K12,IF($P$5=24,K11,IF($P$5=25,L10,IF($P$5=26,L10,IF($P$5=27,L10,IF($P$5=28,K10,IF($P$5=29,K19,IF($P$5=30,K19,IF(P$5=31,P16,IF($P$5=32,K16,IF($P$5=33,K16,IF($P$5=34,K16,IF($P$5=35,K16,IF($P$5=36,K19,IF($P$5=37,K19,IF($P$5=38,K19,IF($P$5=39,K19,IF($P$5=40,K19,IF($P$5=41,K19,IF($P$5=42,K19,IF($P$5=43,K19,IF($P$5=44,K19,IF($P$5=45,K19,IF($P$5=46,K19,IF($P$5=47,K19,IF($P$5=48,K19,IF($P$5=49,K19,IF($P$5=50,K19,IF($P$5=51,K19,IF($P$5=52,K19,IF($P$5=53,K19,IF($P$5=54,K19,0))))))))))))))))))))))))))))))))))))</f>
        <v>B10</v>
      </c>
      <c r="T17" s="153" t="str">
        <f>IF($P$5=24,L17,IF($P$5=27,0,IF($P$5=28,P19,IF($P$6=29,L18,IF($P$5=29,Q17,IF($P$5=30,Q17,IF($P$5=32,L17,IF($P$5=33,L17,IF($P$5=34,L17,IF($P$5=35,L17,IF($P$5=36,L20,IF($P$5=37,P22,IF($P$5=38,P22,IF($P$5=39,L20,IF($P$5=40,L20,IF($P$5=41,L20,IF($P$5=42,L20,IF($P$5=43,L20,IF($P$5=44,L20,IF($P$5=45,L20,IF($P$5=46,L20,IF($P$5=47,L20,IF($P$5=48,L20,IF($P$5=49,L20,IF($P$5=50,L20,IF($P$5=51,L20,IF($P$5=52,L20,IF($P$5=53,L20,IF($P$5=54,L20,0)))))))))))))))))))))))))))))</f>
        <v>C11</v>
      </c>
      <c r="U17" s="156" t="str">
        <f>IF($P$5=19,R17,IF($P$5=20,R17,IF($P$5=21,R17,IF($P$5=22,R16,IF($P$5=23,R10,IF($P$5=24,R16,IF($P$5=25,R16,IF($P$5=26,R16,IF($P$5=27,R16,IF($P$5=28,R17,IF($P$5=29,R17,IF($P$5=30,R17,IF($P$5=31,R17,IF($P$5=32,R17,IF($P$5=33,R17,IF($P$5=34,R17,IF($P$5=35,R17,IF($P$5=36,R18,IF($P$5=37,R18,IF($P$5=38,R18,IF($P$5=39,R18,IF($P$5=40,R18,IF($P$5=41,R18,IF($P$5=42,R18,IF($P$5=43,R18,IF($P$5=44,R18,IF($P$5=45,R18,IF($P$5=46,R18,IF($P$5=47,R18,IF($P$5=48,R18,IF($P$5=49,R18,IF($P$5=50,R18,IF($P$5=51,R18:R18,IF($P$5=52,R18,IF($P$5=53,R18,IF($P$5=54,O19,0))))))))))))))))))))))))))))))))))))</f>
        <v>A10</v>
      </c>
      <c r="V17" s="134" t="str">
        <f>IF($P$5=19,S14,IF($P$5=20,T10,IF($P$5=21,S16,IF($P$5=22,T10,IF($P$5=23,S17,IF($P$5=24,S17,IF($P$5=25,T10,IF($P$5=26,S12,IF($P$5=27,S11,IF($P$5=28,T10,IF($P$5=29,S18,IF($P$5=30,S14,IF($P$5=31,R21,IF($P$5=32,S13,IF($P$5=33,S12,IF($P$5=34,S12,IF($P$5=35,S12,IF($P$5=36,S19,IF($P$5=37,S19,IF($P$5=38,S19,IF($P$5=39,S19,IF($P$5=40,S19,IF($P$5=41,S19,IF($P$5=42,S19,IF($P$5=43,S19,IF($P$5=44,S19,IF($P$5=45,S19,IF($P$5=46,S19,IF($P$5=47,S19,IF($P$5=48,S19,IF($P$5=49,S19,IF($P$5=50,S19,IF($P$5=51,S19,IF($P$5=52,S19,IF($P$5=53,S19,IF($P$5=54,S19,0))))))))))))))))))))))))))))))))))))</f>
        <v>B12</v>
      </c>
      <c r="W17" s="147" t="str">
        <f>IF($P$5=24,T10,IF($P$5=28,S18,IF($P$5=29,T14,IF($P$5=30,T18,IF($P$5=32,T16,IF($P$5=33,T15,IF($P$5=34,T16,IF($P$5=35,T18,IF($P$5=36,T20,IF($P$5=37,S22,IF($P$5=38,S22,IF($P$5=39,T20,IF($P$5=40,T20,IF($P$5=41,T20,IF($P$5=42,T20,IF($P$5=43,T20,IF($P$5=44,T20,IF($P$5=45,T20,IF($P$5=46,T20,IF($P$5=47,T20,IF($P$5=48,T20,IF($P$5=49,T20,IF($P$5=50,T20,IF($P$5=51,T20,IF($P$5=52,T20,IF($P$5=53,T20,IF($P$5=54,T20,0)))))))))))))))))))))))))))</f>
        <v>C14</v>
      </c>
      <c r="Y17" s="384"/>
      <c r="Z17" s="13" t="str">
        <f>+Q11</f>
        <v>C2</v>
      </c>
      <c r="AA17" s="57">
        <f>IF(ISTEXT(Z17),AA15,0)</f>
        <v>6</v>
      </c>
      <c r="AB17" s="14">
        <f>IF(ISTEXT(Z17),AB15,0)</f>
        <v>3</v>
      </c>
      <c r="AC17" s="15">
        <f>IF(ISTEXT(Z17),AC15,0)</f>
        <v>1</v>
      </c>
      <c r="AD17" s="6"/>
      <c r="AE17" s="13" t="str">
        <f>+T11</f>
        <v>C5</v>
      </c>
      <c r="AF17" s="14">
        <f>IF(ISTEXT(AE17),AF15,0)</f>
        <v>10</v>
      </c>
      <c r="AG17" s="14">
        <f>IF(ISTEXT(AE17),AG15,0)</f>
        <v>3</v>
      </c>
      <c r="AH17" s="15">
        <f>IF(ISTEXT(AE17),AH15,0)</f>
        <v>5</v>
      </c>
      <c r="AI17" s="6"/>
      <c r="AJ17" s="13" t="str">
        <f>+W11</f>
        <v>C8</v>
      </c>
      <c r="AK17" s="14">
        <f>IF(ISTEXT(AJ17),AK15,0)</f>
        <v>5</v>
      </c>
      <c r="AL17" s="14">
        <f>IF(ISTEXT(AJ17),AL15,0)</f>
        <v>3</v>
      </c>
      <c r="AM17" s="15">
        <f>IF(ISTEXT(AJ17),AM15,0)</f>
        <v>1</v>
      </c>
      <c r="AN17" s="18"/>
      <c r="AO17" s="44">
        <v>9</v>
      </c>
      <c r="AP17" s="278" t="str">
        <f>+Inscrits!B11</f>
        <v>A9</v>
      </c>
      <c r="AQ17" s="247" t="str">
        <f t="shared" si="3"/>
        <v>0</v>
      </c>
      <c r="AR17" s="82" t="str">
        <f t="shared" si="4"/>
        <v>0</v>
      </c>
      <c r="AS17" s="184" t="str">
        <f t="shared" si="5"/>
        <v>0</v>
      </c>
      <c r="AT17" s="250" t="str">
        <f t="shared" si="6"/>
        <v>0</v>
      </c>
      <c r="AU17" s="82" t="str">
        <f t="shared" si="7"/>
        <v>0</v>
      </c>
      <c r="AV17" s="252" t="str">
        <f t="shared" si="8"/>
        <v>0</v>
      </c>
      <c r="AW17" s="247" t="str">
        <f t="shared" si="9"/>
        <v>0</v>
      </c>
      <c r="AX17" s="82" t="str">
        <f t="shared" si="10"/>
        <v>0</v>
      </c>
      <c r="AY17" s="252" t="str">
        <f t="shared" si="11"/>
        <v>0</v>
      </c>
      <c r="AZ17" s="247">
        <f t="shared" si="17"/>
        <v>0</v>
      </c>
      <c r="BA17" s="82">
        <f t="shared" si="12"/>
        <v>0</v>
      </c>
      <c r="BB17" s="252">
        <f t="shared" si="13"/>
        <v>0</v>
      </c>
      <c r="BC17" s="255">
        <f t="shared" si="14"/>
        <v>0</v>
      </c>
      <c r="BD17" s="7">
        <f t="shared" si="15"/>
        <v>0</v>
      </c>
      <c r="BE17" s="183">
        <f t="shared" si="16"/>
        <v>25.00000017</v>
      </c>
      <c r="BF17" s="82">
        <f>IF(AP17="","",SMALL(BE$9:BE$62,ROWS(AZ$9:AZ17)))</f>
        <v>8.9388004699999986</v>
      </c>
      <c r="BG17"/>
      <c r="BH17" s="250" t="str">
        <f>IF(OR(AP17="",AZ17=""),"",INDEX($AP$9:$AP$63,MATCH(BF17,$BE$9:BE$62,0)))</f>
        <v>C3</v>
      </c>
      <c r="BI17" s="7">
        <f t="shared" si="0"/>
        <v>3</v>
      </c>
      <c r="BJ17" s="7">
        <f t="shared" si="1"/>
        <v>6</v>
      </c>
      <c r="BK17" s="7">
        <f t="shared" si="2"/>
        <v>12</v>
      </c>
      <c r="BL17" s="17">
        <f>IF(BF17="","",IF(AND(BI16=BI17,BJ16=BJ17,BK16=BK17),BL16,$BL$9+8))</f>
        <v>9</v>
      </c>
      <c r="BN17" s="3">
        <f>IF(BH17="","",IF(AND(BK16=BK17,BL16=BL17,BM16=BM17),BN16,$BL$9+11))</f>
        <v>12</v>
      </c>
      <c r="BO17" s="342">
        <f>IF(AND($K$5=8)," ",IF(AND($K$5=9),1,IF(AND($K$5=10),2,IF(AND($K$5=11),3,IF(AND($K$5=12),4,IF(AND($K$5=13),5,IF(AND($K$5=14),6,IF(AND($K$5=15),7,IF(AND($K$5=16),8,IF(AND($K$5=17),9,IF(AND($K$5=18),10,IF(AND($K$5=19),11,IF(AND($K$5=20),12,IF(AND($K$5=21),13,IF(AND($K$5=22),14,IF(AND($K$5=23),15,IF(AND($K$5=24),16,IF(AND($K$5=25),17,IF(AND($K$5=26),18,IF(AND($K$5=27),19,IF(AND($K$5=28),20,IF(AND($K$5=29),21,IF(AND($K$5=30),22,IF(AND($K$5=31),23,IF(AND($K$5=32),24,IF(AND($K$5=33),25,IF(AND($K$5=34),26,IF(AND($K$5=35),27,IF(AND($K$5=36),28,IF(AND($K$5=37),29,IF(AND($K$5=38),30,IF(AND($K$5=39),31,IF(AND($K$5=40),32,IF(AND($K$5=41),33,IF(AND($K$5=42),34,IF(AND($K$5=43),35,IF(AND($K$5=44),36,IF(AND($K$5=45),37,IF(AND($K$5=46),38,IF(AND($K$5=47),39,IF(AND($K$5=48),40,IF(AND($K$5=49),41,IF(AND($K$5=50),42,IF(AND($K$5=51),43,IF(AND($K$5=52),44,IF(AND($K$5=53),45,IF(AND($K$5=54),46," ")))))))))))))))))))))))))))))))))))))))))))))))</f>
        <v>40</v>
      </c>
    </row>
    <row r="18" spans="1:67" ht="18" customHeight="1" thickBot="1" x14ac:dyDescent="0.45">
      <c r="A18" s="111">
        <v>9</v>
      </c>
      <c r="B18" s="330" t="s">
        <v>74</v>
      </c>
      <c r="C18" s="235">
        <f>IF($P$5&gt;=25,9,0)</f>
        <v>9</v>
      </c>
      <c r="D18" s="332" t="s">
        <v>92</v>
      </c>
      <c r="E18" s="235">
        <f>IF($P$5&gt;=26,9,0)</f>
        <v>9</v>
      </c>
      <c r="F18" s="19" t="s">
        <v>110</v>
      </c>
      <c r="G18" s="235">
        <f>IF($P$5&gt;=27,9,0)</f>
        <v>9</v>
      </c>
      <c r="I18" s="165">
        <v>9</v>
      </c>
      <c r="J18" s="172" t="str">
        <f>IF(ISNA(MATCH(I18,$C$10:$C$27,0)),"",INDEX(B$10:$B$27,MATCH(I18,$C$10:$C$27,0)))</f>
        <v>A9</v>
      </c>
      <c r="K18" s="117" t="str">
        <f>IF(ISNA(MATCH(I18,$E$10:$E$27,0)),"",INDEX($D$10:D$27,MATCH(I18,$E$10:$E$27,0)))</f>
        <v>B9</v>
      </c>
      <c r="L18" s="160" t="str">
        <f>IF(ISNA(MATCH(I18,$G$10:$G$27,0)),"",INDEX($F$10:F$27,MATCH(I18,$G$10:$G$27,0)))</f>
        <v>C9</v>
      </c>
      <c r="M18" s="130"/>
      <c r="N18" s="67">
        <v>5</v>
      </c>
      <c r="O18" s="118" t="str">
        <f>IF($P$5=25,J18,IF($P$5=26,J18,IF($P$5=27,J18,IF(P$5=28,J18,IF($P$5=29,J18,IF($P$5=30,J18,IF($P$5=31,J18,IF($P$5=32,J18,IF($P$5=33,J18,IF($P$5=34,J18,IF($P$5=35,J18,IF($P$5=36,J18,IF($P$5=37,J18,IF($P$5=38,J18,IF($P$5=39,J18,IF($P$5=40,J18,IF($P$5=41,J18,IF($P$5=42,J18,IF($P$5=43,J18,IF($P$5=44,J18,IF($P$5=45,J18,IF($P$5=46,J18,IF($P$5=47,J18,IF($P$5=48,J18,IF($P$5=49,J18,IF($P$5=50,J18,IF($P$5=51,J18,IF($P$5=52,J18,IF($P$5=53,J18,IF($P$5=54,J18,0))))))))))))))))))))))))))))))</f>
        <v>A9</v>
      </c>
      <c r="P18" s="119" t="str">
        <f>IF($P$5=25,L16,IF($P$5=26,L16,IF($P$5=27,L17,IF($P$5=28,K18,IF($P$5=29,K18,IF($P$5=30,K18,IF($P$5=31,K18,IF($P$5=32,K19,IF($P$5=33,K18,IF($P$5=34,K18,IF($P$5=35,K18,IF($P$5=36,K18,IF($P$5=37,K18,IF($P$5=38,K18,IF($P$5=39,K18,IF($P$5=40,K18,IF($P$5=41,K18,IF($P$5=42,K18,IF($P$5=43,K18,IF($P$5=44,K18,IF($P$5=45,K18,IF($P$5=46,K18,IF($P$5=47,K18,IF($P$5=48,K18,IF($P$5=49,K18,IF($P$5=50,K18,IF($P$5=51,K18,IF($P$5=52,K18,IF($P$5=53,K18,IF($P$5=54,K18,0))))))))))))))))))))))))))))))</f>
        <v>B9</v>
      </c>
      <c r="Q18" s="120" t="str">
        <f>IF($P$5=29,L18,IF($P$5=30,L18,IF($P$5=33,L18,IF($P$5=34,L18,IF($P$5=35,L18,IF($P$5=36,L18,IF($P$5=37,L18,IF($P$5=38,L18,IF($P$5=39,L18,IF($P$5=40,L18,IF($P$5=41,L18,IF($P$5=42,L18,IF($P$5=43,L18,IF($P$5=44,L18,IF($P$5=45,L18,IF($P$5=46,L18,IF($P$5=47,L18,IF($P$5=48,L18,IF($P$5=49,L18,IF($P$5=50,L18,IF($P$5=51,L18,IF($P$5=52,L18,IF($P$5=53,L18,IF($P$5=54,L18,0))))))))))))))))))))))))</f>
        <v>C9</v>
      </c>
      <c r="R18" s="135" t="str">
        <f>IF($P$5=25,O19,IF($P$5=26,O19,IF($P$5=27,J10,IF($P$5=28,J19,IF($P$5=29,J19,IF($P$5=30,J19,IF($P$5=31,J19,IF($P$5=32,J19,IF($P$5=33,J19,IF($P$5=34,J19,IF($P$5=35,J19,IF($P$5=36,J19,IF($P$5=37,J19,IF($P$5=38,J19,IF($P$5=39,J19,IF($P$5=40,J19,IF($P$5=41,J19,IF($P$5=42,J19,IF($P$5=43,J19,IF($P$5=44,J19,IF($P$5=45,J19,IF($P$5=46,J19,IF($P$5=47,J19,IF($P$5=48,J19,IF($P$5=49,J19,IF($P$5=50,J19,IF($P$5=51,J19,IF($P$5=52,J19,IF($P$5=53,J19,IF($P$5=54,J19,0))))))))))))))))))))))))))))))</f>
        <v>A10</v>
      </c>
      <c r="S18" s="138" t="str">
        <f>IF($P$5=25,L11,IF($P$5=26,L11,IF(P$5=27,Q11,IF($P$5=28,L11,IF($P$5=29,K10,IF($P$5=30,K10,IF($P$5=31,P21,IF($P$5=32,P20,IF($P$5=33,K10,IF($P$5=34,K10,IF($P$5=35,K10,IF($P$5=36,K20,IF($P$5=37,K20,IF($P$5=38,K20,IF($P$5=39,K20,IF($P$5=40,K20,IF($P$5=41,K20,IF($P$5=42,K20,IF($P$5=43,K20,IF($P$5=44,K20,IF($P$5=45,K20,IF($P$5=46,K20,IF($P$5=47,K20,IF($P$5=48,K20,IF($P$5=49,K20,IF($P$5=50,K20,IF($P$5=51,K20,IF($P$5=52,K20,IF($P$5=53,K20,IF($P$5=54,K20,0))))))))))))))))))))))))))))))</f>
        <v>B11</v>
      </c>
      <c r="T18" s="154" t="str">
        <f>IF($P$5=27,0,IF($P$5=29,L11,IF($P$5=30,Q16,IF(J$5=32,0,IF($P$5=33,L18,IF($P$5=34,P21,IF($P$5=35,L20,IF($P$5=36,L21,IF($P$5=37,P21,IF($P$5=38,P23,IF($P$5=39,L10,IF($P$5=40,L21,IF($P$5=41,L21,IF($P$5=42,L21,IF($P$5=43,P25,IF($P$5=44,L21,IF($P$5=45,L21,IF($P$5=46,L21,IF($P$5=47,L21,IF($P$5=48,L21,IF($P$5=49,L21,IF($P$5=50,L21,IF($P$5=51,L21,IF($P$5=52,L21,IF($P$5=53,L21,IF($P$5=54,L21,0))))))))))))))))))))))))))</f>
        <v>C12</v>
      </c>
      <c r="U18" s="135" t="str">
        <f>IF($P$5=25,R17,IF($P$5=26,R17,IF($P$5=27,R17,IF($P$5=28,R16,IF($P$5=29,R16,IF($P$5=30,R16,IF($P$5=31,R10,IF($P$5=32,R18,IF($P$5=33,R18,IF($P$5=34,R19,IF($P$5=35,R19,IF($P$5=36,R19,IF($P$5=37,R19,IF($P$5=38,R19,IF($P$5=39,R19,IF($P$5=40,R19,IF($P$5=41,R19,IF($P$5=42,O20,IF($P$5=43,R19,IF($P$5=44,R19,IF($P$5=45,R19,IF($P$5=46,R19,IF($P$5=47,R19,IF($P$5=48,R19,IF($P$5=49,O20,IF($P$5=50,O20,IF($P$5=51,O20,IF($P$5=52,O20,IF($P$5=53,O20,IF($P$5=54,O20,0))))))))))))))))))))))))))))))</f>
        <v>A11</v>
      </c>
      <c r="V18" s="132" t="str">
        <f>IF($P$5=25,T11,IF($P$5=26,S18,IF($P$5=27,R19,IF($P$5=28,S12,IF($P$5=29,S17,IF($P$5=30,S18,IF($P$5=31,S12,IF($P$5=32,S17,IF($P$5=33,S13,IF($P$5=34,S13,IF($P$5=35,S13,IF($P$5=36,S20,IF($P$5=37,S20,IF($P$5=38,S20,IF($P$5=39,S11,IF($P$5=40,S20,IF($P$5=41,S20,IF($P$5=42,S20,IF($P$5=43,S20,IF($P$5=44,S20,IF($P$5=45,S20,IF($P$5=46,S20,IF($P$5=47,S20,IF($P$5=48,S20,IF($P$5=49,S20,IF($P$5=50,S20,IF($P$5=51,S20,IF($P$5=52,S20,IF($P$5=53,S20,IF($P$5=54,S20,0))))))))))))))))))))))))))))))</f>
        <v>B13</v>
      </c>
      <c r="W18" s="144" t="str">
        <f>IF($P$5=29,T10,IF($P$5=30,T19,IF($P$5=33,S20,IF($P$5=34,T15,IF($P$5=35,T15,IF($P$5=36,T21,IF($P$5=37,S23,IF($P$5=38,S23,IF($P$5=39,T12,IF($P$5=40,T21,IF($P$5=41,T21,IF($P$5=42,T21,IF($P$5=43,S25,IF($P$5=44,T21,IF($P$5=45,T21,IF($P$5=46,T21,IF($P$5=47,T21,IF($P$5=48,T21,IF($P$5=49,T21,IF($P$5=50,T21,IF($P$5=51,T21,IF($P$5=52,T21,IF($P$5=53,T21,IF($P$5=54,T21,0))))))))))))))))))))))))</f>
        <v>C15</v>
      </c>
      <c r="Y18" s="20"/>
      <c r="Z18" s="58"/>
      <c r="AA18" s="196"/>
      <c r="AB18" s="58"/>
      <c r="AC18" s="58"/>
      <c r="AD18" s="196"/>
      <c r="AE18" s="58"/>
      <c r="AF18" s="196"/>
      <c r="AG18" s="58"/>
      <c r="AH18" s="58"/>
      <c r="AI18" s="196"/>
      <c r="AJ18" s="58"/>
      <c r="AK18" s="196"/>
      <c r="AL18" s="58"/>
      <c r="AM18" s="58"/>
      <c r="AN18" s="18"/>
      <c r="AO18" s="44">
        <v>10</v>
      </c>
      <c r="AP18" s="278" t="str">
        <f>+Inscrits!B12</f>
        <v>A10</v>
      </c>
      <c r="AQ18" s="247" t="str">
        <f t="shared" si="3"/>
        <v>0</v>
      </c>
      <c r="AR18" s="82" t="str">
        <f t="shared" si="4"/>
        <v>0</v>
      </c>
      <c r="AS18" s="184" t="str">
        <f t="shared" si="5"/>
        <v>0</v>
      </c>
      <c r="AT18" s="250" t="str">
        <f t="shared" si="6"/>
        <v>0</v>
      </c>
      <c r="AU18" s="82" t="str">
        <f t="shared" si="7"/>
        <v>0</v>
      </c>
      <c r="AV18" s="252" t="str">
        <f t="shared" si="8"/>
        <v>0</v>
      </c>
      <c r="AW18" s="247" t="str">
        <f t="shared" si="9"/>
        <v>0</v>
      </c>
      <c r="AX18" s="82" t="str">
        <f t="shared" si="10"/>
        <v>0</v>
      </c>
      <c r="AY18" s="252" t="str">
        <f t="shared" si="11"/>
        <v>0</v>
      </c>
      <c r="AZ18" s="247">
        <f t="shared" si="17"/>
        <v>0</v>
      </c>
      <c r="BA18" s="82">
        <f t="shared" si="12"/>
        <v>0</v>
      </c>
      <c r="BB18" s="252">
        <f t="shared" si="13"/>
        <v>0</v>
      </c>
      <c r="BC18" s="255">
        <f t="shared" si="14"/>
        <v>0</v>
      </c>
      <c r="BD18" s="7">
        <f t="shared" si="15"/>
        <v>0</v>
      </c>
      <c r="BE18" s="183">
        <f t="shared" si="16"/>
        <v>25.000000180000001</v>
      </c>
      <c r="BF18" s="82">
        <f>IF(AP18="","",SMALL(BE$9:BE$62,ROWS(AZ$9:AZ18)))</f>
        <v>8.9486003299999997</v>
      </c>
      <c r="BG18"/>
      <c r="BH18" s="250" t="str">
        <f>IF(OR(AP18="",AZ18=""),"",INDEX($AP$9:$AP$63,MATCH(BF18,$BE$9:BE$62,0)))</f>
        <v>B7</v>
      </c>
      <c r="BI18" s="7">
        <f t="shared" si="0"/>
        <v>3</v>
      </c>
      <c r="BJ18" s="7">
        <f t="shared" si="1"/>
        <v>5</v>
      </c>
      <c r="BK18" s="7">
        <f t="shared" si="2"/>
        <v>14</v>
      </c>
      <c r="BL18" s="17">
        <f>IF(BF18="","",IF(AND(BI17=BI18,BJ17=BJ18,BK17=BK18),BL17,$BL$9+9))</f>
        <v>10</v>
      </c>
      <c r="BN18" s="3">
        <f>IF(BH18="","",IF(AND(BK17=BK18,BL17=BL18,BM17=BM18),BN17,$BL$9+10))</f>
        <v>11</v>
      </c>
      <c r="BO18" s="342">
        <f>IF(AND($K$5=10),1,IF(AND($K$5=11),2,IF(AND($K$5=12),3,IF(AND($K$5=13),4,IF(AND($K$5=14),5,IF(AND($K$5=15),6,IF(AND($K$5=16),7,IF(AND($K$5=17),8,IF(AND($K$5=18),9,IF(AND($K$5=19),10,IF(AND($K$5=20),11,IF(AND($K$5=21),12,IF(AND($K$5=22),13,IF(AND($K$5=23),14,IF(AND($K$5=24),15,IF(AND($K$5=25),16,IF(AND($K$5=26),17,IF(AND($K$5=27),18,IF(AND($K$5=28),19,IF(AND($K$5=29),20,IF(AND($K$5=30),21,IF(AND($K$5=31),22,IF(AND($K$5=32),23,IF(AND($K$5=33),24,IF(AND($K$5=34),25,IF(AND($K$5=35),26,IF(AND($K$5=36),27,IF(AND($K$5=37),28,IF(AND($K$5=38),29,IF(AND($K$5=39),30,IF(AND($K$5=40),31,IF(AND($K$5=41),32,IF(AND($K$5=42),33,IF(AND($K$5=43),34,IF(AND($K$5=44),35,IF(AND($K$5=45),36,IF(AND($K$5=46),37,IF(AND($K$5=47),38,IF(AND($K$5=48),39,IF(AND($K$5=49),40,IF(AND($K$5=50),41,IF(AND($K$5=51),42,IF(AND($K$5=52),43,IF(AND($K$5=53),44,IF(AND($K$5=54),45," ")))))))))))))))))))))))))))))))))))))))))))))</f>
        <v>39</v>
      </c>
    </row>
    <row r="19" spans="1:67" ht="18" customHeight="1" thickBot="1" x14ac:dyDescent="0.45">
      <c r="A19" s="111">
        <v>10</v>
      </c>
      <c r="B19" s="330" t="s">
        <v>75</v>
      </c>
      <c r="C19" s="235">
        <f>IF($P$5&gt;=28,10,0)</f>
        <v>10</v>
      </c>
      <c r="D19" s="332" t="s">
        <v>93</v>
      </c>
      <c r="E19" s="235">
        <f>IF($P$5&gt;=29,10,0)</f>
        <v>10</v>
      </c>
      <c r="F19" s="19" t="s">
        <v>111</v>
      </c>
      <c r="G19" s="235">
        <f>IF($P$5&gt;=30,10,0)</f>
        <v>10</v>
      </c>
      <c r="I19" s="165">
        <v>10</v>
      </c>
      <c r="J19" s="172" t="str">
        <f>IF(ISNA(MATCH(I19,$C$10:$C$27,0)),"",INDEX(B$10:$B$27,MATCH(I19,$C$10:$C$27,0)))</f>
        <v>A10</v>
      </c>
      <c r="K19" s="117" t="str">
        <f>IF(ISNA(MATCH(I19,$E$10:$E$27,0)),"",INDEX($D$10:D$27,MATCH(I19,$E$10:$E$27,0)))</f>
        <v>B10</v>
      </c>
      <c r="L19" s="160" t="str">
        <f>IF(ISNA(MATCH(I19,$G$10:$G$27,0)),"",INDEX($F$10:F$27,MATCH(I19,$G$10:$G$27,0)))</f>
        <v>C10</v>
      </c>
      <c r="M19" s="130"/>
      <c r="N19" s="3" t="s">
        <v>5</v>
      </c>
      <c r="O19" s="121" t="str">
        <f>IF($P$5=25,K17,IF($P$5=26,K18,IF($P$5=27,K18,IF($P$5=28,J19,IF($P$5=29,J19,IF($P$5=30,J19,IF($P$5=31,J19,IF($P$5=32,J19,IF($P$5=33,J19,IF($P$5=34,J19,IF($P$5=35,J19,IF($P$5=36,J19,IF($P$5=37,J19,IF($P$5=38,J19,IF($P$5=39,J19,IF($P$5=40,J19,IF($P$5=41,J19,IF($P$5=42,J19,IF($P$5=43,J19,IF($P$5=44,J19,IF($P$5=45,J19,IF($P$5=46,J19,IF($P$5=47,J19,IF($P$5=48,J19,IF($P$5=49,J19,IF($P$5=50,J19,IF($P$5=51,J19,IF($P$5=52,J19,IF($P$5=53,J19,IF($P$5=54,J19,0))))))))))))))))))))))))))))))</f>
        <v>A10</v>
      </c>
      <c r="P19" s="126" t="str">
        <f>IF($P$5=25,L17,IF($P$5=26,L17,IF($P$5=27,L18,IF($P$5=28,L18,IF($P$5=29,K19,IF($P$5=30,K19,IF($P$5=31,L17,IF($P$5=32,K18,IF($P$5=33,K19,IF($P$5=34,K19,IF($P$5=35,K19,IF($P$5=36,K19,IF($P$5=37,K19,IF($P$5=38,K19,IF($P$5=39,K19,IF($P$5=40,K19,IF($P$5=41,K19,IF($P$5=42,K19,IF($P$5=43,K19,IF($P$5=44,K19,IF($P$5=45,K19,IF($P$5=46,K19,IF($P$5=47,K19,IF($P$5=48,K19,IF($P$5=49,K19,IF($P$5=50,K19,IF($P$5=51,K19,IF($P$5=52,K19,IF($P$5=53,K19,IF($P$5=54,K19,0))))))))))))))))))))))))))))))</f>
        <v>B10</v>
      </c>
      <c r="Q19" s="123" t="str">
        <f>IF($P$5=30,L19,IF($P$5=34,L19,IF($P$5=35,L19,IF($P$5=36,L19,IF($P$5=38,L19,IF($P$5=39,L19,IF($P$5=40,L19,IF($P$5=41,L19,IF($P$5=42,L19,IF($P$5=43,L19,IF($P$5=44,L19,IF($P$5=45,L19,IF($P$5=46,L19,IF($P$5=47,L19,IF($P$5=48,L19,IF($P$5=49,L19,IF($P$5=50,L19,IF($P$5=51,L19,IF($P$5=52,L19,IF($P$5=53,L19,IF($P$5=54,L19,0)))))))))))))))))))))</f>
        <v>C10</v>
      </c>
      <c r="R19" s="139" t="str">
        <f>IF($P$5=25,J10,IF($P$5=26,J10,IF($P$5=27,K10,IF($P$5=28,J10,IF($P$5=29,J10,IF($P$5=30,J10,IF($P$5=31,J20,IF($P$5=32,J20,IF($P$5=33,J20,IF($P$5=34,J20,IF($P$5=35,J20,IF($P$5=36,J20,IF($P$5=37,J20,IF($P$5=38,J20,IF($P$5=39,J20,IF($P$5=40,J20,IF($P$5=41,J20,IF($P$5=42,J20,IF($P$5=43,J20,IF($P$5=44,J20,IF($P$5=45,J20,IF($P$5=46,J20,IF($P$5=47,J20,IF($P$5=48,J20,IF($P$5=49,J20,IF($P$5=50,J20,IF($P$5=51,J20,IF($P$5=52,J20,IF($P$5=53,J20,IF($P$5=54,J20,0))))))))))))))))))))))))))))))</f>
        <v>A11</v>
      </c>
      <c r="S19" s="134" t="str">
        <f>IF($P$5=25,P18,IF($P$5=26,P14,IF($P$5=27,O19,IF($P$5=28,K18,IF($P$5=29,K18,IF($P$5=30,K18,IF($P$5=31,P19,IF($P$5=32,P21,IF($P$5=33,K19,IF($P$5=34,K19,IF($P$5=35,K19,IF($P$5=36,K21,IF($P$5=37,P11,IF($P$5=38,K21,IF($P$5=39,K21,IF($P$5=40,K21,IF($P$5=41,K21,IF($P$5=42,K21,IF($P$5=43,K21,IF($P$5=44,K21,IF($P$5=45,K21,IF($P$5=46,K21,IF($P$5=47,K21,IF($P$5=48,K21,IF($P$5=49,K21,IF($P$5=50,K21,IF($P$5=51,K21,IF($P$5=52,K21,IF($P$5=53,K21,IF($P$5=54,K21,0))))))))))))))))))))))))))))))</f>
        <v>B12</v>
      </c>
      <c r="T19" s="155" t="str">
        <f>IF($P$5=30,L19,IF($P$5=34,L18,IF($P$5=35,L18,IF($P$5=36,L10,IF($P$5=38,L10,IF($P$5=39,L11,IF($P$5=40,P23,IF($P$5=41,L22,IF($P$5=42,L22,IF($P$5=43,P23,IF($P$5=44,P24,IF($P$5=45,L22,IF($P$5=46,L22,IF($P$5=47,L22,IF($P$5=48,L22,IF($P$5=49,L22,IF($P$5=50,L22,IF($P$5=51,L22,IF($P$5=52,L22,IF($P$5=53,L22,IF($P$5=54,L22,0)))))))))))))))))))))</f>
        <v>C13</v>
      </c>
      <c r="U19" s="157" t="str">
        <f>IF($P$5=25,R18,IF($P$5=26,R18,IF($P$5=27,S19,IF($P$5=28,R18,IF($P$5=29,R18,IF($P$5=30,R18,IF($P$5=31,R18,IF($P$5=32,R10,IF($P$5=33,R10,IF($P$5=34,R10,IF($P$5=35,R10,IF($P$5=36,R20,IF($P$5=37,R20,IF($P$5=38,R20,IF($P$5=39,R20,IF($P$5=40,R20,IF($P$5=41,R20,IF($P$5=42,O21,IF($P$5=43,R20,IF($P$5=44,R20,IF($P$5=45,R20,IF($P$5=46,R20,IF($P$5=47,R20,IF($P$5=48,R20,IF($P$5=49,O21,IF($P$5=50,O21,IF($P$5=51,O21,IF($P$5=52,O21,IF($P$5=53,O21,IF($P$5=54,O21,0))))))))))))))))))))))))))))))</f>
        <v>A12</v>
      </c>
      <c r="V19" s="137" t="str">
        <f>IF($P$5=25,S12,IF($P$5=26,T10,IF($P$5=27,T10,IF($P$5=28,S17,IF($P$5=29,S12,IF($P$5=30,S12,IF($P$5=31,T16,IF($P$5=32,S14,IF($P$5=33,S14,IF($P$5=34,S20,IF($P$5=35,S20,IF($P$5=36,S21,IF($P$5=37,S11,IF($P$5=38,S21,IF($P$5=39,S21,IF($P$5=40,S21,IF($P$5=41,S21,IF($P$5=42,S21,IF($P$5=43,S11,IF($P$5=44,S21,IF($P$5=45,S21,IF($P$5=46,S21,IF($P$5=47,S21,IF($P$5=48,S21,IF($P$5=49,S21,IF($P$5=50,S21,IF($P$5=51,S21,IF($P$5=52,S21,IF($P$5=53,S21,IF($P$5=54,S21,0))))))))))))))))))))))))))))))</f>
        <v>B14</v>
      </c>
      <c r="W19" s="146" t="str">
        <f>IF($P$5=30,T10,IF($P$5=34,S21,IF($P$5=35,T16,IF($P$5=36,T10,IF($P$5=38,T10,IF($P$5=39,T18,IF($P$5=40,S23,IF($P$5=41,T22,IF($P$5=42,T22,IF($P$5=43,S23,IF($P$5=44,S23,IF($P$5=45,T22,IF($P$5=46,T22,IF($P$5=47,T22,IF($P$5=48,T22,IF($P$5=49,T22,IF($P$5=50,T22,IF($P$5=51,S27,IF($P$5=52,T22,IF($P$5=53,T22,IF($P$5=54,T22,0)))))))))))))))))))))</f>
        <v>C16</v>
      </c>
      <c r="Y19" s="382">
        <v>2</v>
      </c>
      <c r="Z19" s="9" t="str">
        <f>+O12</f>
        <v>A3</v>
      </c>
      <c r="AA19" s="25">
        <v>12</v>
      </c>
      <c r="AB19" s="38">
        <f>IF(AA19+AA23=0,0,IF(AA19=AA23,2,IF(AA19&gt;AA23,3,1)))</f>
        <v>3</v>
      </c>
      <c r="AC19" s="10">
        <f>AA19-AA23</f>
        <v>6</v>
      </c>
      <c r="AD19" s="19"/>
      <c r="AE19" s="9" t="str">
        <f>+R12</f>
        <v>A4</v>
      </c>
      <c r="AF19" s="107">
        <v>5</v>
      </c>
      <c r="AG19" s="38">
        <f>IF(AF19+AF23=0,0,IF(AF19=AF23,2,IF(AF19&gt;AF23,3,1)))</f>
        <v>1</v>
      </c>
      <c r="AH19" s="10">
        <f>AF19-AF23</f>
        <v>-7</v>
      </c>
      <c r="AI19" s="19"/>
      <c r="AJ19" s="9" t="str">
        <f>+U12</f>
        <v>A5</v>
      </c>
      <c r="AK19" s="28">
        <v>14</v>
      </c>
      <c r="AL19" s="38">
        <f>IF(AK19+AK23=0,0,IF(AK19=AK23,2,IF(AK19&gt;AK23,3,1)))</f>
        <v>3</v>
      </c>
      <c r="AM19" s="10">
        <f>AK19-AK23</f>
        <v>5</v>
      </c>
      <c r="AN19" s="18"/>
      <c r="AO19" s="44">
        <v>11</v>
      </c>
      <c r="AP19" s="278" t="str">
        <f>+Inscrits!B13</f>
        <v>A11</v>
      </c>
      <c r="AQ19" s="247" t="str">
        <f t="shared" si="3"/>
        <v>0</v>
      </c>
      <c r="AR19" s="82" t="str">
        <f t="shared" si="4"/>
        <v>0</v>
      </c>
      <c r="AS19" s="184" t="str">
        <f t="shared" si="5"/>
        <v>0</v>
      </c>
      <c r="AT19" s="250" t="str">
        <f t="shared" si="6"/>
        <v>0</v>
      </c>
      <c r="AU19" s="82" t="str">
        <f t="shared" si="7"/>
        <v>0</v>
      </c>
      <c r="AV19" s="252" t="str">
        <f t="shared" si="8"/>
        <v>0</v>
      </c>
      <c r="AW19" s="247" t="str">
        <f t="shared" si="9"/>
        <v>0</v>
      </c>
      <c r="AX19" s="82" t="str">
        <f t="shared" si="10"/>
        <v>0</v>
      </c>
      <c r="AY19" s="252" t="str">
        <f t="shared" si="11"/>
        <v>0</v>
      </c>
      <c r="AZ19" s="247">
        <f t="shared" si="17"/>
        <v>0</v>
      </c>
      <c r="BA19" s="82">
        <f t="shared" si="12"/>
        <v>0</v>
      </c>
      <c r="BB19" s="252">
        <f t="shared" si="13"/>
        <v>0</v>
      </c>
      <c r="BC19" s="255">
        <f t="shared" si="14"/>
        <v>0</v>
      </c>
      <c r="BD19" s="7">
        <f t="shared" si="15"/>
        <v>0</v>
      </c>
      <c r="BE19" s="183">
        <f t="shared" si="16"/>
        <v>25.000000190000002</v>
      </c>
      <c r="BF19" s="82">
        <f>IF(AP19="","",SMALL(BE$9:BE$62,ROWS(AZ$9:AZ19)))</f>
        <v>8.9486005299999984</v>
      </c>
      <c r="BG19"/>
      <c r="BH19" s="250" t="str">
        <f>IF(OR(AP19="",AZ19=""),"",INDEX($AP$9:$AP$63,MATCH(BF19,$BE$9:BE$62,0)))</f>
        <v>C9</v>
      </c>
      <c r="BI19" s="7">
        <f t="shared" si="0"/>
        <v>3</v>
      </c>
      <c r="BJ19" s="7">
        <f t="shared" si="1"/>
        <v>5</v>
      </c>
      <c r="BK19" s="7">
        <f t="shared" si="2"/>
        <v>14</v>
      </c>
      <c r="BL19" s="17">
        <f>IF(BF19="","",IF(AND(BI18=BI19,BJ18=BJ19,BK18=BK19),BL18,$BL$9+10))</f>
        <v>10</v>
      </c>
      <c r="BN19" s="3">
        <f>IF(BH19="","",IF(AND(BK18=BK19,BL18=BL19,BM18=BM19),BN18,$BL$9+9))</f>
        <v>11</v>
      </c>
      <c r="BO19" s="342">
        <f>IF(AND($K$5=11),1,IF(AND($K$5=12),2,IF(AND($K$5=13),3,IF(AND($K$5=14),4,IF(AND($K$5=15),5,IF(AND($K$5=16),6,IF(AND($K$5=17),7,IF(AND($K$5=18),8,IF(AND($K$5=19),9,IF(AND($K$5=20),10,IF(AND($K$5=21),11,IF(AND($K$5=22),12,IF(AND($K$5=23),13,IF(AND($K$5=24),14,IF(AND($K$5=25),15,IF(AND($K$5=26),16,IF(AND($K$5=27),17,IF(AND($K$5=28),18,IF(AND($K$5=29),19,IF(AND($K$5=30),20,IF(AND($K$5=31),21,IF(AND($K$5=32),22,IF(AND($K$5=33),23,IF(AND($K$5=34),24,IF(AND($K$5=35),25,IF(AND($K$5=36),26,IF(AND($K$5=37),27,IF(AND($K$5=38),28,IF(AND($K$5=39),29,IF(AND($K$5=40),30,IF(AND($K$5=41),31,IF(AND($K$5=42),32,IF(AND($K$5=43),33,IF(AND($K$5=44),34,IF(AND($K$5=45),35,IF(AND($K$5=46),36,IF(AND($K$5=47),37,IF(AND($K$5=48),38,IF(AND($K$5=49),39,IF(AND($K$5=50),40,IF(AND($K$5=51),41,IF(AND($K$5=52),42,IF(AND($K$5=53),43,IF(AND($K$5=54),44," "))))))))))))))))))))))))))))))))))))))))))))</f>
        <v>38</v>
      </c>
    </row>
    <row r="20" spans="1:67" ht="18" customHeight="1" thickBot="1" x14ac:dyDescent="0.45">
      <c r="A20" s="111">
        <v>11</v>
      </c>
      <c r="B20" s="330" t="s">
        <v>76</v>
      </c>
      <c r="C20" s="235">
        <f>IF($P$5&gt;=31,11,0)</f>
        <v>11</v>
      </c>
      <c r="D20" s="332" t="s">
        <v>94</v>
      </c>
      <c r="E20" s="235">
        <f>IF($P$5&gt;=32,11,0)</f>
        <v>11</v>
      </c>
      <c r="F20" s="19" t="s">
        <v>112</v>
      </c>
      <c r="G20" s="235">
        <f>IF($P$5&gt;=33,11,0)</f>
        <v>11</v>
      </c>
      <c r="I20" s="165">
        <v>11</v>
      </c>
      <c r="J20" s="172" t="str">
        <f>IF(ISNA(MATCH(I20,$C$10:$C$27,0)),"",INDEX(B$10:$B$27,MATCH(I20,$C$10:$C$27,0)))</f>
        <v>A11</v>
      </c>
      <c r="K20" s="117" t="str">
        <f>IF(ISNA(MATCH(I20,$E$10:$E$27,0)),"",INDEX($D$10:D$27,MATCH(I20,$E$10:$E$27,0)))</f>
        <v>B11</v>
      </c>
      <c r="L20" s="160" t="str">
        <f>IF(ISNA(MATCH(I20,$G$10:$G$27,0)),"",INDEX($F$10:F$27,MATCH(I20,$G$10:$G$27,0)))</f>
        <v>C11</v>
      </c>
      <c r="M20" s="130"/>
      <c r="N20" s="3">
        <v>6</v>
      </c>
      <c r="O20" s="118" t="str">
        <f>IF($P$5=31,J20,IF($P$5=32,J20,IF($P$5=33,J20,IF($P$5=34,J20,IF($P$5=35,J20,IF($P$5=36,J20,IF($P$5=37,J20,IF($P$5=38,J20,IF($P$5=39,J20,IF($P$5=40,J20,IF($P$5=41,J20,IF($P$5=42,J20,IF($P$5=43,J20,IF($P$5=44,J20,IF($P$5=45,J20,IF($P$5=46,J20,IF($P$5=47,J20,IF($P$5=48,J20,IF($P$5=49,J20,IF($P$5=50,J20,IF($P$5=51,J20,IF($P$5=52,J20,IF($P$5=53,J20,IF($P$5=54,J20,0))))))))))))))))))))))))</f>
        <v>A11</v>
      </c>
      <c r="P20" s="119" t="str">
        <f>IF($P$5=31,L18,IF($P$5=32,L18,IF($P$5=33,L19,IF($P$5=34,K20,IF($P$5=35,K20,IF($P$5=36,K20,IF($P$5=37,K20,IF($P$5=38,K20,IF($P$5=39,K20,IF($P$5=40,K20,IF($P$5=41,K20,IF($P$5=42,K20,IF($P$5=43,K20,IF($P$5=44,K20,IF($P$5=45,K20,IF($P$5=46,K20,IF($P$5=47,K20,IF($P$5=48,K20,IF($P$5=49,K20,IF($P$5=50,K20,IF($P$5=51,K20,IF($P$5=52,K20,IF($P$5=53,K20,IF($P$5=54,K20,0))))))))))))))))))))))))</f>
        <v>B11</v>
      </c>
      <c r="Q20" s="120" t="str">
        <f>IF($P$5=35,L20,IF($P$5=36,L20,IF($P$5=39,L20,IF($P$5=40,L20,IF($P$5=41,L20,IF($P$5=42,L20,IF($P$5=43,L20,IF($P$5=44,L20,IF($P$5=45,L20,IF($P$5=46,L20,IF($P$5=47,L20,IF($P$5=48,L20,IF($P$5=49,L20,IF($P$5=50,L20,IF($P$5=51,L20,IF($P$5=52,L20,IF($P$5=53,L20,IF($P$5=54,L20,0))))))))))))))))))</f>
        <v>C11</v>
      </c>
      <c r="R20" s="140" t="str">
        <f>IF($P$5=31,J10,IF($P$5=32,K20,IF($P$5=33,J10,IF($P$5=34,J21,IF($P$5=35,J21,IF($P$5=36,J21,IF($P$5=37,J21,IF($P$5=38,J21,IF($P$5=39,J21,IF($P$5=40,J21,IF($P$5=41,J21,IF($P$5=42,J21,IF($P$5=43,J21,IF($P$5=44,J21,IF($P$5=45,J21,IF($P$5=46,J21,IF($P$5=47,J21,IF($P$5=48,J21,IF($P$5=49,J21,IF($P$5=50,J21,IF($P$5=51,J21,IF($P$5=52,J21,IF($P$5=53,J21,IF($P$5=54,J21,0))))))))))))))))))))))))</f>
        <v>A12</v>
      </c>
      <c r="S20" s="132" t="str">
        <f>IF($P$5=31,P20,IF($P$5=32,K10,IF($P$5=33,P21,IF($P$5=34,K20,IF($P$5=35,K20,IF($P$5=36,K10,IF($P$5=37,K10,IF($P$5=38,P11,IF($P$5=39,K10,IF($P$5=40,K22,IF($P$5=41,K22,IF($P$5=42,K22,IF($P$5=43,K22,IF($P$5=44,K22,IF($P$5=45,K22,IF($P$5=46,K22,IF($P$5=47,K22,IF($P$5=48,K22,IF($P$5=49,K22,IF($P$5=50,K22,IF($P$5=51,K22,IF($P$5=52,K22,IF($P$5=53,K22,IF($P$5=54,K22,0))))))))))))))))))))))))</f>
        <v>B13</v>
      </c>
      <c r="T20" s="151" t="str">
        <f>IF($P$5=35,L19,IF($P$5=36,L11,IF($P$5=39,L12,IF($P$5=40,L10,IF($P$5=41,L10,IF($P$5=42,L23,IF($P$5=43,P24,IF($P$5=44,P25,IF($P$5=45,P24,IF($P$5=46,L23,IF($P$5=47,L23,IF($P$5=48,L23,IF($P$5=49,L10,IF($P$5=50,L23,IF($P$5=51,L23,IF($P$5=52,L23,IF($P$5=53,L23,IF($P$5=54,L23,0))))))))))))))))))</f>
        <v>C14</v>
      </c>
      <c r="U20" s="140" t="str">
        <f>IF($P$5=31,R19,IF($P$5=32,R19,IF($P$5=33,R19,IF($P$5=34,R18,IF($P$5=35,R18,IF($P$5=36,R21,IF($P$5=37,R21,IF($P$5=38,R21,IF($P$5=39,R21,IF($P$5=40,R21,IF($P$5=41,R21,IF($P$5=42,O22,IF($P$5=43,R21,IF($P$5=44,R21,IF($P$5=45,R21,IF($P$5=46,R21,IF($P$5=47,R21,IF($P$5=48,R21,IF($P$5=49,O22,IF($P$5=50,O22,IF($P$5=51,R21,IF($P$5=52,O22,IF($P$5=53,O22,IF($P$5=54,O22,0))))))))))))))))))))))))</f>
        <v>A13</v>
      </c>
      <c r="V20" s="138" t="str">
        <f>IF($P$5=31,T10,IF($P$5=32,S18,IF($P$5=33,S21,IF($P$5=34,S14,IF($P$5=35,S21,IF($P$5=36,S10,IF($P$5=37,S10,IF($P$5=38,S11,IF($P$5=39,S20,IF($P$5=40,S22,IF($P$5=41,S22,IF($P$5=42,S22,IF($P$5=43,S22,IF($P$5=44,S22,IF($P$5=45,S22,IF($P$5=46,S22,IF($P$5=47,S22,IF($P$5=48,S22,IF($P$5=49,S22,IF($P$5=50,S22,IF($P$5=51,S22,IF($P$5=52,S22,IF($P$5=53,S22,IF($P$5=54,S22,0))))))))))))))))))))))))</f>
        <v>B15</v>
      </c>
      <c r="W20" s="145" t="str">
        <f>IF($P$5=35,T14,IF($P$5=36,T11,IF($P$5=39,T10,IF($P$5=40,T10,IF($P$5=41,T10,IF($P$5=42,T23,IF($P$5=43,S24,IF($P$5=44,S24,IF($P$5=45,S24,IF($P$5=46,T23,IF($P$5=47,T23,IF($P$5=48,T23,IF($P$5=49,T10,IF($P$5=50,T23,IF($P$5=51,S26,IF($P$5=52,S27,IF($P$5=53,T23,IF($P$5=54,T23,0))))))))))))))))))</f>
        <v>C1</v>
      </c>
      <c r="Y20" s="383"/>
      <c r="Z20" s="11" t="str">
        <f>+P12</f>
        <v>B3</v>
      </c>
      <c r="AA20" s="14">
        <f>IF(ISTEXT(Z20),AA19,0)</f>
        <v>12</v>
      </c>
      <c r="AB20" s="14">
        <f>IF(ISTEXT(Z20),AB19,0)</f>
        <v>3</v>
      </c>
      <c r="AC20" s="15">
        <f>IF(ISTEXT(Z20),AC19,0)</f>
        <v>6</v>
      </c>
      <c r="AD20" s="6"/>
      <c r="AE20" s="11" t="str">
        <f>+S12</f>
        <v>B5</v>
      </c>
      <c r="AF20" s="14">
        <f>IF(ISTEXT(AE20),AF19,0)</f>
        <v>5</v>
      </c>
      <c r="AG20" s="48">
        <f>IF(ISTEXT(AE20),AG19,0)</f>
        <v>1</v>
      </c>
      <c r="AH20" s="15">
        <f>IF(ISTEXT(AE20),AH19,0)</f>
        <v>-7</v>
      </c>
      <c r="AI20" s="6"/>
      <c r="AJ20" s="11" t="str">
        <f>+V12</f>
        <v>B7</v>
      </c>
      <c r="AK20" s="14">
        <f>IF(ISTEXT(AJ20),AK19,0)</f>
        <v>14</v>
      </c>
      <c r="AL20" s="48">
        <f>IF(ISTEXT(AJ20),AL19,0)</f>
        <v>3</v>
      </c>
      <c r="AM20" s="15">
        <f>IF(ISTEXT(AJ20),AM19,0)</f>
        <v>5</v>
      </c>
      <c r="AN20" s="18"/>
      <c r="AO20" s="44">
        <v>12</v>
      </c>
      <c r="AP20" s="278" t="str">
        <f>+Inscrits!B14</f>
        <v>A12</v>
      </c>
      <c r="AQ20" s="247" t="str">
        <f t="shared" si="3"/>
        <v>0</v>
      </c>
      <c r="AR20" s="82" t="str">
        <f t="shared" si="4"/>
        <v>0</v>
      </c>
      <c r="AS20" s="184" t="str">
        <f t="shared" si="5"/>
        <v>0</v>
      </c>
      <c r="AT20" s="250" t="str">
        <f t="shared" si="6"/>
        <v>0</v>
      </c>
      <c r="AU20" s="82" t="str">
        <f t="shared" si="7"/>
        <v>0</v>
      </c>
      <c r="AV20" s="252" t="str">
        <f t="shared" si="8"/>
        <v>0</v>
      </c>
      <c r="AW20" s="247" t="str">
        <f t="shared" si="9"/>
        <v>0</v>
      </c>
      <c r="AX20" s="82" t="str">
        <f t="shared" si="10"/>
        <v>0</v>
      </c>
      <c r="AY20" s="252" t="str">
        <f t="shared" si="11"/>
        <v>0</v>
      </c>
      <c r="AZ20" s="247">
        <f t="shared" si="17"/>
        <v>0</v>
      </c>
      <c r="BA20" s="82">
        <f t="shared" si="12"/>
        <v>0</v>
      </c>
      <c r="BB20" s="252">
        <f t="shared" si="13"/>
        <v>0</v>
      </c>
      <c r="BC20" s="255">
        <f t="shared" si="14"/>
        <v>0</v>
      </c>
      <c r="BD20" s="7">
        <f t="shared" si="15"/>
        <v>0</v>
      </c>
      <c r="BE20" s="183">
        <f t="shared" si="16"/>
        <v>25.000000199999999</v>
      </c>
      <c r="BF20" s="82">
        <f>IF(AP20="","",SMALL(BE$9:BE$62,ROWS(AZ$9:AZ20)))</f>
        <v>8.9490004899999995</v>
      </c>
      <c r="BG20"/>
      <c r="BH20" s="250" t="str">
        <f>IF(OR(AP20="",AZ20=""),"",INDEX($AP$9:$AP$63,MATCH(BF20,$BE$9:BE$62,0)))</f>
        <v>C5</v>
      </c>
      <c r="BI20" s="7">
        <f t="shared" si="0"/>
        <v>3</v>
      </c>
      <c r="BJ20" s="7">
        <f t="shared" si="1"/>
        <v>5</v>
      </c>
      <c r="BK20" s="7">
        <f t="shared" si="2"/>
        <v>10</v>
      </c>
      <c r="BL20" s="17">
        <f>IF(BF20="","",IF(AND(BI19=BI20,BJ19=BJ20,BK19=BK20),BL19,$BL$9+11))</f>
        <v>12</v>
      </c>
      <c r="BN20" s="3">
        <f>IF(BH20="","",IF(AND(BK19=BK20,BL19=BL20,BM19=BM20),BN19,$BL$9+8))</f>
        <v>9</v>
      </c>
      <c r="BO20" s="342">
        <f>IF(AND($K$5=8)," ",IF(AND($K$5=9)," ",IF(AND($K$5=10)," ",IF(AND($K$5=11)," ",IF(AND($K$5=12),1,IF(AND($K$5=13),2,IF(AND($K$5=14),3,IF(AND($K$5=15),4,IF(AND($K$5=16),5,IF(AND($K$5=17),6,IF(AND($K$5=18),7,IF(AND($K$5=19),8,IF(AND($K$5=20),9,IF(AND($K$5=21),10,IF(AND($K$5=22),11,IF(AND($K$5=23),12,IF(AND($K$5=24),13,IF(AND($K$5=25),14,IF(AND($K$5=26),15,IF(AND($K$5=27),16,IF(AND($K$5=28),17,IF(AND($K$5=29),18,IF(AND($K$5=30),19,IF(AND($K$5=31),20,IF(AND($K$5=32),21,IF(AND($K$5=33),22,IF(AND($K$5=34),23,IF(AND($K$5=35),24,IF(AND($K$5=36),25,IF(AND($K$5=37),26,IF(AND($K$5=38),27,IF(AND($K$5=39),28,IF(AND($K$5=40),29,IF(AND($K$5=41),30,IF(AND($K$5=42),31,IF(AND($K$5=43),32,IF(AND($K$5=44),33,IF(AND($K$5=45),34,IF(AND($K$5=46),35,IF(AND($K$5=47),36,IF(AND($K$5=48),37,IF(AND($K$5=49),38,IF(AND($K$5=50),39,IF(AND($K$5=51),40,IF(AND($K$5=52),41,IF(AND($K$5=53),42,IF(AND($K$5=54),43," ")))))))))))))))))))))))))))))))))))))))))))))))</f>
        <v>37</v>
      </c>
    </row>
    <row r="21" spans="1:67" ht="18" customHeight="1" thickBot="1" x14ac:dyDescent="0.45">
      <c r="A21" s="111">
        <v>12</v>
      </c>
      <c r="B21" s="330" t="s">
        <v>77</v>
      </c>
      <c r="C21" s="235">
        <f>IF($P$5&gt;=34,12,0)</f>
        <v>12</v>
      </c>
      <c r="D21" s="332" t="s">
        <v>95</v>
      </c>
      <c r="E21" s="235">
        <f>IF($P$5&gt;=35,12,0)</f>
        <v>12</v>
      </c>
      <c r="F21" s="19" t="s">
        <v>113</v>
      </c>
      <c r="G21" s="235">
        <f>IF($P$5&gt;=36,12,0)</f>
        <v>12</v>
      </c>
      <c r="I21" s="165">
        <v>12</v>
      </c>
      <c r="J21" s="172" t="str">
        <f>IF(ISNA(MATCH(I21,$C$10:$C$27,0)),"",INDEX(B$10:$B$27,MATCH(I21,$C$10:$C$27,0)))</f>
        <v>A12</v>
      </c>
      <c r="K21" s="117" t="str">
        <f>IF(ISNA(MATCH(I21,$E$10:$E$27,0)),"",INDEX($D$10:D$27,MATCH(I21,$E$10:$E$27,0)))</f>
        <v>B12</v>
      </c>
      <c r="L21" s="160" t="str">
        <f>IF(ISNA(MATCH(I21,$G$10:$G$27,0)),"",INDEX($F$10:F$27,MATCH(I21,$G$10:$G$27,0)))</f>
        <v>C12</v>
      </c>
      <c r="M21" s="130"/>
      <c r="N21" s="42" t="s">
        <v>5</v>
      </c>
      <c r="O21" s="121" t="str">
        <f>IF($P$5=31,K19,IF($P$5=32,K20,IF($P$5=33,K20,IF($P$5=34,J21,IF($P$5=35,J21,IF($P$5=36,J21,IF($P$5=37,J21,IF($P$5=38,J21,IF($P$5=39,J21,IF($P$5=40,J21,IF($P$5=41,J21,IF($P$5=42,J21,IF($P$5=43,J21,IF($P$5=44,J21,IF($P$5=45,J21,IF($P$5=46,J21,IF($P$5=47,J21,IF($P$5=48,J21,IF($P$5=49,J21,IF($P$5=50,J21,IF($P$5=51,J21,IF($P$5=52,J21,IF($P$5=53,J21,IF($P$5=54,J21,0))))))))))))))))))))))))</f>
        <v>A12</v>
      </c>
      <c r="P21" s="126" t="str">
        <f>IF($P$5=31,L19,IF($P$5=32,L19,IF($P$5=33,L20,IF($P$5=34,L20,IF($P$5=35,K21,IF($P$5=36,K21,IF($P$5=37,L21,IF($P$5=38,K21,IF($P$5=39,K21,IF($P$5=40,K21,IF($P$5=41,K21,IF($P$5=42,K21,IF($P$5=43,K21,IF($P$5=44,K21,IF($P$5=45,K21,IF($P$5=46,K21,IF($P$5=47,K21,IF($P$5=48,K21,IF($P$5=49,K21,IF($P$5=50,K21,IF($P$5=51,K21,IF($P$5=52,K21,IF($P$5=53,K21,IF($P$5=54,K21,0))))))))))))))))))))))))</f>
        <v>B12</v>
      </c>
      <c r="Q21" s="123" t="str">
        <f>IF($P$5=36,L21,IF($P$5=40,L21,IF($P$5=41,L21,IF($P$5=42,L21,IF($P$5=43,0,IF($P$5=44,L21,IF($P$5=45,L21,IF($P$5=46,L21,IF($P$5=47,L21,IF($P$5=48,L21,IF($P$5=49,L21,IF($P$5=50,L21,IF($P$5=51,L21,IF($P$5=52,L21,IF($P$5=53,L21,IF($P$5=54,L21,0))))))))))))))))</f>
        <v>C12</v>
      </c>
      <c r="R21" s="141" t="str">
        <f>IF($P$5=31,K11,IF($P$5=32,J10,IF($P$5=33,O21,IF($P$5=34,J10,IF($P$5=35,J10,IF($P$5=36,J10,IF($P$5=37,J22,IF($P$5=38,J22,IF($P$5=39,J22,IF($P$5=40,J22,IF($P$5=41,J22,IF($P$5=42,J22,IF($P$5=43,J22,IF($P$5=44,J22,IF($P$5=45,J22,IF($P$5=46,J22,IF($P$5=47,J22,IF($P$5=48,J22,IF($P$5=49,J22,IF($P$5=50,J22,IF($P$5=51,J22,IF($P$5=52,J22,IF($P$5=53,J22,IF($P$5=54,J22,0))))))))))))))))))))))))</f>
        <v>A13</v>
      </c>
      <c r="S21" s="137" t="str">
        <f>IF($P$5=31,O21,IF($P$5=32,P18,IF($P$5=33,P20,IF($P$5=34,L19,IF($P$5=35,K21,IF($P$5=36,K11,IF($P$5=37,L10,IF($P$5=38,K10,IF($P$5=39,K11,IF($P$5=40,K10,IF($P$5=41,K23,IF($P$5=42,K23,IF($P$5=43,P11,IF($P$5=44,K23,IF($P$5=45,K23,IF($P$5=46,K23,IF($P$5=47,K23,IF($P$5=48,K23,IF($P$5=49,K23,IF($P$5=50,K23,IF($P$5=51,K23,IF($P$5=52,K23,IF($P$5=53,K23,IF($P$5=54,K23,0))))))))))))))))))))))))</f>
        <v>B14</v>
      </c>
      <c r="T21" s="153" t="str">
        <f>IF($P$5=36,L12,IF($P$5=40,L11,IF($P$5=41,L11,IF($P$5=42,L10,IF($P$5=43,0,IF($P$5=44,L10,IF($P$5=45,P25,IF($P$5=46,P25,IF($P$5=47,L24,IF($P$5=48,L24,IF($P$5=49,L11,IF($P$5=50,P26,IF($P$5=51,L24,IF($P$5=52,L24,IF($P$5=53,L24,IF($P$5=54,L24,0))))))))))))))))</f>
        <v>C15</v>
      </c>
      <c r="U21" s="156" t="str">
        <f>IF($P$5=31,S21,IF($P$5=32,R20,IF($P$5=33,R21,IF($P$5=34,R20,IF($P$5=35,R20,IF($P$5=36,R10,IF($P$5=37,R22,IF($P$5=38,R22,IF($P$5=39,R22,IF($P$5=40,R22,IF($P$5=41,R22,IF($P$5=42,O23,IF($P$5=43,R22,IF($P$5=44,R22,IF($P$5=45,R22,IF($P$5=46,R22,IF($P$5=47,R22,IF($P$5=48,R22,IF($P$5=49,R22,IF($P$5=50,O23,IF($P$5=51,R22,IF($P$5=52,R22,IF($P$5=53,O23,IF($P$5=54,O23,0))))))))))))))))))))))))</f>
        <v>A14</v>
      </c>
      <c r="V21" s="137" t="str">
        <f>IF($P$5=31,S15,IF($P$5=32,S19,IF($P$5=33,T18,IF($P$5=34,T19,IF($P$5=35,S14,IF($P$5=36,S11,IF($P$5=37,T10,IF($P$5=38,S10,IF($P$5=39,S10,IF($P$5=40,S10,IF($P$5=41,S23,IF($P$5=42,S23,IF($P$5=43,S21,IF($P$5=44,S11,IF($P$5=45,S23,IF($P$5=46,S23,IF($P$5=47,S23,IF($P$5=48,S23,IF($P$5=49,S23,IF($P$5=50,S23,IF($P$5=51,S23,IF($P$5=52,S23,IF($P$5=53,S23,IF($P$5=54,S23,0))))))))))))))))))))))))</f>
        <v>B16</v>
      </c>
      <c r="W21" s="146" t="str">
        <f>IF($P$5=36,T12,IF($P$5=40,T11,IF($P$5=41,T11,IF($P$5=42,T10,IF($P$5=44,T10,IF($P$5=45,T10,IF($P$5=46,S25,IF($P$5=47,T24,IF($P$5=48,T24,IF($P$5=49,T11,IF($P$5=50,S26,IF($P$5=51,T22,IF($P$5=52,T23,IF($P$5=53,T24,IF($P$5=54,T24,0)))))))))))))))</f>
        <v>C2</v>
      </c>
      <c r="Y21" s="383"/>
      <c r="Z21" s="11" t="str">
        <f>+Q12</f>
        <v>C3</v>
      </c>
      <c r="AA21" s="55">
        <f>IF(ISTEXT(Z21),AA19,0)</f>
        <v>12</v>
      </c>
      <c r="AB21" s="55">
        <f>IF(ISTEXT(Z21),AB19,0)</f>
        <v>3</v>
      </c>
      <c r="AC21" s="56">
        <f>IF(ISTEXT(Z21),AC19,0)</f>
        <v>6</v>
      </c>
      <c r="AD21" s="6"/>
      <c r="AE21" s="11" t="str">
        <f>+T12</f>
        <v>C6</v>
      </c>
      <c r="AF21" s="55">
        <f>IF(ISTEXT(AE21),AF19,0)</f>
        <v>5</v>
      </c>
      <c r="AG21" s="52">
        <f>IF(ISTEXT(AE21),AG19,0)</f>
        <v>1</v>
      </c>
      <c r="AH21" s="56">
        <f>IF(ISTEXT(AE21),AH19,0)</f>
        <v>-7</v>
      </c>
      <c r="AI21" s="6"/>
      <c r="AJ21" s="11" t="str">
        <f>+W12</f>
        <v>C9</v>
      </c>
      <c r="AK21" s="55">
        <f>IF(ISTEXT(AJ21),AK19,0)</f>
        <v>14</v>
      </c>
      <c r="AL21" s="52">
        <f>IF(ISTEXT(AJ21),AL19,0)</f>
        <v>3</v>
      </c>
      <c r="AM21" s="56">
        <f>IF(ISTEXT(AJ21),AM19,0)</f>
        <v>5</v>
      </c>
      <c r="AN21" s="18"/>
      <c r="AO21" s="44">
        <v>13</v>
      </c>
      <c r="AP21" s="278" t="str">
        <f>+Inscrits!B15</f>
        <v>A13</v>
      </c>
      <c r="AQ21" s="247" t="str">
        <f t="shared" si="3"/>
        <v>0</v>
      </c>
      <c r="AR21" s="82" t="str">
        <f t="shared" si="4"/>
        <v>0</v>
      </c>
      <c r="AS21" s="184" t="str">
        <f t="shared" si="5"/>
        <v>0</v>
      </c>
      <c r="AT21" s="250" t="str">
        <f t="shared" si="6"/>
        <v>0</v>
      </c>
      <c r="AU21" s="82" t="str">
        <f t="shared" si="7"/>
        <v>0</v>
      </c>
      <c r="AV21" s="252" t="str">
        <f t="shared" si="8"/>
        <v>0</v>
      </c>
      <c r="AW21" s="247" t="str">
        <f t="shared" si="9"/>
        <v>0</v>
      </c>
      <c r="AX21" s="82" t="str">
        <f t="shared" si="10"/>
        <v>0</v>
      </c>
      <c r="AY21" s="252" t="str">
        <f t="shared" si="11"/>
        <v>0</v>
      </c>
      <c r="AZ21" s="247">
        <f t="shared" si="17"/>
        <v>0</v>
      </c>
      <c r="BA21" s="82">
        <f t="shared" si="12"/>
        <v>0</v>
      </c>
      <c r="BB21" s="252">
        <f t="shared" si="13"/>
        <v>0</v>
      </c>
      <c r="BC21" s="255">
        <f t="shared" si="14"/>
        <v>0</v>
      </c>
      <c r="BD21" s="7">
        <f t="shared" si="15"/>
        <v>0</v>
      </c>
      <c r="BE21" s="183">
        <f t="shared" si="16"/>
        <v>25.00000021</v>
      </c>
      <c r="BF21" s="82">
        <f>IF(AP21="","",SMALL(BE$9:BE$62,ROWS(AZ$9:AZ21)))</f>
        <v>8.9894002799999999</v>
      </c>
      <c r="BG21"/>
      <c r="BH21" s="250" t="str">
        <f>IF(OR(AP21="",AZ21=""),"",INDEX($AP$9:$AP$63,MATCH(BF21,$BE$9:BE$62,0)))</f>
        <v>B2</v>
      </c>
      <c r="BI21" s="7">
        <f t="shared" si="0"/>
        <v>3</v>
      </c>
      <c r="BJ21" s="7">
        <f t="shared" si="1"/>
        <v>1</v>
      </c>
      <c r="BK21" s="7">
        <f t="shared" si="2"/>
        <v>6</v>
      </c>
      <c r="BL21" s="17">
        <f>IF(BF21="","",IF(AND(BI20=BI21,BJ20=BJ21,BK20=BK21),BL20,$BL$9+12))</f>
        <v>13</v>
      </c>
      <c r="BN21" s="3">
        <f>IF(BH21="","",IF(AND(BK20=BK21,BL20=BL21,BM20=BM21),BN20,$BL$9+7))</f>
        <v>8</v>
      </c>
      <c r="BO21" s="342">
        <f>IF(AND($K$5=13),1,IF(AND($K$5=14),2,IF(AND($K$5=15),3,IF(AND($K$5=16),4,IF(AND($K$5=17),5,IF(AND($K$5=18),6,IF(AND($K$5=19),7,IF(AND($K$5=20),8,IF(AND($K$5=21),9,IF(AND($K$5=22),10,IF(AND($K$5=23),11,IF(AND($K$5=24),12,IF(AND($K$5=25),13,IF(AND($K$5=26),14,IF(AND($K$5=27),15,IF(AND($K$5=28),16,IF(AND($K$5=29),17,IF(AND($K$5=30),18,IF(AND($K$5=31),19,IF(AND($K$5=32),20,IF(AND($K$5=33),21,IF(AND($K$5=34),22,IF(AND($K$5=35),23,IF(AND($K$5=36),24,IF(AND($K$5=37),25,IF(AND($K$5=38),26,IF(AND($K$5=39),27,IF(AND($K$5=40),28,IF(AND($K$5=41),29,IF(AND($K$5=42),30,IF(AND($K$5=43),31,IF(AND($K$5=44),32,IF(AND($K$5=45),33,IF(AND($K$5=46),34,IF(AND($K$5=47),35,IF(AND($K$5=48),36,IF(AND($K$5=49),37,IF(AND($K$5=50),38,IF(AND($K$5=51),39,IF(AND($K$5=52),40,IF(AND($K$5=53),41,IF(AND($K$5=54),42," "))))))))))))))))))))))))))))))))))))))))))</f>
        <v>36</v>
      </c>
    </row>
    <row r="22" spans="1:67" ht="18" customHeight="1" x14ac:dyDescent="0.4">
      <c r="A22" s="111">
        <v>13</v>
      </c>
      <c r="B22" s="330" t="s">
        <v>78</v>
      </c>
      <c r="C22" s="235">
        <f>IF($P$5&gt;=37,13,0)</f>
        <v>13</v>
      </c>
      <c r="D22" s="332" t="s">
        <v>96</v>
      </c>
      <c r="E22" s="235">
        <f>IF($P$5&gt;=38,13,0)</f>
        <v>13</v>
      </c>
      <c r="F22" s="19" t="s">
        <v>114</v>
      </c>
      <c r="G22" s="235">
        <f>IF($P$5&gt;=39,13,0)</f>
        <v>13</v>
      </c>
      <c r="I22" s="165">
        <v>13</v>
      </c>
      <c r="J22" s="172" t="str">
        <f>IF(ISNA(MATCH(I22,$C$10:$C$27,0)),"",INDEX(B$10:$B$27,MATCH(I22,$C$10:$C$27,0)))</f>
        <v>A13</v>
      </c>
      <c r="K22" s="117" t="str">
        <f>IF(ISNA(MATCH(I22,$E$10:$E$27,0)),"",INDEX($D$10:D$27,MATCH(I22,$E$10:$E$27,0)))</f>
        <v>B13</v>
      </c>
      <c r="L22" s="160" t="str">
        <f>IF(ISNA(MATCH(I22,$G$10:$G$27,0)),"",INDEX($F$10:F$27,MATCH(I22,$G$10:$G$27,0)))</f>
        <v>C13</v>
      </c>
      <c r="M22" s="130"/>
      <c r="N22" s="67">
        <v>7</v>
      </c>
      <c r="O22" s="127" t="str">
        <f>IF($P$5=36,0,IF($P$5=37,J22,IF($P$5=38,J22,IF($P$5=39,J22,IF($P$5=40,J22,IF($P$5=41,J22,IF($P$5=42,J22,IF($P$5=43,J22,IF($P$5=44,J22,IF($P$5=45,J22,IF($P$5=46,J22,IF($P$5=47,J22,IF($P$5=48,J22,IF($P$5=49,J22,IF($P$5=50,J22,IF($P$5=51,J22,IF($P$5=52,J22,IF($P$5=53,J22,IF($P$5=54,J22,0)))))))))))))))))))</f>
        <v>A13</v>
      </c>
      <c r="P22" s="122" t="str">
        <f>IF($P$5=36,0,IF($P$5=37,L20,IF($P$5=38,L20,IF($P$5=39,L21,IF($P$5=40,K22,IF($P$5=41,K22,IF($P$5=42,K22,IF($P$5=43,K22,IF($P$5=44,K22,IF($P$5=45,K22,IF($P$5=46,K22,IF($P$5=47,K22,IF($P$5=48,K22,IF($P$5=49,K22,IF($P$5=50,K22,IF($P$5=51,K22,IF($P$5=52,K22,IF($P$5=53,K22,IF($P$5=54,K22,0)))))))))))))))))))</f>
        <v>B13</v>
      </c>
      <c r="Q22" s="128" t="str">
        <f>IF($P$5=39,0,IF($P$5=40,0,IF($P$5=41,L22,IF($P$5=42,L22,IF($P$5=43,0,IF($P$5=44,0,IF($P$5=45,L22,IF($P$5=46,L22,IF($P$5=47,L22,IF($P$5=48,L22,IF($P$5=49,L22,IF($P$5=50,L22,IF($P$5=51,L22,IF($P$5=52,L22,IF($P$5=53,L22,IF($P$5=54,L22,0))))))))))))))))</f>
        <v>C13</v>
      </c>
      <c r="R22" s="140" t="str">
        <f>IF($P$5=33,0,IF($P$5=34,0,IF($P$5=35,0,IF($P$5=36,0,IF($P$5=37,J10,IF($P$5=38,J10,IF($P$5=39,J10,IF($P$5=40,J23,IF($P$5=41,J23,IF($P$5=42,J23,IF($P$5=43,J23,IF($P$5=44,J23,IF($P$5=45,J23,IF($P$5=46,J23,IF($P$5=47,J23,IF($P$5=48,J23,IF($P$5=49,J23,IF($P$5=50,J23,IF($P$5=51,J23,IF($P$5=52,J23,IF($P$5=53,J23,IF($P$5=54,J23,0))))))))))))))))))))))</f>
        <v>A14</v>
      </c>
      <c r="S22" s="132" t="str">
        <f>IF($P$5=37,L11,IF($P$5=38,L11,IF($P$5=39,P23,IF($P$5=40,K11,IF($P$5=41,K10,IF($P$5=42,K10,IF($P$5=43,K10,IF($P$5=44,P10,IF($P$5=45,P11,IF($P$5=46,K24,IF($P$5=47,K24,IF($P$5=48,K24,IF($P$5=49,K24,IF($P$5=50,K24,IF($P$5=51,K24,IF($P$5=52,K24,IF($P$5=53,K24,IF($P$5=54,K24,0))))))))))))))))))</f>
        <v>B15</v>
      </c>
      <c r="T22" s="151" t="str">
        <f>IF($P$5=41,L12,IF($P$5=42,L11,IF($P$5=43,0,IF($P$5=44,0,IF($P$5=45,L10,IF($P$5=46,L10,IF($P$5=47,L10,IF($P$5=48,L25,IF($P$5=49,L12,IF($P$5=50,P27,IF($P$5=51,L10,IF($P$5=52,L25,IF($P$5=53,L25,IF($P$5=54,L25,0))))))))))))))</f>
        <v>C16</v>
      </c>
      <c r="U22" s="135" t="str">
        <f>IF($P$5=37,R10,IF($P$5=38,R10,IF($P$5=39,R10,IF($P$5=40,R23,IF($P$5=41,R23,IF($P$5=42,R23,IF($P$5=43,R23,IF($P$5=44,R23,IF($P$5=45,R23,IF($P$5=46,R23,IF($P$5=47,R23,IF($P$5=48,R23,IF($P$5=49,R23,IF($P$5=50,R23,IF($P$5=51,R23,IF($P$5=52,R23,IF($P$5=53,R23,IF($P$5=54,O24,0))))))))))))))))))</f>
        <v>A15</v>
      </c>
      <c r="V22" s="138" t="str">
        <f>IF($P$5=37,T11,IF($P$5=38,T12,IF($P$5=39,T19,IF($P$5=40,S11,IF($P$5=41,S10,IF($P$5=42,S10,IF($P$5=43,S10,IF($P$5=44,S25,IF($P$5=45,S11,IF($P$5=46,S24,IF($P$5=47,S24,IF($P$5=48,S24,IF($P$5=49,S24,IF($P$5=50,S11,IF($P$5=51,S11,IF($P$5=52,S24,IF($P$5=53,S24,IF($P$5=54,S24,0))))))))))))))))))</f>
        <v>B1</v>
      </c>
      <c r="W22" s="145" t="str">
        <f>IF($P$5=41,T12,IF($P$5=42,T11,IF($P$5=45,S25,IF($P$5=46,T10,IF($P$5=47,T10,IF($P$5=48,T25,IF($P$5=49,T12,IF($P$5=50,S27,IF($P$5=51,T23,IF($P$5=52,T24,IF($P$5=53,T25,IF($P$5=54,T25,0))))))))))))</f>
        <v>C3</v>
      </c>
      <c r="Y22" s="383"/>
      <c r="Z22" s="24"/>
      <c r="AA22" s="195" t="s">
        <v>5</v>
      </c>
      <c r="AB22" s="16"/>
      <c r="AC22" s="17"/>
      <c r="AD22" s="20"/>
      <c r="AE22" s="24"/>
      <c r="AF22" s="195" t="s">
        <v>5</v>
      </c>
      <c r="AG22" s="16"/>
      <c r="AH22" s="17"/>
      <c r="AI22" s="20"/>
      <c r="AJ22" s="24"/>
      <c r="AK22" s="195" t="s">
        <v>5</v>
      </c>
      <c r="AL22" s="16"/>
      <c r="AM22" s="17"/>
      <c r="AN22" s="18"/>
      <c r="AO22" s="44">
        <v>14</v>
      </c>
      <c r="AP22" s="278" t="str">
        <f>+Inscrits!B16</f>
        <v>A14</v>
      </c>
      <c r="AQ22" s="247" t="str">
        <f t="shared" si="3"/>
        <v>0</v>
      </c>
      <c r="AR22" s="82" t="str">
        <f t="shared" si="4"/>
        <v>0</v>
      </c>
      <c r="AS22" s="184" t="str">
        <f t="shared" si="5"/>
        <v>0</v>
      </c>
      <c r="AT22" s="250" t="str">
        <f t="shared" si="6"/>
        <v>0</v>
      </c>
      <c r="AU22" s="82" t="str">
        <f t="shared" si="7"/>
        <v>0</v>
      </c>
      <c r="AV22" s="252" t="str">
        <f t="shared" si="8"/>
        <v>0</v>
      </c>
      <c r="AW22" s="247" t="str">
        <f t="shared" si="9"/>
        <v>0</v>
      </c>
      <c r="AX22" s="82" t="str">
        <f t="shared" si="10"/>
        <v>0</v>
      </c>
      <c r="AY22" s="252" t="str">
        <f t="shared" si="11"/>
        <v>0</v>
      </c>
      <c r="AZ22" s="247">
        <f t="shared" si="17"/>
        <v>0</v>
      </c>
      <c r="BA22" s="82">
        <f t="shared" si="12"/>
        <v>0</v>
      </c>
      <c r="BB22" s="252">
        <f t="shared" si="13"/>
        <v>0</v>
      </c>
      <c r="BC22" s="255">
        <f t="shared" si="14"/>
        <v>0</v>
      </c>
      <c r="BD22" s="7">
        <f t="shared" si="15"/>
        <v>0</v>
      </c>
      <c r="BE22" s="183">
        <f t="shared" si="16"/>
        <v>25.00000022</v>
      </c>
      <c r="BF22" s="82">
        <f>IF(AP22="","",SMALL(BE$9:BE$62,ROWS(AZ$9:AZ22)))</f>
        <v>8.9894004600000006</v>
      </c>
      <c r="BG22"/>
      <c r="BH22" s="250" t="str">
        <f>IF(OR(AP22="",AZ22=""),"",INDEX($AP$9:$AP$63,MATCH(BF22,$BE$9:BE$62,0)))</f>
        <v>C2</v>
      </c>
      <c r="BI22" s="7">
        <f t="shared" si="0"/>
        <v>3</v>
      </c>
      <c r="BJ22" s="7">
        <f t="shared" si="1"/>
        <v>1</v>
      </c>
      <c r="BK22" s="7">
        <f t="shared" si="2"/>
        <v>6</v>
      </c>
      <c r="BL22" s="17">
        <f>IF(BF22="","",IF(AND(BI21=BI22,BJ21=BJ22,BK21=BK22),BL21,$BL$9+13))</f>
        <v>13</v>
      </c>
      <c r="BN22" s="3">
        <f>IF(BH22="","",IF(AND(BK21=BK22,BL21=BL22,BM21=BM22),BN21,$BL$9+6))</f>
        <v>8</v>
      </c>
      <c r="BO22" s="342">
        <f>IF(AND($K$5=14),1,IF(AND($K$5=15),2,IF(AND($K$5=16),3,IF(AND($K$5=17),4,IF(AND($K$5=18),5,IF(AND($K$5=19),6,IF(AND($K$5=20),7,IF(AND($K$5=21),8,IF(AND($K$5=22),9,IF(AND($K$5=23),10,IF(AND($K$5=24),11,IF(AND($K$5=25),12,IF(AND($K$5=26),13,IF(AND($K$5=27),14,IF(AND($K$5=28),15,IF(AND($K$5=29),16,IF(AND($K$5=30),17,IF(AND($K$5=31),18,IF(AND($K$5=32),19,IF(AND($K$5=33),20,IF(AND($K$5=34),21,IF(AND($K$5=35),22,IF(AND($K$5=36),23,IF(AND($K$5=37),24,IF(AND($K$5=38),25,IF(AND($K$5=39),26,IF(AND($K$5=40),27,IF(AND($K$5=41),28,IF(AND($K$5=42),29,IF(AND($K$5=43),30,IF(AND($K$5=44),31,IF(AND($K$5=45),32,IF(AND($K$5=46),33,IF(AND($K$5=47),34,IF(AND($K$5=48),35,IF(AND($K$5=49),36,IF(AND($K$5=50),37,IF(AND($K$5=51),38,IF(AND($K$5=52),39,IF(AND($K$5=53),40,IF(AND($K$5=54),41," ")))))))))))))))))))))))))))))))))))))))))</f>
        <v>35</v>
      </c>
    </row>
    <row r="23" spans="1:67" ht="18" customHeight="1" thickBot="1" x14ac:dyDescent="0.45">
      <c r="A23" s="111">
        <v>14</v>
      </c>
      <c r="B23" s="330" t="s">
        <v>79</v>
      </c>
      <c r="C23" s="237">
        <f>IF($P$5&gt;=40,14,0)</f>
        <v>14</v>
      </c>
      <c r="D23" s="332" t="s">
        <v>97</v>
      </c>
      <c r="E23" s="237">
        <f>IF($P$5&gt;=41,14,0)</f>
        <v>14</v>
      </c>
      <c r="F23" s="19" t="s">
        <v>115</v>
      </c>
      <c r="G23" s="237">
        <f>IF($P$5&gt;=42,14,0)</f>
        <v>14</v>
      </c>
      <c r="I23" s="165">
        <v>14</v>
      </c>
      <c r="J23" s="172" t="str">
        <f>IF(ISNA(MATCH(I23,$C$10:$C$27,0)),"",INDEX(B$10:$B$27,MATCH(I23,$C$10:$C$27,0)))</f>
        <v>A14</v>
      </c>
      <c r="K23" s="117" t="str">
        <f>IF(ISNA(MATCH(I23,$E$10:$E$27,0)),"",INDEX($D$10:D$27,MATCH(I23,$E$10:$E$27,0)))</f>
        <v>B14</v>
      </c>
      <c r="L23" s="160" t="str">
        <f>IF(ISNA(MATCH(I23,$G$10:$G$27,0)),"",INDEX($F$10:F$27,MATCH(I23,$G$10:$G$27,0)))</f>
        <v>C14</v>
      </c>
      <c r="M23" s="130"/>
      <c r="N23" s="42" t="s">
        <v>5</v>
      </c>
      <c r="O23" s="121" t="str">
        <f>IF($P$5=36,0,IF($P$5=37,K21,IF($P$5=38,K22,IF($P$5=39,K22,IF($P$5=40,J23,IF($P$5=41,J23,IF($P$5=42,J23,IF($P$5=43,J23,IF($P$5=44,J23,IF($P$5=45,J23,IF($P$5=46,J23,IF($P$5=47,J23,IF($P$5=48,J23,IF($P$5=49,J23,IF($P$5=50,J23,IF($P$5=51,J23,IF($P$5=52,J23,IF($P$5=53,J23,IF($P$5=54,J23,0)))))))))))))))))))</f>
        <v>A14</v>
      </c>
      <c r="P23" s="126" t="str">
        <f>IF($P$5=36,0,IF($P$5=37,L19,IF($P$5=38,L21,IF($P$5=39,L22,IF($P$5=40,L22,IF($P$5=41,K23,IF($P$5=42,K23,IF($P$5=43,L22,IF($P$5=44,K23,IF($P$5=45,K23,IF($P$5=46,K2:K23,IF($P$5=47,K23,IF($P$5=48,K23,IF($P$5=49,K23,IF($P$5=50,K23,IF($P$5=51,K23,IF($P$5=52,K23,IF($P$5=53,K23,IF($P$5=54,K23,0)))))))))))))))))))</f>
        <v>B14</v>
      </c>
      <c r="Q23" s="123" t="str">
        <f>IF($P$5=40,0,IF($P$5=41,0,IF($P$5=42,L23,IF($P$5=43,0,IF($P$5=44,0,IF($P$5=45,0,IF($P$5=46,L23,IF($P$5=47,L23,IF($P$5=48,L23,IF($P$5=49,0,IF($P$5=50,L23,IF($P$5=51,L23,IF($P$5=52,L23,IF($P$5=53,L23,IF($P$5=54,L23,0)))))))))))))))</f>
        <v>C14</v>
      </c>
      <c r="R23" s="142" t="str">
        <f>IF($P$5=37,O23,IF($P$5=38,O23,IF($P$5=39,O23,IF($P$5=40,J10,IF($P$5=41,J10,IF($P$5=42,J10,IF($P$5=43,J24,IF($P$5=44,J24,IF($P$5=45,J24,IF($P$5=46,J24,IF($P$5=47,J24,IF($P$5=48,J24,IF($P$5=49,J24,IF($P$5=50,J24,IF($P$5=51,J24,IF($P$5=52,J24,IF($P$5=53,J24,IF($P$5=54,J24,0))))))))))))))))))</f>
        <v>A15</v>
      </c>
      <c r="S23" s="143" t="str">
        <f>IF($P$5=37,L12,IF($P$5=38,L12,IF($P$5=39,P22,IF($P$5=40,L12,IF($P$5=41,K11,IF($P$5=42,K11,IF($P$5=43,L11,IF($P$5=44,L11,IF($P$5=45,K10,IF($P$5=46,K10,IF($P$5=47,K25,IF($P$5=48,K25,IF($P$5=49,P11,IF($P$5=50,K25,IF($P$5=51,K25,IF($P$5=52,K25,IF($P$5=53,K25,IF($P$5=54,K25,0))))))))))))))))))</f>
        <v>B16</v>
      </c>
      <c r="T23" s="153" t="str">
        <f>IF($P$5=42,L12,IF($P$5=46,L11,IF($P$5=47,L11,IF($P$5=48,L10,IF($P$5=49,0,IF($P$5=50,L10,IF($P$5=51,L11,IF($P$5=52,L10,IF($P$5=53,L26,IF($P$5=54,L26,0))))))))))</f>
        <v>C1</v>
      </c>
      <c r="U23" s="157" t="str">
        <f>IF($P$5=37,R23,IF($P$5=38,R23,IF($P$5=39,R23,IF($P$5=40,R10,IF($P$5=41,R10,IF($P$5=42,R10,IF($P$5=43,R24,IF($P$5=44,R24,IF($P$5=45,R24,IF($P$5=46,R24,IF($P$5=47,R24,IF($P$5=48,R24,IF($P$5=49,R24,IF($P$5=50,R24,IF($P$5=51,R24,IF($P$5=52,R24,IF($P$5=53,R24,IF($P$5=54,O25,0))))))))))))))))))</f>
        <v>A16</v>
      </c>
      <c r="V23" s="148" t="str">
        <f>IF($P$5=37,T12,IF($P$5=38,T11,IF($P$5=39,T11,IF($P$5=40,T12,IF($P$5=41,S11,IF($P$5=42,S11,IF($P$5=43,T12,IF($P$5=44,S10,IF($P$5=45,S10,IF($P$5=46,S10,IF($P$5=47,S25,IF($P$5=48,S25,IF($P$5=49,S11,IF($P$5=50,S24,IF($P$5=51,S24,IF($P$5=52,S25,IF($P$5=53,S25,IF($P$5=54,S25,0))))))))))))))))))</f>
        <v>B2</v>
      </c>
      <c r="W23" s="149" t="str">
        <f>IF($P$5=42,T12,IF($P$5=46,T11,IF($P$5=47,T11,IF($P$5=48,T10,IF($P$5=49,0,IF($P$5=50,T10,IF($P$5=51,T24,IF($P$5=52,T25,IF($P$5=53,T26,IF($P$5=54,T26,0))))))))))</f>
        <v>C4</v>
      </c>
      <c r="Y23" s="383"/>
      <c r="Z23" s="11" t="str">
        <f>+O13</f>
        <v>A4</v>
      </c>
      <c r="AA23" s="27">
        <v>6</v>
      </c>
      <c r="AB23" s="23">
        <f>IF(AA19+AA23=0,0,IF(AA19=AA23,2,IF(AA19&lt;AA23,3,1)))</f>
        <v>1</v>
      </c>
      <c r="AC23" s="12">
        <f>AA23-AA19</f>
        <v>-6</v>
      </c>
      <c r="AD23" s="19"/>
      <c r="AE23" s="11" t="str">
        <f>+R13</f>
        <v>A5</v>
      </c>
      <c r="AF23" s="108">
        <v>12</v>
      </c>
      <c r="AG23" s="23">
        <f>IF(AF19+AF23=0,0,IF(AF19=AF23,2,IF(AF19&lt;AF23,3,1)))</f>
        <v>3</v>
      </c>
      <c r="AH23" s="12">
        <f>AF23-AF19</f>
        <v>7</v>
      </c>
      <c r="AI23" s="19"/>
      <c r="AJ23" s="11" t="str">
        <f>+U13</f>
        <v>A6</v>
      </c>
      <c r="AK23" s="29">
        <v>9</v>
      </c>
      <c r="AL23" s="23">
        <f>IF(AK19+AK23=0,0,IF(AK19=AK23,2,IF(AK19&lt;AK23,3,1)))</f>
        <v>1</v>
      </c>
      <c r="AM23" s="12">
        <f>AK23-AK19</f>
        <v>-5</v>
      </c>
      <c r="AN23" s="18"/>
      <c r="AO23" s="44">
        <v>15</v>
      </c>
      <c r="AP23" s="278" t="str">
        <f>+Inscrits!B17</f>
        <v>A15</v>
      </c>
      <c r="AQ23" s="247" t="str">
        <f t="shared" si="3"/>
        <v>0</v>
      </c>
      <c r="AR23" s="82" t="str">
        <f t="shared" si="4"/>
        <v>0</v>
      </c>
      <c r="AS23" s="184" t="str">
        <f t="shared" si="5"/>
        <v>0</v>
      </c>
      <c r="AT23" s="250" t="str">
        <f t="shared" si="6"/>
        <v>0</v>
      </c>
      <c r="AU23" s="82" t="str">
        <f t="shared" si="7"/>
        <v>0</v>
      </c>
      <c r="AV23" s="252" t="str">
        <f t="shared" si="8"/>
        <v>0</v>
      </c>
      <c r="AW23" s="247" t="str">
        <f t="shared" si="9"/>
        <v>0</v>
      </c>
      <c r="AX23" s="82" t="str">
        <f t="shared" si="10"/>
        <v>0</v>
      </c>
      <c r="AY23" s="252" t="str">
        <f t="shared" si="11"/>
        <v>0</v>
      </c>
      <c r="AZ23" s="247">
        <f t="shared" si="17"/>
        <v>0</v>
      </c>
      <c r="BA23" s="82">
        <f t="shared" si="12"/>
        <v>0</v>
      </c>
      <c r="BB23" s="252">
        <f t="shared" si="13"/>
        <v>0</v>
      </c>
      <c r="BC23" s="255">
        <f t="shared" si="14"/>
        <v>0</v>
      </c>
      <c r="BD23" s="7">
        <f t="shared" si="15"/>
        <v>0</v>
      </c>
      <c r="BE23" s="183">
        <f t="shared" si="16"/>
        <v>25.000000230000001</v>
      </c>
      <c r="BF23" s="82">
        <f>IF(AP23="","",SMALL(BE$9:BE$62,ROWS(AZ$9:AZ23)))</f>
        <v>8.98950052</v>
      </c>
      <c r="BG23"/>
      <c r="BH23" s="250" t="str">
        <f>IF(OR(AP23="",AZ23=""),"",INDEX($AP$9:$AP$63,MATCH(BF23,$BE$9:BE$62,0)))</f>
        <v>C8</v>
      </c>
      <c r="BI23" s="7">
        <f t="shared" si="0"/>
        <v>3</v>
      </c>
      <c r="BJ23" s="7">
        <f t="shared" si="1"/>
        <v>1</v>
      </c>
      <c r="BK23" s="7">
        <f t="shared" si="2"/>
        <v>5</v>
      </c>
      <c r="BL23" s="17">
        <f>IF(BF23="","",IF(AND(BI22=BI23,BJ22=BJ23,BK22=BK23),BL22,$BL$9+14))</f>
        <v>15</v>
      </c>
      <c r="BN23" s="3">
        <f>IF(BH23="","",IF(AND(BK22=BK23,BL22=BL23,BM22=BM23),BN22,$BL$9+5))</f>
        <v>6</v>
      </c>
      <c r="BO23" s="342">
        <f>IF(AND($K$5=8)," ",IF(AND($K$5=9)," ",IF(AND($K$5=10)," ",IF(AND($K$5=11)," ",IF(AND($K$5=12)," ",IF(AND($K$5=13)," ",IF(AND($K$5=14)," ",IF(AND($K$5=15),1,IF(AND($K$5=16),2,IF(AND($K$5=17),3,IF(AND($K$5=18),4,IF(AND($K$5=19),5,IF(AND($K$5=20),6,IF(AND($K$5=21),7,IF(AND($K$5=22),8,IF(AND($K$5=23),9,IF(AND($K$5=24),10,IF(AND($K$5=25),11,IF(AND($K$5=26),12,IF(AND($K$5=27),13,IF(AND($K$5=28),14,IF(AND($K$5=29),15,IF(AND($K$5=30),16,IF(AND($K$5=31),17,IF(AND($K$5=32),18,IF(AND($K$5=33),19,IF(AND($K$5=34),20,IF(AND($K$5=35),21,IF(AND($K$5=36),22,IF(AND($K$5=37),23,IF(AND($K$5=38),24,IF(AND($K$5=39),25,IF(AND($K$5=40),26,IF(AND($K$5=41),27,IF(AND($K$5=42),28,IF(AND($K$5=43),29,IF(AND($K$5=44),30,IF(AND($K$5=45),31,IF(AND($K$5=46),32,IF(AND($K$5=47),33,IF(AND($K$5=48),34,IF(AND($K$5=49),35,IF(AND($K$5=50),36,IF(AND($K$5=51),37,IF(AND($K$5=52),38,IF(AND($K$5=53),39,IF(AND($K$5=54),40," ")))))))))))))))))))))))))))))))))))))))))))))))</f>
        <v>34</v>
      </c>
    </row>
    <row r="24" spans="1:67" ht="18" customHeight="1" thickBot="1" x14ac:dyDescent="0.45">
      <c r="A24" s="111">
        <v>15</v>
      </c>
      <c r="B24" s="330" t="s">
        <v>80</v>
      </c>
      <c r="C24" s="237">
        <f>IF($P$5&gt;=43,15,0)</f>
        <v>15</v>
      </c>
      <c r="D24" s="332" t="s">
        <v>98</v>
      </c>
      <c r="E24" s="237">
        <f>IF($P$5&gt;=44,15,0)</f>
        <v>15</v>
      </c>
      <c r="F24" s="19" t="s">
        <v>116</v>
      </c>
      <c r="G24" s="237">
        <f>IF($P$5&gt;=45,15,0)</f>
        <v>15</v>
      </c>
      <c r="I24" s="165">
        <v>15</v>
      </c>
      <c r="J24" s="172" t="str">
        <f>IF(ISNA(MATCH(I24,$C$10:$C$27,0)),"",INDEX(B$10:$B$27,MATCH(I24,$C$10:$C$27,0)))</f>
        <v>A15</v>
      </c>
      <c r="K24" s="117" t="str">
        <f>IF(ISNA(MATCH(I24,$E$10:$E$27,0)),"",INDEX($D$10:D$27,MATCH(I24,$E$10:$E$27,0)))</f>
        <v>B15</v>
      </c>
      <c r="L24" s="160" t="str">
        <f>IF(ISNA(MATCH(I24,$G$10:$G$27,0)),"",INDEX($F$10:F$27,MATCH(I24,$G$10:$G$27,0)))</f>
        <v>C15</v>
      </c>
      <c r="M24" s="130"/>
      <c r="N24" s="67">
        <v>8</v>
      </c>
      <c r="O24" s="127" t="str">
        <f>IF($P$5=43,J24,IF($P$5=44,J24,IF($P$5=45,J24,IF($P$5=46,J24,IF($P$5=47,J24,IF($P$5=48,J24,IF($P$5=49,J24,IF($P$5=50,J24,IF($P$5=51,J24,IF($P$5=52,J24,IF($P$5=53,J24,IF($P$5=54,J24,0))))))))))))</f>
        <v>A15</v>
      </c>
      <c r="P24" s="122" t="str">
        <f>IF($P$5=43,L23,IF($P$5=44,L22,IF($P$5=45,L23,IF($P$5=46,K24,IF($P$5=47,K24,IF($P$5=48,K24,IF($P$5=49,K24,IF($P$5=50,K24,IF($P$5=51,K24,IF($P$5=52,K24,IF($P$5=53,K24,IF($P$5=54,K24,0))))))))))))</f>
        <v>B15</v>
      </c>
      <c r="Q24" s="128" t="str">
        <f>IF($P$5=43,0,IF($P$5=44,0,IF($P$5=45,0,IF($P$5=46,0,IF($P$5=47,L24,IF($P$5=48,L24,IF($P$5=49,0,IF($P$5=50,0,IF($P$5=51,L24,IF($P$5=52,L24,IF($P$5=53,L24,IF($P$5=54,L24,0))))))))))))</f>
        <v>C15</v>
      </c>
      <c r="R24" s="140" t="str">
        <f>IF($P$5=43,J10,IF($P$5=44,J10,IF($P$5=45,J10,IF($P$5=46,J25,IF($P$5=47,J25,IF($P$5=48,J25,IF($P$5=49,J25,IF($P$5=50,J25,IF($P$5=51,J25,IF($P$5=52,J25,IF($P$5=53,J25,IF($P$5=54,J25,0))))))))))))</f>
        <v>A16</v>
      </c>
      <c r="S24" s="132" t="str">
        <f>IF($P$5=43,L12,IF($P$5=44,L12,IF($P$5=45,L11,IF($P$5=46,K11,IF($P$5=47,K10,IF($P$5=48,K10,IF($P$5=49,K10,IF($P$5=50,K10,IF($P$5=51,K10,IF($P$5=52,K26,IF($P$5=53,K26,IF($P$5=54,K26,0))))))))))))</f>
        <v>B1</v>
      </c>
      <c r="T24" s="151" t="str">
        <f>IF($P$5=47,L12,IF($P$5=48,L11,IF($P$5=49,0,IF($P$5=50,0,IF($P$5=51,L12,IF($P$5=52,L11,IF($P$5=53,L10,IF($P$5=54,L27,0))))))))</f>
        <v>C2</v>
      </c>
      <c r="U24" s="350" t="str">
        <f>IF($P$5=43,R10,IF($P$5=44,R10,IF($P$5=45,R10,IF($P$5=46,R25,IF($P$5=47,R25,IF($P$5=48,R25,IF($P$5=49,R25,IF($P$5=50,R25,IF($P$5=51,R25,IF($P$5=52,R25,IF($P$5=53,O26,IF($P$5=54,O26,0))))))))))))</f>
        <v>A1</v>
      </c>
      <c r="V24" s="351" t="str">
        <f>IF($P$5=43,T11,IF($P$5=44,T11,IF($P$5=45,T11,IF($P$5=46,S11,IF($P$5=47,S10,IF($P$5=48,S10,IF($P$5=49,S10,IF($P$5=50,S25,IF($P$5=51,S25,IF($P$5=52,S26,IF($P$5=53,S26,IF($P$5=54,S26,0))))))))))))</f>
        <v>B3</v>
      </c>
      <c r="W24" s="145" t="str">
        <f>IF($P$5=47,T12,IF($P$5=48,T11,IF($P$5=49,0,IF($P$5=50,0,IF($P$5=51,T10,IF($P$5=52,T10,IF($P$5=53,T10,IF($P$5=54,T27,0))))))))</f>
        <v>C5</v>
      </c>
      <c r="Y24" s="383"/>
      <c r="Z24" s="11" t="str">
        <f>+P13</f>
        <v>B4</v>
      </c>
      <c r="AA24" s="57">
        <f>IF(ISTEXT(Z24),AA23,0)</f>
        <v>6</v>
      </c>
      <c r="AB24" s="14">
        <f>IF(ISTEXT(Z24),AB23,0)</f>
        <v>1</v>
      </c>
      <c r="AC24" s="15">
        <f>IF(ISTEXT(Z24),AC23,0)</f>
        <v>-6</v>
      </c>
      <c r="AD24" s="6"/>
      <c r="AE24" s="11" t="str">
        <f>+S13</f>
        <v>B6</v>
      </c>
      <c r="AF24" s="14">
        <f>IF(ISTEXT(AE24),AF23,0)</f>
        <v>12</v>
      </c>
      <c r="AG24" s="14">
        <f>IF(ISTEXT(AE24),AG23,0)</f>
        <v>3</v>
      </c>
      <c r="AH24" s="15">
        <f>IF(ISTEXT(AE24),AH23,0)</f>
        <v>7</v>
      </c>
      <c r="AI24" s="6"/>
      <c r="AJ24" s="11" t="str">
        <f>+V13</f>
        <v>B8</v>
      </c>
      <c r="AK24" s="14">
        <f>IF(ISTEXT(AJ24),AK23,0)</f>
        <v>9</v>
      </c>
      <c r="AL24" s="14">
        <f>IF(ISTEXT(AJ24),AL23,0)</f>
        <v>1</v>
      </c>
      <c r="AM24" s="15">
        <f>IF(ISTEXT(AJ24),AM23,0)</f>
        <v>-5</v>
      </c>
      <c r="AN24" s="18"/>
      <c r="AO24" s="44">
        <v>16</v>
      </c>
      <c r="AP24" s="278" t="str">
        <f>+Inscrits!B18</f>
        <v>A16</v>
      </c>
      <c r="AQ24" s="247" t="str">
        <f t="shared" si="3"/>
        <v>0</v>
      </c>
      <c r="AR24" s="82" t="str">
        <f t="shared" si="4"/>
        <v>0</v>
      </c>
      <c r="AS24" s="184" t="str">
        <f t="shared" si="5"/>
        <v>0</v>
      </c>
      <c r="AT24" s="250" t="str">
        <f t="shared" si="6"/>
        <v>0</v>
      </c>
      <c r="AU24" s="82" t="str">
        <f t="shared" si="7"/>
        <v>0</v>
      </c>
      <c r="AV24" s="252" t="str">
        <f t="shared" si="8"/>
        <v>0</v>
      </c>
      <c r="AW24" s="247" t="str">
        <f t="shared" si="9"/>
        <v>0</v>
      </c>
      <c r="AX24" s="82" t="str">
        <f t="shared" si="10"/>
        <v>0</v>
      </c>
      <c r="AY24" s="252" t="str">
        <f t="shared" si="11"/>
        <v>0</v>
      </c>
      <c r="AZ24" s="247">
        <f t="shared" si="17"/>
        <v>0</v>
      </c>
      <c r="BA24" s="82">
        <f t="shared" si="12"/>
        <v>0</v>
      </c>
      <c r="BB24" s="252">
        <f t="shared" si="13"/>
        <v>0</v>
      </c>
      <c r="BC24" s="255">
        <f t="shared" si="14"/>
        <v>0</v>
      </c>
      <c r="BD24" s="7">
        <f t="shared" si="15"/>
        <v>0</v>
      </c>
      <c r="BE24" s="183">
        <f t="shared" si="16"/>
        <v>25.000000239999999</v>
      </c>
      <c r="BF24" s="82">
        <f>IF(AP24="","",SMALL(BE$9:BE$62,ROWS(AZ$9:AZ24)))</f>
        <v>16.079100309999998</v>
      </c>
      <c r="BG24"/>
      <c r="BH24" s="250" t="str">
        <f>IF(OR(AP24="",AZ24=""),"",INDEX($AP$9:$AP$63,MATCH(BF24,$BE$9:BE$62,0)))</f>
        <v>B5</v>
      </c>
      <c r="BI24" s="7">
        <f t="shared" si="0"/>
        <v>2</v>
      </c>
      <c r="BJ24" s="7">
        <f t="shared" si="1"/>
        <v>-8</v>
      </c>
      <c r="BK24" s="7">
        <f t="shared" si="2"/>
        <v>9</v>
      </c>
      <c r="BL24" s="17">
        <f>IF(BF24="","",IF(AND(BI23=BI24,BJ23=BJ24,BK23=BK24),BL23,$BL$9+15))</f>
        <v>16</v>
      </c>
      <c r="BN24" s="3">
        <f>IF(BH24="","",IF(AND(BK23=BK24,BL23=BL24,BM23=BM24),BN23,$BL$9+4))</f>
        <v>5</v>
      </c>
      <c r="BO24" s="342">
        <f>IF(AND($K$5=16),1,IF(AND($K$5=17),2,IF(AND($K$5=18),3,IF(AND($K$5=19),4,IF(AND($K$5=20),5,IF(AND($K$5=21),6,IF(AND($K$5=22),7,IF(AND($K$5=23),8,IF(AND($K$5=24),9,IF(AND($K$5=25),10,IF(AND($K$5=26),11,IF(AND($K$5=27),12,IF(AND($K$5=28),13,IF(AND($K$5=29),14,IF(AND($K$5=30),15,IF(AND($K$5=31),16,IF(AND($K$5=32),17,IF(AND($K$5=33),18,IF(AND($K$5=34),19,IF(AND($K$5=35),20,IF(AND($K$5=36),21,IF(AND($K$5=37),22,IF(AND($K$5=38),23,IF(AND($K$5=39),24,IF(AND($K$5=40),25,IF(AND($K$5=41),26,IF(AND($K$5=42),27,IF(AND($K$5=43),28,IF(AND($K$5=44),29,IF(AND($K$5=45),30,IF(AND($K$5=46),31,IF(AND($K$5=47),32,IF(AND($K$5=48),33,IF(AND($K$5=49),34,IF(AND($K$5=50),35,IF(AND($K$5=51),36,IF(AND($K$5=52),37,IF(AND($K$5=53),38,IF(AND($K$5=54),39," ")))))))))))))))))))))))))))))))))))))))</f>
        <v>33</v>
      </c>
    </row>
    <row r="25" spans="1:67" ht="18" customHeight="1" thickBot="1" x14ac:dyDescent="0.45">
      <c r="A25" s="111">
        <v>16</v>
      </c>
      <c r="B25" s="330" t="s">
        <v>81</v>
      </c>
      <c r="C25" s="237">
        <f>IF($P$5&gt;=46,16,0)</f>
        <v>16</v>
      </c>
      <c r="D25" s="332" t="s">
        <v>99</v>
      </c>
      <c r="E25" s="237">
        <f>IF($P$5&gt;=47,16,0)</f>
        <v>16</v>
      </c>
      <c r="F25" s="19" t="s">
        <v>117</v>
      </c>
      <c r="G25" s="237">
        <f>IF($P$5&gt;=48,16,0)</f>
        <v>16</v>
      </c>
      <c r="I25" s="165">
        <v>16</v>
      </c>
      <c r="J25" s="172" t="str">
        <f>IF(ISNA(MATCH(I25,$C$10:$C$27,0)),"",INDEX(B$10:$B$27,MATCH(I25,$C$10:$C$27,0)))</f>
        <v>A16</v>
      </c>
      <c r="K25" s="117" t="str">
        <f>IF(ISNA(MATCH(I25,$E$10:$E$27,0)),"",INDEX($D$10:D$27,MATCH(I25,$E$10:$E$27,0)))</f>
        <v>B16</v>
      </c>
      <c r="L25" s="160" t="str">
        <f>IF(ISNA(MATCH(I25,$G$10:$G$27,0)),"",INDEX($F$10:F$27,MATCH(I25,$G$10:$G$27,0)))</f>
        <v>C16</v>
      </c>
      <c r="M25" s="130"/>
      <c r="N25" s="42" t="s">
        <v>5</v>
      </c>
      <c r="O25" s="121" t="str">
        <f>IF($P$5=43,K23,IF($P$5=44,K24,IF($P$5=45,K24,IF($P$5=46,J25,IF($P$5=47,J25,IF($P$5=48,J25,IF($P$5=49,J25,IF($P$5=50,J25,IF($P$5=51,J25,IF($P$5=52,J25,IF($P$5=53,J25,IF($P$5=54,J25,0))))))))))))</f>
        <v>A16</v>
      </c>
      <c r="P25" s="126" t="str">
        <f>IF($P$5=43,L21,IF($P$5=44,L23,IF($P$5=45,L24,IF($P$5=46,L24,IF($P$5=47,K25,IF($P$5=48,K25,IF($P$5=49,L25,IF($P$5=50,K25,IF($P$5=51,K25,IF($P$5=52,K25,IF($P$5=53,K25,IF($P$5=54,K25,0))))))))))))</f>
        <v>B16</v>
      </c>
      <c r="Q25" s="123" t="str">
        <f>IF($P$5=48,L25,IF($P$5=49,0,IF($P$5=50,0,IF($P$5=51,0,IF($P$5=52,L25,IF($P$5=53,L25,IF($P$5=54,L25,0)))))))</f>
        <v>C16</v>
      </c>
      <c r="R25" s="348" t="str">
        <f>IF($P$5=43,O25,IF($P$5=44,O25,IF($P$5=45,O25,IF($P$5=46,J10,IF($P$5=47,J10,IF($P$5=48,J10,IF($P$5=49,J26,IF($P$5=50,J26,IF($P$5=51,J26,IF($P$5=52,J26,IF($P$5=53,J26,IF($P$5=54,J26,0))))))))))))</f>
        <v>A1</v>
      </c>
      <c r="S25" s="349" t="str">
        <f>IF($P$5=43,L10,IF($P$5=44,K11,IF($P$5=45,L12,IF($P$5=46,L12,IF($P$5=47,K11,IF($P$5=48,K11,IF($P$5=49,P27,IF($P$5=50,K11,IF($P$5=51,K11,IF($P$5=52,K10,IF($P$5=53,K27,IF($P$5=54,K27,0))))))))))))</f>
        <v>B2</v>
      </c>
      <c r="T25" s="153" t="str">
        <f>IF($P$5=48,L12,IF($P$5=49,0,IF($P$5=50,0,IF($P$5=51,0,IF($P$5=52,L12,IF($P$5=53,L11,IF($P$5=54,L10,0)))))))</f>
        <v>C3</v>
      </c>
      <c r="U25" s="156" t="str">
        <f>IF($P$5=43,R25,IF($P$5=44,R25,IF($P$5=45,R25,IF($P$5=46,R10,IF($P$5=47,R10,IF($P$5=48,R10,IF($P$5=49,R26,IF($P$5=50,R26,IF($P$5=51,R26,IF($P$5=52,O27,IF($P$5=53,R26,IF($P$5=54,O27,0))))))))))))</f>
        <v>A2</v>
      </c>
      <c r="V25" s="148" t="str">
        <f>IF($P$5=43,T10,IF($P$5=44,T12,IF($P$5=45,T12,IF($P$5=46,T12,IF($P$5=47,S11,IF($P$5=48,S11,IF($P$5=49,S25,IF($P$5=50,S10,IF($P$5=51,S10,IF($P$5=52,S10,IF($P$5=53,S27,IF($P$5=54,S27,0))))))))))))</f>
        <v>B4</v>
      </c>
      <c r="W25" s="149" t="str">
        <f>IF($P$5=48,T12,IF($P$5=49,0,IF($P$5=50,0,IF($P$5=51,0,IF($P$5=52,T11,IF($P$5=53,T11,IF($P$5=54,T10,0)))))))</f>
        <v>C6</v>
      </c>
      <c r="Y25" s="384"/>
      <c r="Z25" s="13" t="str">
        <f>+Q13</f>
        <v>C4</v>
      </c>
      <c r="AA25" s="57">
        <f>IF(ISTEXT(Z25),AA23,0)</f>
        <v>6</v>
      </c>
      <c r="AB25" s="14">
        <f>IF(ISTEXT(Z25),AB23,0)</f>
        <v>1</v>
      </c>
      <c r="AC25" s="15">
        <f>IF(ISTEXT(Z25),AC23,0)</f>
        <v>-6</v>
      </c>
      <c r="AD25" s="6"/>
      <c r="AE25" s="13" t="str">
        <f>+T13</f>
        <v>C7</v>
      </c>
      <c r="AF25" s="14">
        <f>IF(ISTEXT(AE25),AF23,0)</f>
        <v>12</v>
      </c>
      <c r="AG25" s="14">
        <f>IF(ISTEXT(AE25),AG23,0)</f>
        <v>3</v>
      </c>
      <c r="AH25" s="15">
        <f>IF(ISTEXT(AE25),AH23,0)</f>
        <v>7</v>
      </c>
      <c r="AI25" s="6"/>
      <c r="AJ25" s="13" t="str">
        <f>+W13</f>
        <v>C10</v>
      </c>
      <c r="AK25" s="14">
        <f>IF(ISTEXT(AJ25),AK23,0)</f>
        <v>9</v>
      </c>
      <c r="AL25" s="14">
        <f>IF(ISTEXT(AJ25),AL23,0)</f>
        <v>1</v>
      </c>
      <c r="AM25" s="15">
        <f>IF(ISTEXT(AJ25),AM23,0)</f>
        <v>-5</v>
      </c>
      <c r="AN25" s="18"/>
      <c r="AO25" s="44">
        <v>17</v>
      </c>
      <c r="AP25" s="278" t="str">
        <f>+Inscrits!B19</f>
        <v>A17</v>
      </c>
      <c r="AQ25" s="247" t="str">
        <f t="shared" si="3"/>
        <v xml:space="preserve"> </v>
      </c>
      <c r="AR25" s="82" t="str">
        <f t="shared" si="4"/>
        <v xml:space="preserve"> </v>
      </c>
      <c r="AS25" s="184" t="str">
        <f t="shared" si="5"/>
        <v xml:space="preserve"> </v>
      </c>
      <c r="AT25" s="250" t="str">
        <f t="shared" si="6"/>
        <v xml:space="preserve"> </v>
      </c>
      <c r="AU25" s="82" t="str">
        <f t="shared" si="7"/>
        <v xml:space="preserve"> </v>
      </c>
      <c r="AV25" s="252" t="str">
        <f t="shared" si="8"/>
        <v xml:space="preserve"> </v>
      </c>
      <c r="AW25" s="247" t="str">
        <f t="shared" si="9"/>
        <v xml:space="preserve"> </v>
      </c>
      <c r="AX25" s="82" t="str">
        <f t="shared" si="10"/>
        <v xml:space="preserve"> </v>
      </c>
      <c r="AY25" s="252" t="str">
        <f t="shared" si="11"/>
        <v xml:space="preserve"> </v>
      </c>
      <c r="AZ25" s="247">
        <f t="shared" si="17"/>
        <v>0</v>
      </c>
      <c r="BA25" s="82">
        <f t="shared" si="12"/>
        <v>0</v>
      </c>
      <c r="BB25" s="252">
        <f t="shared" si="13"/>
        <v>0</v>
      </c>
      <c r="BC25" s="255">
        <f t="shared" si="14"/>
        <v>0</v>
      </c>
      <c r="BD25" s="7">
        <f t="shared" si="15"/>
        <v>0</v>
      </c>
      <c r="BE25" s="183">
        <f t="shared" si="16"/>
        <v>25.000000249999999</v>
      </c>
      <c r="BF25" s="82">
        <f>IF(AP25="","",SMALL(BE$9:BE$62,ROWS(AZ$9:AZ25)))</f>
        <v>16.108900479999999</v>
      </c>
      <c r="BG25"/>
      <c r="BH25" s="250" t="str">
        <f>IF(OR(AP25="",AZ25=""),"",INDEX($AP$9:$AP$63,MATCH(BF25,$BE$9:BE$62,0)))</f>
        <v>C4</v>
      </c>
      <c r="BI25" s="7">
        <f t="shared" si="0"/>
        <v>2</v>
      </c>
      <c r="BJ25" s="7">
        <f t="shared" si="1"/>
        <v>-11</v>
      </c>
      <c r="BK25" s="7">
        <f t="shared" si="2"/>
        <v>11</v>
      </c>
      <c r="BL25" s="17">
        <f>IF(BF25="","",IF(AND(BI24=BI25,BJ24=BJ25,BK24=BK25),BL24,$BL$9+16))</f>
        <v>17</v>
      </c>
      <c r="BN25" s="3">
        <f>IF(BH25="","",IF(AND(BK24=BK25,BL24=BL25,BM24=BM25),BN24,$BL$9+3))</f>
        <v>4</v>
      </c>
      <c r="BO25" s="342">
        <f>IF(AND($K$5=17),1,IF(AND($K$5=18),2,IF(AND($K$5=19),3,IF(AND($K$5=20),4,IF(AND($K$5=21),5,IF(AND($K$5=22),6,IF(AND($K$5=23),7,IF(AND($K$5=24),8,IF(AND($K$5=25),9,IF(AND($K$5=26),10,IF(AND($K$5=27),11,IF(AND($K$5=28),12,IF(AND($K$5=29),13,IF(AND($K$5=30),14,IF(AND($K$5=31),15,IF(AND($K$5=32),16,IF(AND($K$5=33),17,IF(AND($K$5=34),18,IF(AND($K$5=35),19,IF(AND($K$5=36),20,IF(AND($K$5=37),21,IF(AND($K$5=38),22,IF(AND($K$5=39),23,IF(AND($K$5=40),24,IF(AND($K$5=41),25,IF(AND($K$5=42),26,IF(AND($K$5=43),27,IF(AND($K$5=44),28,IF(AND($K$5=45),29,IF(AND($K$5=46),30,IF(AND($K$5=47),31,IF(AND($K$5=48),32,IF(AND($K$5=49),33,IF(AND($K$5=50),34,IF(AND($K$5=51),35,IF(AND($K$5=52),36,IF(AND($K$5=53),37,IF(AND($K$5=54),38," "))))))))))))))))))))))))))))))))))))))</f>
        <v>32</v>
      </c>
    </row>
    <row r="26" spans="1:67" ht="18" customHeight="1" thickBot="1" x14ac:dyDescent="0.45">
      <c r="A26" s="111">
        <v>17</v>
      </c>
      <c r="B26" s="330" t="s">
        <v>82</v>
      </c>
      <c r="C26" s="235">
        <f>IF($P$5&gt;=49,17,0)</f>
        <v>0</v>
      </c>
      <c r="D26" s="332" t="s">
        <v>100</v>
      </c>
      <c r="E26" s="235">
        <f>IF($P$5&gt;=50,17,0)</f>
        <v>0</v>
      </c>
      <c r="F26" s="19" t="s">
        <v>118</v>
      </c>
      <c r="G26" s="235">
        <f>IF($P$5&gt;=51,17,0)</f>
        <v>0</v>
      </c>
      <c r="H26" s="114"/>
      <c r="I26" s="168">
        <v>17</v>
      </c>
      <c r="J26" s="173" t="str">
        <f>IF(ISNA(MATCH(I26,$C$10:$C$27,0)),"",INDEX(B$10:$B$27,MATCH(I26,$C$10:$C$27,0)))</f>
        <v/>
      </c>
      <c r="K26" s="169" t="str">
        <f>IF(ISNA(MATCH(I26,$E$10:$E$27,0)),"",INDEX($D$10:D$27,MATCH(I26,$E$10:$E$27,0)))</f>
        <v/>
      </c>
      <c r="L26" s="174" t="str">
        <f>IF(ISNA(MATCH(I26,$G$10:$G$27,0)),"",INDEX($F$10:F$27,MATCH(I26,$G$10:$G$27,0)))</f>
        <v/>
      </c>
      <c r="M26"/>
      <c r="N26" s="67">
        <v>9</v>
      </c>
      <c r="O26" s="127">
        <f>IF($P$5=49,J26,IF($P$5=50,J26,IF($P$5=51,J26,IF($P$5=52,J26,IF($P$5=53,J26,IF($P$5=54,J26,0))))))</f>
        <v>0</v>
      </c>
      <c r="P26" s="122">
        <f>IF($P$5=49,L24,IF($P$5=50,L24,IF($P$5=51,L25,IF($P$5=52,K26,IF($P$5=53,K26,IF($P$5=54,K26,0))))))</f>
        <v>0</v>
      </c>
      <c r="Q26" s="128">
        <f>IF($P$5=51,0,IF($P$5=52,0,IF($P$5=53,L26,IF($P$5=54,L26,0))))</f>
        <v>0</v>
      </c>
      <c r="R26" s="140">
        <f>IF($P$5=43,0,IF($P$5=44,0,IF($P$5=45,0,IF($P$5=46,0,IF($P$5=47,0,IF($P$5=48,0,IF($P$5=49,O10,IF($P$5=50,O10,IF($P$5=51,O10,IF($P$5=52,O27,IF($P$5=53,O27,IF($P$5=54,O27,0))))))))))))</f>
        <v>0</v>
      </c>
      <c r="S26" s="132">
        <f>IF($P$5=43,0,IF($P$5=44,0,IF($P$5=45,0,IF($P$5=46,0,IF($P$5=47,0,IF($P$5=48,0,IF($P$5=49,P26,IF($P$5=50,Q11,IF($P$5=51,P27,IF($P$5=52,P11,IF($P$5=53,P10,IF($P$5=54,P10,0))))))))))))</f>
        <v>0</v>
      </c>
      <c r="T26" s="177">
        <f>IF($P$5=53,Q12,IF($P$5=54,Q11,0))</f>
        <v>0</v>
      </c>
      <c r="U26" s="180">
        <f>IF($P$5=49,R10,IF($P$5=50,R10,IF($P$5=51,R10,IF($P$5=52,R27,IF($P$5=53,R27,IF($P$5=54,R27,0))))))</f>
        <v>0</v>
      </c>
      <c r="V26" s="138">
        <f>IF($P$5=49,S27,IF($P$5=50,T11,IF($P$5=51,T11,IF($P$5=52,S11,IF($P$5=53,S10,IF($P$5=54,S10,0))))))</f>
        <v>0</v>
      </c>
      <c r="W26" s="145">
        <f>IF($P$5=43,0,IF($P$5=44,0,IF($P$5=45,0,IF($P$5=46,0,IF($P$5=47,0,IF($P$5=48,0,IF($P$5=49,0,IF($P$5=50,0,IF($P$5=51,0,IF($P$5=52,0,IF($P$5=53,T12,IF($P$5=54,T11,0))))))))))))</f>
        <v>0</v>
      </c>
      <c r="Y26" s="20"/>
      <c r="Z26" s="58"/>
      <c r="AA26" s="196"/>
      <c r="AB26" s="58"/>
      <c r="AC26" s="58"/>
      <c r="AD26" s="196"/>
      <c r="AE26" s="58"/>
      <c r="AF26" s="196"/>
      <c r="AG26" s="58"/>
      <c r="AH26" s="58"/>
      <c r="AI26" s="196"/>
      <c r="AJ26" s="58"/>
      <c r="AK26" s="196"/>
      <c r="AL26" s="58"/>
      <c r="AM26" s="58"/>
      <c r="AN26" s="18"/>
      <c r="AO26" s="44">
        <v>18</v>
      </c>
      <c r="AP26" s="278" t="str">
        <f>+Inscrits!B20</f>
        <v>A18</v>
      </c>
      <c r="AQ26" s="247" t="str">
        <f t="shared" si="3"/>
        <v xml:space="preserve"> </v>
      </c>
      <c r="AR26" s="82" t="str">
        <f t="shared" si="4"/>
        <v xml:space="preserve"> </v>
      </c>
      <c r="AS26" s="184" t="str">
        <f t="shared" si="5"/>
        <v xml:space="preserve"> </v>
      </c>
      <c r="AT26" s="250" t="str">
        <f t="shared" si="6"/>
        <v xml:space="preserve"> </v>
      </c>
      <c r="AU26" s="82" t="str">
        <f t="shared" si="7"/>
        <v xml:space="preserve"> </v>
      </c>
      <c r="AV26" s="252" t="str">
        <f t="shared" si="8"/>
        <v xml:space="preserve"> </v>
      </c>
      <c r="AW26" s="247" t="str">
        <f t="shared" si="9"/>
        <v xml:space="preserve"> </v>
      </c>
      <c r="AX26" s="82" t="str">
        <f t="shared" si="10"/>
        <v xml:space="preserve"> </v>
      </c>
      <c r="AY26" s="252" t="str">
        <f t="shared" si="11"/>
        <v xml:space="preserve"> </v>
      </c>
      <c r="AZ26" s="247">
        <f t="shared" si="17"/>
        <v>0</v>
      </c>
      <c r="BA26" s="82">
        <f t="shared" si="12"/>
        <v>0</v>
      </c>
      <c r="BB26" s="252">
        <f t="shared" si="13"/>
        <v>0</v>
      </c>
      <c r="BC26" s="255">
        <f t="shared" si="14"/>
        <v>0</v>
      </c>
      <c r="BD26" s="7">
        <f t="shared" si="15"/>
        <v>0</v>
      </c>
      <c r="BE26" s="183">
        <f t="shared" si="16"/>
        <v>25.00000026</v>
      </c>
      <c r="BF26" s="82">
        <f>IF(AP26="","",SMALL(BE$9:BE$62,ROWS(AZ$9:AZ26)))</f>
        <v>18.009500090000003</v>
      </c>
      <c r="BG26"/>
      <c r="BH26" s="250" t="str">
        <f>IF(OR(AP26="",AZ26=""),"",INDEX($AP$9:$AP$63,MATCH(BF26,$BE$9:BE$62,0)))</f>
        <v>A1</v>
      </c>
      <c r="BI26" s="7">
        <f t="shared" si="0"/>
        <v>1</v>
      </c>
      <c r="BJ26" s="7">
        <f t="shared" si="1"/>
        <v>-1</v>
      </c>
      <c r="BK26" s="7">
        <f t="shared" si="2"/>
        <v>5</v>
      </c>
      <c r="BL26" s="17">
        <f>IF(BF26="","",IF(AND(BI25=BI26,BJ25=BJ26,BK25=BK26),BL25,$BL$9+17))</f>
        <v>18</v>
      </c>
      <c r="BN26" s="3">
        <f>IF(BH26="","",IF(AND(BK25=BK26,BL25=BL26,BM25=BM26),BN25,$BL$9+2))</f>
        <v>3</v>
      </c>
      <c r="BO26" s="342">
        <f>IF(AND($K$5=18),1,IF(AND($K$5=19),2,IF(AND($K$5=20),3,IF(AND($K$5=21),4,IF(AND($K$5=22),5,IF(AND($K$5=23),6,IF(AND($K$5=24),7,IF(AND($K$5=25),8,IF(AND($K$5=26),9,IF(AND($K$5=27),10,IF(AND($K$5=28),11,IF(AND($K$5=29),12,IF(AND($K$5=30),13,IF(AND($K$5=31),14,IF(AND($K$5=32),15,IF(AND($K$5=33),16,IF(AND($K$5=34),17,IF(AND($K$5=35),18,IF(AND($K$5=36),19,IF(AND($K$5=37),20,IF(AND($K$5=38),21,IF(AND($K$5=39),22,IF(AND($K$5=40),23,IF(AND($K$5=41),24,IF(AND($K$5=42),25,IF(AND($K$5=43),26,IF(AND($K$5=44),27,IF(AND($K$5=45),28,IF(AND($K$5=46),29,IF(AND($K$5=47),30,IF(AND($K$5=48),31,IF(AND($K$5=49),32,IF(AND($K$5=50),33,IF(AND($K$5=51),34,IF(AND($K$5=52),35,IF(AND($K$5=53),36,IF(AND($K$5=54),37," ")))))))))))))))))))))))))))))))))))))</f>
        <v>31</v>
      </c>
    </row>
    <row r="27" spans="1:67" ht="18" customHeight="1" thickBot="1" x14ac:dyDescent="0.45">
      <c r="A27" s="166">
        <v>18</v>
      </c>
      <c r="B27" s="331" t="s">
        <v>83</v>
      </c>
      <c r="C27" s="238">
        <f>IF($P$5&gt;=52,18,0)</f>
        <v>0</v>
      </c>
      <c r="D27" s="355" t="s">
        <v>101</v>
      </c>
      <c r="E27" s="238">
        <f>IF($P$5&gt;=53,18,0)</f>
        <v>0</v>
      </c>
      <c r="F27" s="79" t="s">
        <v>119</v>
      </c>
      <c r="G27" s="238">
        <f>IF($P$5&gt;=54,18,0)</f>
        <v>0</v>
      </c>
      <c r="H27" s="114"/>
      <c r="I27" s="167">
        <v>18</v>
      </c>
      <c r="J27" s="175" t="str">
        <f>IF(ISNA(MATCH(I27,$C$10:$C$27,0)),"",INDEX(B$10:$B$27,MATCH(I27,$C$10:$C$27,0)))</f>
        <v/>
      </c>
      <c r="K27" s="161" t="str">
        <f>IF(ISNA(MATCH(I27,$E$10:$E$27,0)),"",INDEX($D$10:D$27,MATCH(I27,$E$10:$E$27,0)))</f>
        <v/>
      </c>
      <c r="L27" s="162" t="str">
        <f>IF(ISNA(MATCH(I27,$G$10:$G$27,0)),"",INDEX($F$10:F$27,MATCH(I27,$G$10:$G$27,0)))</f>
        <v/>
      </c>
      <c r="M27"/>
      <c r="N27" s="42" t="s">
        <v>5</v>
      </c>
      <c r="O27" s="121">
        <f>IF($P$5=49,K25,IF($P$5=50,K26,IF($P$5=51,K26,IF($P$5=52,J27,IF($P$5=53,J27,IF($P$5=54,J27,0))))))</f>
        <v>0</v>
      </c>
      <c r="P27" s="126">
        <f>IF($P$5=49,L23,IF($P$5=50,L25,IF($P$5=51,L26,IF($P$5=52,L26,IF($P$5=53,K27,IF($P$5=54,K27,0))))))</f>
        <v>0</v>
      </c>
      <c r="Q27" s="176">
        <f>IF($P$5=54,L27,0)</f>
        <v>0</v>
      </c>
      <c r="R27" s="178">
        <f>IF($P$5=43,0,IF($P$5=44,0,IF($P$5=45,0,IF($P$5=46,0,IF($P$5=47,0,IF($P$5=48,0,IF($P$5=49,O27,IF($P$5=50,O27,IF($P$5=51,O27,IF($P$5=52,O10,IF($P$5=53,O10,IF($P$5=54,O10,0))))))))))))</f>
        <v>0</v>
      </c>
      <c r="S27" s="126">
        <f>IF($P$5=43,0,IF($P$5=44,0,IF($P$5=45,0,IF($P$5=46,0,IF($P$5=47,0,IF($P$5=48,0,IF($P$5=49,P25,IF($P$5=50,Q12,IF($P$5=51,P26,IF($P$5=52,P27,IF($P$5=53,P11,IF($P$5=54,P11,0))))))))))))</f>
        <v>0</v>
      </c>
      <c r="T27" s="179">
        <f>IF($P$5=54,Q12,0)</f>
        <v>0</v>
      </c>
      <c r="U27" s="181">
        <f>IF($P$5=43,0,IF($P$5=44,0,IF($P$5=45,0,IF($P$5=46,0,IF($P$5=47,0,IF($P$5=48,0,IF($P$5=49,R27,IF($P$5=50,R27,IF($P$5=51,R27,IF($P$5=52,R10,IF($P$5=53,R10,IF($P$5=54,R10,0))))))))))))</f>
        <v>0</v>
      </c>
      <c r="V27" s="148">
        <f>IF($P$5=43,0,IF($P$5=44,0,IF($P$5=45,0,IF($P$5=46,0,IF($P$5=47,0,IF($P$5=48,0,IF($P$5=49,S26,IF($P$5=50,T12,IF($P$5=51,T12,IF($P$5=52,T12,IF($P$5=53,S11,IF($P$5=54,S11,0))))))))))))</f>
        <v>0</v>
      </c>
      <c r="W27" s="245">
        <f>IF($P$5=54,T12,0)</f>
        <v>0</v>
      </c>
      <c r="Y27" s="382">
        <v>3</v>
      </c>
      <c r="Z27" s="9" t="str">
        <f>+O14</f>
        <v>A5</v>
      </c>
      <c r="AA27" s="25">
        <v>0</v>
      </c>
      <c r="AB27" s="38">
        <f>IF(AA27+AA31=0,0,IF(AA27=AA31,2,IF(AA27&gt;AA31,3,1)))</f>
        <v>0</v>
      </c>
      <c r="AC27" s="10">
        <f>AA27-AA31</f>
        <v>0</v>
      </c>
      <c r="AD27" s="19"/>
      <c r="AE27" s="9" t="str">
        <f>+R14</f>
        <v>A6</v>
      </c>
      <c r="AF27" s="107">
        <v>0</v>
      </c>
      <c r="AG27" s="38">
        <f>IF(AF27+AF31=0,0,IF(AF27=AF31,2,IF(AF27&gt;AF31,3,1)))</f>
        <v>0</v>
      </c>
      <c r="AH27" s="10">
        <f>AF27-AF31</f>
        <v>0</v>
      </c>
      <c r="AI27" s="19"/>
      <c r="AJ27" s="9" t="str">
        <f>+U14</f>
        <v>A7</v>
      </c>
      <c r="AK27" s="28">
        <v>0</v>
      </c>
      <c r="AL27" s="38">
        <f>IF(AK27+AK31=0,0,IF(AK27=AK31,2,IF(AK27&gt;AK31,3,1)))</f>
        <v>0</v>
      </c>
      <c r="AM27" s="10">
        <f>AK27-AK31</f>
        <v>0</v>
      </c>
      <c r="AN27" s="18"/>
      <c r="AO27" s="44">
        <v>19</v>
      </c>
      <c r="AP27" s="279" t="str">
        <f>+Inscrits!D3</f>
        <v>B1</v>
      </c>
      <c r="AQ27" s="247">
        <f t="shared" si="3"/>
        <v>1</v>
      </c>
      <c r="AR27" s="82">
        <f t="shared" si="4"/>
        <v>-1</v>
      </c>
      <c r="AS27" s="184">
        <f t="shared" si="5"/>
        <v>5</v>
      </c>
      <c r="AT27" s="250" t="str">
        <f t="shared" si="6"/>
        <v>0</v>
      </c>
      <c r="AU27" s="82" t="str">
        <f t="shared" si="7"/>
        <v>0</v>
      </c>
      <c r="AV27" s="252" t="str">
        <f t="shared" si="8"/>
        <v>0</v>
      </c>
      <c r="AW27" s="247" t="str">
        <f t="shared" si="9"/>
        <v>0</v>
      </c>
      <c r="AX27" s="82" t="str">
        <f t="shared" si="10"/>
        <v>0</v>
      </c>
      <c r="AY27" s="252" t="str">
        <f t="shared" si="11"/>
        <v>0</v>
      </c>
      <c r="AZ27" s="247">
        <f t="shared" si="17"/>
        <v>1</v>
      </c>
      <c r="BA27" s="82">
        <f t="shared" si="12"/>
        <v>-1</v>
      </c>
      <c r="BB27" s="252">
        <f t="shared" si="13"/>
        <v>5</v>
      </c>
      <c r="BC27" s="255">
        <f t="shared" si="14"/>
        <v>-1</v>
      </c>
      <c r="BD27" s="7">
        <f t="shared" si="15"/>
        <v>0</v>
      </c>
      <c r="BE27" s="183">
        <f t="shared" si="16"/>
        <v>18.009500270000004</v>
      </c>
      <c r="BF27" s="82">
        <f>IF(AP27="","",SMALL(BE$9:BE$62,ROWS(AZ$9:AZ27)))</f>
        <v>18.009500270000004</v>
      </c>
      <c r="BG27"/>
      <c r="BH27" s="250" t="str">
        <f>IF(OR(AP27="",AZ27=""),"",INDEX($AP$9:$AP$63,MATCH(BF27,$BE$9:BE$62,0)))</f>
        <v>B1</v>
      </c>
      <c r="BI27" s="7">
        <f t="shared" si="0"/>
        <v>1</v>
      </c>
      <c r="BJ27" s="7">
        <f t="shared" si="1"/>
        <v>-1</v>
      </c>
      <c r="BK27" s="7">
        <f t="shared" si="2"/>
        <v>5</v>
      </c>
      <c r="BL27" s="17">
        <f>IF(BF27="","",IF(AND(BI26=BI27,BJ26=BJ27,BK26=BK27),BL26,$BL$9+18))</f>
        <v>18</v>
      </c>
      <c r="BN27" s="228" t="e">
        <f>IF(#REF!="","",IF(AND(BK26=#REF!,BL26=#REF!,BM26=BM27),BN26,$BL$9+1))</f>
        <v>#REF!</v>
      </c>
      <c r="BO27" s="342">
        <f>IF(AND($K$5=19),1,IF(AND($K$5=20),2,IF(AND($K$5=21),3,IF(AND($K$5=22),4,IF(AND($K$5=23),5,IF(AND($K$5=24),6,IF(AND($K$5=25),7,IF(AND($K$5=26),8,IF(AND($K$5=27),9,IF(AND($K$5=28),10,IF(AND($K$5=29),11,IF(AND($K$5=30),12,IF(AND($K$5=31),13,IF(AND($K$5=32),14,IF(AND($K$5=33),15,IF(AND($K$5=34),16,IF(AND($K$5=35),17,IF(AND($K$5=36),18,IF(AND($K$5=37),19,IF(AND($K$5=38),20,IF(AND($K$5=39),21,IF(AND($K$5=40),22,IF(AND($K$5=41),23,IF(AND($K$5=42),24,IF(AND($K$5=43),25,IF(AND($K$5=44),26,IF(AND($K$5=45),27,IF(AND($K$5=46),28,IF(AND($K$5=47),29,IF(AND($K$5=48),30,IF(AND($K$5=49),31,IF(AND($K$5=50),32,IF(AND($K$5=51),33,IF(AND($K$5=52),34,IF(AND($K$5=53),35,IF(AND($K$5=54),36," "))))))))))))))))))))))))))))))))))))</f>
        <v>30</v>
      </c>
    </row>
    <row r="28" spans="1:67" ht="18" customHeight="1" thickBot="1" x14ac:dyDescent="0.45">
      <c r="A28" s="18"/>
      <c r="B28" s="18"/>
      <c r="C28" s="18"/>
      <c r="D28" s="18"/>
      <c r="E28" s="18"/>
      <c r="F28" s="6"/>
      <c r="G28" s="18"/>
      <c r="I28" s="18"/>
      <c r="J28" s="18"/>
      <c r="K28" s="18"/>
      <c r="Q28" s="18"/>
      <c r="R28" s="18"/>
      <c r="S28" s="18"/>
      <c r="T28" s="18"/>
      <c r="Y28" s="383"/>
      <c r="Z28" s="11" t="str">
        <f>+P14</f>
        <v>B5</v>
      </c>
      <c r="AA28" s="14">
        <f>IF(ISTEXT(Z28),AA27,0)</f>
        <v>0</v>
      </c>
      <c r="AB28" s="14">
        <f>IF(ISTEXT(Z28),AB27,0)</f>
        <v>0</v>
      </c>
      <c r="AC28" s="15">
        <f>IF(ISTEXT(Z28),AC27,0)</f>
        <v>0</v>
      </c>
      <c r="AD28" s="6"/>
      <c r="AE28" s="11" t="str">
        <f>+S14</f>
        <v>B7</v>
      </c>
      <c r="AF28" s="14">
        <f>IF(ISTEXT(AE28),AF27,0)</f>
        <v>0</v>
      </c>
      <c r="AG28" s="48">
        <f>IF(ISTEXT(AE28),AG27,0)</f>
        <v>0</v>
      </c>
      <c r="AH28" s="15">
        <f>IF(ISTEXT(AE28),AH27,0)</f>
        <v>0</v>
      </c>
      <c r="AI28" s="6"/>
      <c r="AJ28" s="11" t="str">
        <f>+V14</f>
        <v>B9</v>
      </c>
      <c r="AK28" s="14">
        <f>IF(ISTEXT(AJ28),AK27,0)</f>
        <v>0</v>
      </c>
      <c r="AL28" s="48">
        <f>IF(ISTEXT(AJ28),AL27,0)</f>
        <v>0</v>
      </c>
      <c r="AM28" s="15">
        <f>IF(ISTEXT(AJ28),AM27,0)</f>
        <v>0</v>
      </c>
      <c r="AN28" s="18"/>
      <c r="AO28" s="44">
        <v>20</v>
      </c>
      <c r="AP28" s="279" t="str">
        <f>+Inscrits!D4</f>
        <v>B2</v>
      </c>
      <c r="AQ28" s="247">
        <f t="shared" si="3"/>
        <v>3</v>
      </c>
      <c r="AR28" s="82">
        <f t="shared" si="4"/>
        <v>1</v>
      </c>
      <c r="AS28" s="184">
        <f t="shared" si="5"/>
        <v>6</v>
      </c>
      <c r="AT28" s="250" t="str">
        <f t="shared" si="6"/>
        <v>0</v>
      </c>
      <c r="AU28" s="82" t="str">
        <f t="shared" si="7"/>
        <v>0</v>
      </c>
      <c r="AV28" s="252" t="str">
        <f t="shared" si="8"/>
        <v>0</v>
      </c>
      <c r="AW28" s="247" t="str">
        <f t="shared" si="9"/>
        <v>0</v>
      </c>
      <c r="AX28" s="82" t="str">
        <f t="shared" si="10"/>
        <v>0</v>
      </c>
      <c r="AY28" s="252" t="str">
        <f t="shared" si="11"/>
        <v>0</v>
      </c>
      <c r="AZ28" s="247">
        <f t="shared" si="17"/>
        <v>3</v>
      </c>
      <c r="BA28" s="82">
        <f t="shared" si="12"/>
        <v>1</v>
      </c>
      <c r="BB28" s="252">
        <f t="shared" si="13"/>
        <v>6</v>
      </c>
      <c r="BC28" s="255">
        <f t="shared" si="14"/>
        <v>0</v>
      </c>
      <c r="BD28" s="7">
        <f t="shared" si="15"/>
        <v>1</v>
      </c>
      <c r="BE28" s="183">
        <f t="shared" si="16"/>
        <v>8.9894002799999999</v>
      </c>
      <c r="BF28" s="82">
        <f>IF(AP28="","",SMALL(BE$9:BE$62,ROWS(AZ$9:AZ28)))</f>
        <v>18.009500450000004</v>
      </c>
      <c r="BG28"/>
      <c r="BH28" s="250" t="str">
        <f>IF(OR(AP28="",AZ28=""),"",INDEX($AP$9:$AP$63,MATCH(BF28,$BE$9:BE$62,0)))</f>
        <v>C1</v>
      </c>
      <c r="BI28" s="7">
        <f t="shared" si="0"/>
        <v>1</v>
      </c>
      <c r="BJ28" s="7">
        <f t="shared" si="1"/>
        <v>-1</v>
      </c>
      <c r="BK28" s="7">
        <f t="shared" si="2"/>
        <v>5</v>
      </c>
      <c r="BL28" s="17">
        <f>IF(BF28="","",IF(AND(BI27=BI28,BJ27=BJ28,BK27=BK28),BL27,$BL$9+19))</f>
        <v>18</v>
      </c>
      <c r="BN28" s="228">
        <f>IF(BH27="","",1)</f>
        <v>1</v>
      </c>
      <c r="BO28" s="342">
        <f>IF(AND($K$5=20),1,IF(AND($K$5=21),2,IF(AND($K$5=22),3,IF(AND($K$5=23),4,IF(AND($K$5=24),5,IF(AND($K$5=25),6,IF(AND($K$5=26),7,IF(AND($K$5=27),8,IF(AND($K$5=28),9,IF(AND($K$5=29),10,IF(AND($K$5=30),11,IF(AND($K$5=31),12,IF(AND($K$5=32),13,IF(AND($K$5=33),14,IF(AND($K$5=34),15,IF(AND($K$5=35),16,IF(AND($K$5=36),17,IF(AND($K$5=37),18,IF(AND($K$5=38),19,IF(AND($K$5=39),20,IF(AND($K$5=40),21,IF(AND($K$5=41),22,IF(AND($K$5=42),23,IF(AND($K$5=43),24,IF(AND($K$5=44),25,IF(AND($K$5=45),26,IF(AND($K$5=46),27,IF(AND($K$5=47),28,IF(AND($K$5=48),29,IF(AND($K$5=49),30,IF(AND($K$5=50),31,IF(AND($K$5=51),32,IF(AND($K$5=52),33,IF(AND($K$5=53),34,IF(AND($K$5=54),35," ")))))))))))))))))))))))))))))))))))</f>
        <v>29</v>
      </c>
    </row>
    <row r="29" spans="1:67" ht="18" customHeight="1" x14ac:dyDescent="0.4">
      <c r="A29" s="18"/>
      <c r="B29" s="18"/>
      <c r="C29" s="18"/>
      <c r="D29" s="18"/>
      <c r="E29" s="18"/>
      <c r="F29" s="18"/>
      <c r="G29" s="18"/>
      <c r="I29" s="18"/>
      <c r="J29" s="18"/>
      <c r="K29" s="18"/>
      <c r="L29" s="18"/>
      <c r="P29"/>
      <c r="Q29" s="18"/>
      <c r="R29" s="18"/>
      <c r="S29" s="18"/>
      <c r="T29" s="18"/>
      <c r="Y29" s="383"/>
      <c r="Z29" s="11" t="str">
        <f>+Q14</f>
        <v>C5</v>
      </c>
      <c r="AA29" s="55">
        <f>IF(ISTEXT(Z29),AA27,0)</f>
        <v>0</v>
      </c>
      <c r="AB29" s="55">
        <f>IF(ISTEXT(Z29),AB27,0)</f>
        <v>0</v>
      </c>
      <c r="AC29" s="56">
        <f>IF(ISTEXT(Z29),AC27,0)</f>
        <v>0</v>
      </c>
      <c r="AD29" s="6"/>
      <c r="AE29" s="11" t="str">
        <f>+T14</f>
        <v>C8</v>
      </c>
      <c r="AF29" s="55">
        <f>IF(ISTEXT(AE29),AF27,0)</f>
        <v>0</v>
      </c>
      <c r="AG29" s="52">
        <f>IF(ISTEXT(AE29),AG27,0)</f>
        <v>0</v>
      </c>
      <c r="AH29" s="56">
        <f>IF(ISTEXT(AE29),AH27,0)</f>
        <v>0</v>
      </c>
      <c r="AI29" s="6"/>
      <c r="AJ29" s="11" t="str">
        <f>+W14</f>
        <v>C11</v>
      </c>
      <c r="AK29" s="55">
        <f>IF(ISTEXT(AJ29),AK27,0)</f>
        <v>0</v>
      </c>
      <c r="AL29" s="52">
        <f>IF(ISTEXT(AJ29),AL27,0)</f>
        <v>0</v>
      </c>
      <c r="AM29" s="56">
        <f>IF(ISTEXT(AJ29),AM27,0)</f>
        <v>0</v>
      </c>
      <c r="AN29" s="18"/>
      <c r="AO29" s="44">
        <v>21</v>
      </c>
      <c r="AP29" s="279" t="str">
        <f>+Inscrits!D5</f>
        <v>B3</v>
      </c>
      <c r="AQ29" s="247">
        <f t="shared" si="3"/>
        <v>3</v>
      </c>
      <c r="AR29" s="82">
        <f t="shared" si="4"/>
        <v>6</v>
      </c>
      <c r="AS29" s="184">
        <f t="shared" si="5"/>
        <v>12</v>
      </c>
      <c r="AT29" s="250">
        <f t="shared" si="6"/>
        <v>1</v>
      </c>
      <c r="AU29" s="82">
        <f t="shared" si="7"/>
        <v>-5</v>
      </c>
      <c r="AV29" s="252">
        <f t="shared" si="8"/>
        <v>5</v>
      </c>
      <c r="AW29" s="247" t="str">
        <f t="shared" si="9"/>
        <v>0</v>
      </c>
      <c r="AX29" s="82" t="str">
        <f t="shared" si="10"/>
        <v>0</v>
      </c>
      <c r="AY29" s="252" t="str">
        <f t="shared" si="11"/>
        <v>0</v>
      </c>
      <c r="AZ29" s="247">
        <f t="shared" si="17"/>
        <v>4</v>
      </c>
      <c r="BA29" s="82">
        <f t="shared" si="12"/>
        <v>1</v>
      </c>
      <c r="BB29" s="252">
        <f t="shared" si="13"/>
        <v>17</v>
      </c>
      <c r="BC29" s="255">
        <f t="shared" si="14"/>
        <v>0</v>
      </c>
      <c r="BD29" s="7">
        <f t="shared" si="15"/>
        <v>1</v>
      </c>
      <c r="BE29" s="183">
        <f t="shared" si="16"/>
        <v>4.9883002900000006</v>
      </c>
      <c r="BF29" s="82">
        <f>IF(AP29="","",SMALL(BE$9:BE$62,ROWS(AZ$9:AZ29)))</f>
        <v>18.04910014</v>
      </c>
      <c r="BG29"/>
      <c r="BH29" s="250" t="str">
        <f>IF(OR(AP29="",AZ29=""),"",INDEX($AP$9:$AP$63,MATCH(BF29,$BE$9:BE$62,0)))</f>
        <v>A6</v>
      </c>
      <c r="BI29" s="7">
        <f t="shared" si="0"/>
        <v>1</v>
      </c>
      <c r="BJ29" s="7">
        <f t="shared" si="1"/>
        <v>-5</v>
      </c>
      <c r="BK29" s="7">
        <f t="shared" si="2"/>
        <v>9</v>
      </c>
      <c r="BL29" s="17">
        <f>IF(BF29="","",IF(AND(BI28=BI29,BJ28=BJ29,BK28=BK29),BL28,$BL$9+20))</f>
        <v>21</v>
      </c>
      <c r="BN29" s="225"/>
      <c r="BO29" s="342">
        <f>IF(AND($K$5=21),1,IF(AND($K$5=22),2,IF(AND($K$5=23),3,IF(AND($K$5=24),4,IF(AND($K$5=25),5,IF(AND($K$5=26),6,IF(AND($K$5=27),7,IF(AND($K$5=28),8,IF(AND($K$5=29),9,IF(AND($K$5=30),10,IF(AND($K$5=31),11,IF(AND($K$5=32),12,IF(AND($K$5=33),13,IF(AND($K$5=34),14,IF(AND($K$5=35),15,IF(AND($K$5=36),16,IF(AND($K$5=37),17,IF(AND($K$5=38),18,IF(AND($K$5=39),19,IF(AND($K$5=40),20,IF(AND($K$5=41),21,IF(AND($K$5=42),22,IF(AND($K$5=43),23,IF(AND($K$5=44),24,IF(AND($K$5=45),25,IF(AND($K$5=46),26,IF(AND($K$5=47),27,IF(AND($K$5=48),28,IF(AND($K$5=49),29,IF(AND($K$5=50),30,IF(AND($K$5=51),31,IF(AND($K$5=52),32,IF(AND($K$5=53),33,IF(AND($K$5=54),34," "))))))))))))))))))))))))))))))))))</f>
        <v>28</v>
      </c>
    </row>
    <row r="30" spans="1:67" ht="18" customHeight="1" x14ac:dyDescent="0.4">
      <c r="A30" s="18"/>
      <c r="B30" s="18"/>
      <c r="C30" s="18"/>
      <c r="D30" s="18"/>
      <c r="E30" s="18"/>
      <c r="F30" s="18"/>
      <c r="G30" s="18"/>
      <c r="I30" s="18"/>
      <c r="J30" s="18"/>
      <c r="K30" s="18"/>
      <c r="L30" s="18"/>
      <c r="P30"/>
      <c r="Q30" s="18"/>
      <c r="R30" s="18"/>
      <c r="S30" s="18"/>
      <c r="T30" s="18"/>
      <c r="Y30" s="383"/>
      <c r="Z30" s="24"/>
      <c r="AA30" s="195" t="s">
        <v>5</v>
      </c>
      <c r="AB30" s="16"/>
      <c r="AC30" s="17"/>
      <c r="AD30" s="20"/>
      <c r="AE30" s="24"/>
      <c r="AF30" s="195" t="s">
        <v>5</v>
      </c>
      <c r="AG30" s="16"/>
      <c r="AH30" s="17"/>
      <c r="AI30" s="20"/>
      <c r="AJ30" s="24"/>
      <c r="AK30" s="195" t="s">
        <v>5</v>
      </c>
      <c r="AL30" s="16"/>
      <c r="AM30" s="17"/>
      <c r="AN30" s="18"/>
      <c r="AO30" s="44">
        <v>22</v>
      </c>
      <c r="AP30" s="279" t="str">
        <f>+Inscrits!D6</f>
        <v>B4</v>
      </c>
      <c r="AQ30" s="247">
        <f t="shared" si="3"/>
        <v>1</v>
      </c>
      <c r="AR30" s="82">
        <f t="shared" si="4"/>
        <v>-6</v>
      </c>
      <c r="AS30" s="184">
        <f t="shared" si="5"/>
        <v>6</v>
      </c>
      <c r="AT30" s="250">
        <f t="shared" si="6"/>
        <v>3</v>
      </c>
      <c r="AU30" s="82">
        <f t="shared" si="7"/>
        <v>5</v>
      </c>
      <c r="AV30" s="252">
        <f t="shared" si="8"/>
        <v>10</v>
      </c>
      <c r="AW30" s="247" t="str">
        <f t="shared" si="9"/>
        <v>0</v>
      </c>
      <c r="AX30" s="82" t="str">
        <f t="shared" si="10"/>
        <v>0</v>
      </c>
      <c r="AY30" s="252" t="str">
        <f t="shared" si="11"/>
        <v>0</v>
      </c>
      <c r="AZ30" s="247">
        <f t="shared" si="17"/>
        <v>4</v>
      </c>
      <c r="BA30" s="82">
        <f t="shared" si="12"/>
        <v>-1</v>
      </c>
      <c r="BB30" s="252">
        <f t="shared" si="13"/>
        <v>16</v>
      </c>
      <c r="BC30" s="255">
        <f t="shared" si="14"/>
        <v>-1</v>
      </c>
      <c r="BD30" s="7">
        <f t="shared" si="15"/>
        <v>0</v>
      </c>
      <c r="BE30" s="183">
        <f t="shared" si="16"/>
        <v>5.0084002999999999</v>
      </c>
      <c r="BF30" s="82">
        <f>IF(AP30="","",SMALL(BE$9:BE$62,ROWS(AZ$9:AZ30)))</f>
        <v>18.049100339999999</v>
      </c>
      <c r="BG30"/>
      <c r="BH30" s="250" t="str">
        <f>IF(OR(AP30="",AZ30=""),"",INDEX($AP$9:$AP$63,MATCH(BF30,$BE$9:BE$62,0)))</f>
        <v>B8</v>
      </c>
      <c r="BI30" s="7">
        <f t="shared" si="0"/>
        <v>1</v>
      </c>
      <c r="BJ30" s="7">
        <f t="shared" si="1"/>
        <v>-5</v>
      </c>
      <c r="BK30" s="7">
        <f t="shared" si="2"/>
        <v>9</v>
      </c>
      <c r="BL30" s="17">
        <f>IF(BF30="","",IF(AND(BI29=BI30,BJ29=BJ30,BK29=BK30),BL29,$BL$9+21))</f>
        <v>21</v>
      </c>
      <c r="BN30" s="225"/>
      <c r="BO30" s="342">
        <f>IF(AND($K$5=22),1,IF(AND($K$5=23),2,IF(AND($K$5=24),3,IF(AND($K$5=25),4,IF(AND($K$5=26),5,IF(AND($K$5=27),6,IF(AND($K$5=28),7,IF(AND($K$5=29),8,IF(AND($K$5=30),9,IF(AND($K$5=31),10,IF(AND($K$5=32),11,IF(AND($K$5=33),12,IF(AND($K$5=34),13,IF(AND($K$5=35),14,IF(AND($K$5=36),15,IF(AND($K$5=37),16,IF(AND($K$5=38),17,IF(AND($K$5=39),18,IF(AND($K$5=40),19,IF(AND($K$5=41),20,IF(AND($K$5=42),21,IF(AND($K$5=43),22,IF(AND($K$5=44),23,IF(AND($K$5=45),24,IF(AND($K$5=46),25,IF(AND($K$5=47),26,IF(AND($K$5=48),27,IF(AND($K$5=49),28,IF(AND($K$5=50),29,IF(AND($K$5=51),30,IF(AND($K$5=52),31,IF(AND($K$5=53),32,IF(AND($K$5=54),33," ")))))))))))))))))))))))))))))))))</f>
        <v>27</v>
      </c>
    </row>
    <row r="31" spans="1:67" ht="18" customHeight="1" x14ac:dyDescent="0.4">
      <c r="A31" s="18"/>
      <c r="B31" s="18"/>
      <c r="C31" s="18"/>
      <c r="D31" s="18"/>
      <c r="E31" s="18"/>
      <c r="F31" s="18"/>
      <c r="G31" s="18"/>
      <c r="I31" s="18"/>
      <c r="J31" s="18"/>
      <c r="K31" s="18"/>
      <c r="L31" s="18"/>
      <c r="P31"/>
      <c r="Q31" s="18"/>
      <c r="R31" s="18"/>
      <c r="S31" s="18"/>
      <c r="T31" s="18"/>
      <c r="U31" s="18"/>
      <c r="Y31" s="383"/>
      <c r="Z31" s="11" t="str">
        <f>+O15</f>
        <v>A6</v>
      </c>
      <c r="AA31" s="27">
        <v>0</v>
      </c>
      <c r="AB31" s="23">
        <f>IF(AA27+AA31=0,0,IF(AA27=AA31,2,IF(AA27&lt;AA31,3,1)))</f>
        <v>0</v>
      </c>
      <c r="AC31" s="12">
        <f>AA31-AA27</f>
        <v>0</v>
      </c>
      <c r="AD31" s="19"/>
      <c r="AE31" s="11" t="str">
        <f>+R15</f>
        <v>A7</v>
      </c>
      <c r="AF31" s="108">
        <v>0</v>
      </c>
      <c r="AG31" s="23">
        <f>IF(AF27+AF31=0,0,IF(AF27=AF31,2,IF(AF27&lt;AF31,3,1)))</f>
        <v>0</v>
      </c>
      <c r="AH31" s="12">
        <f>AF31-AF27</f>
        <v>0</v>
      </c>
      <c r="AI31" s="19"/>
      <c r="AJ31" s="11" t="str">
        <f>+U15</f>
        <v>A8</v>
      </c>
      <c r="AK31" s="29">
        <v>0</v>
      </c>
      <c r="AL31" s="23">
        <f>IF(AK27+AK31=0,0,IF(AK27=AK31,2,IF(AK27&lt;AK31,3,1)))</f>
        <v>0</v>
      </c>
      <c r="AM31" s="12">
        <f>AK31-AK27</f>
        <v>0</v>
      </c>
      <c r="AN31" s="18"/>
      <c r="AO31" s="44">
        <v>23</v>
      </c>
      <c r="AP31" s="279" t="str">
        <f>+Inscrits!D7</f>
        <v>B5</v>
      </c>
      <c r="AQ31" s="247" t="str">
        <f t="shared" si="3"/>
        <v>0</v>
      </c>
      <c r="AR31" s="82" t="str">
        <f t="shared" si="4"/>
        <v>0</v>
      </c>
      <c r="AS31" s="184" t="str">
        <f t="shared" si="5"/>
        <v>0</v>
      </c>
      <c r="AT31" s="250">
        <f t="shared" si="6"/>
        <v>1</v>
      </c>
      <c r="AU31" s="82">
        <f t="shared" si="7"/>
        <v>-7</v>
      </c>
      <c r="AV31" s="252">
        <f t="shared" si="8"/>
        <v>5</v>
      </c>
      <c r="AW31" s="247">
        <f t="shared" si="9"/>
        <v>1</v>
      </c>
      <c r="AX31" s="82">
        <f t="shared" si="10"/>
        <v>-1</v>
      </c>
      <c r="AY31" s="252">
        <f t="shared" si="11"/>
        <v>4</v>
      </c>
      <c r="AZ31" s="247">
        <f t="shared" si="17"/>
        <v>2</v>
      </c>
      <c r="BA31" s="82">
        <f t="shared" si="12"/>
        <v>-8</v>
      </c>
      <c r="BB31" s="252">
        <f t="shared" si="13"/>
        <v>9</v>
      </c>
      <c r="BC31" s="255">
        <f t="shared" si="14"/>
        <v>-8</v>
      </c>
      <c r="BD31" s="7">
        <f t="shared" si="15"/>
        <v>0</v>
      </c>
      <c r="BE31" s="183">
        <f t="shared" si="16"/>
        <v>16.079100309999998</v>
      </c>
      <c r="BF31" s="82">
        <f>IF(AP31="","",SMALL(BE$9:BE$62,ROWS(AZ$9:AZ31)))</f>
        <v>18.049100539999998</v>
      </c>
      <c r="BG31"/>
      <c r="BH31" s="250" t="str">
        <f>IF(OR(AP31="",AZ31=""),"",INDEX($AP$9:$AP$63,MATCH(BF31,$BE$9:BE$62,0)))</f>
        <v>C10</v>
      </c>
      <c r="BI31" s="7">
        <f t="shared" si="0"/>
        <v>1</v>
      </c>
      <c r="BJ31" s="7">
        <f t="shared" si="1"/>
        <v>-5</v>
      </c>
      <c r="BK31" s="7">
        <f t="shared" si="2"/>
        <v>9</v>
      </c>
      <c r="BL31" s="17">
        <f>IF(BF31="","",IF(AND(BI30=BI31,BJ30=BJ31,BK30=BK31),BL30,$BL$9+22))</f>
        <v>21</v>
      </c>
      <c r="BN31" s="225"/>
      <c r="BO31" s="342">
        <f>IF(AND($K$5=23),1,IF(AND($K$5=24),2,IF(AND($K$5=25),3,IF(AND($K$5=26),4,IF(AND($K$5=27),5,IF(AND($K$5=28),6,IF(AND($K$5=29),7,IF(AND($K$5=30),8,IF(AND($K$5=31),9,IF(AND($K$5=32),10,IF(AND($K$5=33),11,IF(AND($K$5=34),12,IF(AND($K$5=35),13,IF(AND($K$5=36),14,IF(AND($K$5=37),15,IF(AND($K$5=38),16,IF(AND($K$5=39),17,IF(AND($K$5=40),18,IF(AND($K$5=41),19,IF(AND($K$5=42),20,IF(AND($K$5=43),21,IF(AND($K$5=44),22,IF(AND($K$5=45),23,IF(AND($K$5=46),24,IF(AND($K$5=47),25,IF(AND($K$5=48),26,IF(AND($K$5=49),27,IF(AND($K$5=50),28,IF(AND($K$5=51),29,IF(AND($K$5=52),30,IF(AND($K$5=53),31,IF(AND($K$5=54),32," "))))))))))))))))))))))))))))))))</f>
        <v>26</v>
      </c>
    </row>
    <row r="32" spans="1:67" ht="18" customHeight="1" thickBot="1" x14ac:dyDescent="0.45">
      <c r="A32" s="18"/>
      <c r="B32" s="18"/>
      <c r="C32" s="18"/>
      <c r="D32" s="18"/>
      <c r="E32" s="18"/>
      <c r="F32" s="18"/>
      <c r="G32" s="18"/>
      <c r="I32" s="18"/>
      <c r="J32" s="18"/>
      <c r="K32" s="18"/>
      <c r="L32" s="18"/>
      <c r="Q32" s="18"/>
      <c r="R32" s="18"/>
      <c r="S32" s="18"/>
      <c r="T32" s="18"/>
      <c r="U32" s="18"/>
      <c r="Y32" s="383"/>
      <c r="Z32" s="11" t="str">
        <f>+P15</f>
        <v>B6</v>
      </c>
      <c r="AA32" s="14">
        <f>IF(ISTEXT(Z32),AA31,0)</f>
        <v>0</v>
      </c>
      <c r="AB32" s="14">
        <f>IF(ISTEXT(Z32),AB31,0)</f>
        <v>0</v>
      </c>
      <c r="AC32" s="15">
        <f>IF(ISTEXT(Z32),AC31,0)</f>
        <v>0</v>
      </c>
      <c r="AD32" s="6"/>
      <c r="AE32" s="11" t="str">
        <f>+S15</f>
        <v>B8</v>
      </c>
      <c r="AF32" s="14">
        <f>IF(ISTEXT(AE32),AF31,0)</f>
        <v>0</v>
      </c>
      <c r="AG32" s="14">
        <f>IF(ISTEXT(AE32),AG31,0)</f>
        <v>0</v>
      </c>
      <c r="AH32" s="15">
        <f>IF(ISTEXT(AE32),AH31,0)</f>
        <v>0</v>
      </c>
      <c r="AI32" s="6"/>
      <c r="AJ32" s="11" t="str">
        <f>+V15</f>
        <v>B10</v>
      </c>
      <c r="AK32" s="14">
        <f>IF(ISTEXT(AJ32),AK31,0)</f>
        <v>0</v>
      </c>
      <c r="AL32" s="14">
        <f>IF(ISTEXT(AJ32),AL31,0)</f>
        <v>0</v>
      </c>
      <c r="AM32" s="15">
        <f>IF(ISTEXT(AJ32),AM31,0)</f>
        <v>0</v>
      </c>
      <c r="AN32" s="18"/>
      <c r="AO32" s="44">
        <v>24</v>
      </c>
      <c r="AP32" s="279" t="str">
        <f>+Inscrits!D8</f>
        <v>B6</v>
      </c>
      <c r="AQ32" s="247" t="str">
        <f t="shared" si="3"/>
        <v>0</v>
      </c>
      <c r="AR32" s="82" t="str">
        <f t="shared" si="4"/>
        <v>0</v>
      </c>
      <c r="AS32" s="184" t="str">
        <f t="shared" si="5"/>
        <v>0</v>
      </c>
      <c r="AT32" s="250">
        <f t="shared" si="6"/>
        <v>3</v>
      </c>
      <c r="AU32" s="82">
        <f t="shared" si="7"/>
        <v>7</v>
      </c>
      <c r="AV32" s="252">
        <f t="shared" si="8"/>
        <v>12</v>
      </c>
      <c r="AW32" s="247">
        <f t="shared" si="9"/>
        <v>3</v>
      </c>
      <c r="AX32" s="82">
        <f t="shared" si="10"/>
        <v>1</v>
      </c>
      <c r="AY32" s="252">
        <f t="shared" si="11"/>
        <v>5</v>
      </c>
      <c r="AZ32" s="247">
        <f t="shared" si="17"/>
        <v>6</v>
      </c>
      <c r="BA32" s="82">
        <f t="shared" si="12"/>
        <v>8</v>
      </c>
      <c r="BB32" s="252">
        <f t="shared" si="13"/>
        <v>17</v>
      </c>
      <c r="BC32" s="255">
        <f t="shared" si="14"/>
        <v>0</v>
      </c>
      <c r="BD32" s="7">
        <f t="shared" si="15"/>
        <v>8</v>
      </c>
      <c r="BE32" s="183">
        <f t="shared" si="16"/>
        <v>1.9183003199999999</v>
      </c>
      <c r="BF32" s="82">
        <f>IF(AP32="","",SMALL(BE$9:BE$62,ROWS(AZ$9:AZ32)))</f>
        <v>18.0695005</v>
      </c>
      <c r="BG32"/>
      <c r="BH32" s="250" t="str">
        <f>IF(OR(AP32="",AZ32=""),"",INDEX($AP$9:$AP$63,MATCH(BF32,$BE$9:BE$62,0)))</f>
        <v>C6</v>
      </c>
      <c r="BI32" s="7">
        <f t="shared" si="0"/>
        <v>1</v>
      </c>
      <c r="BJ32" s="7">
        <f t="shared" si="1"/>
        <v>-7</v>
      </c>
      <c r="BK32" s="7">
        <f t="shared" si="2"/>
        <v>5</v>
      </c>
      <c r="BL32" s="17">
        <f>IF(BF32="","",IF(AND(BI31=BI32,BJ31=BJ32,BK31=BK32),BL31,$BL$9+23))</f>
        <v>24</v>
      </c>
      <c r="BN32" s="225"/>
      <c r="BO32" s="342">
        <f>IF(AND($K$5=24),1,IF(AND($K$5=25),2,IF(AND($K$5=26),3,IF(AND($K$5=27),4,IF(AND($K$5=28),5,IF(AND($K$5=29),6,IF(AND($K$5=30),7,IF(AND($K$5=31),8,IF(AND($K$5=32),9,IF(AND($K$5=33),10,IF(AND($K$5=34),11,IF(AND($K$5=35),12,IF(AND($K$5=36),13,IF(AND($K$5=37),14,IF(AND($K$5=38),15,IF(AND($K$5=39),16,IF(AND($K$5=40),17,IF(AND($K$5=41),18,IF(AND($K$5=42),19,IF(AND($K$5=43),20,IF(AND($K$5=44),21,IF(AND($K$5=45),22,IF(AND($K$5=46),23,IF(AND($K$5=47),24,IF(AND($K$5=48),25,IF(AND($K$5=49),26,IF(AND($K$5=50),27,IF(AND($K$5=51),28,IF(AND($K$5=52),29,IF(AND($K$5=53),30,IF(AND($K$5=54),31," ")))))))))))))))))))))))))))))))</f>
        <v>25</v>
      </c>
    </row>
    <row r="33" spans="1:67" ht="18" customHeight="1" thickBot="1" x14ac:dyDescent="0.45">
      <c r="A33" s="18"/>
      <c r="B33" s="18"/>
      <c r="C33" s="18"/>
      <c r="D33" s="18"/>
      <c r="E33" s="18"/>
      <c r="F33" s="18"/>
      <c r="G33" s="18"/>
      <c r="I33" s="18"/>
      <c r="J33" s="18"/>
      <c r="K33" s="18"/>
      <c r="L33" s="18"/>
      <c r="Q33" s="18"/>
      <c r="R33" s="18"/>
      <c r="S33" s="18"/>
      <c r="T33" s="18"/>
      <c r="U33" s="18"/>
      <c r="Y33" s="384"/>
      <c r="Z33" s="13" t="str">
        <f>+Q15</f>
        <v>C6</v>
      </c>
      <c r="AA33" s="14">
        <f>IF(ISTEXT(Z33),AA31,0)</f>
        <v>0</v>
      </c>
      <c r="AB33" s="14">
        <f>IF(ISTEXT(Z33),AB31,0)</f>
        <v>0</v>
      </c>
      <c r="AC33" s="15">
        <f>IF(ISTEXT(Z33),AC31,0)</f>
        <v>0</v>
      </c>
      <c r="AD33" s="6"/>
      <c r="AE33" s="13" t="str">
        <f>+T15</f>
        <v>C9</v>
      </c>
      <c r="AF33" s="14">
        <f>IF(ISTEXT(AE33),AF31,0)</f>
        <v>0</v>
      </c>
      <c r="AG33" s="14">
        <f>IF(ISTEXT(AE33),AG31,0)</f>
        <v>0</v>
      </c>
      <c r="AH33" s="15">
        <f>IF(ISTEXT(AE33),AH31,0)</f>
        <v>0</v>
      </c>
      <c r="AI33" s="6"/>
      <c r="AJ33" s="13" t="str">
        <f>+W15</f>
        <v>C12</v>
      </c>
      <c r="AK33" s="14">
        <f>IF(ISTEXT(AJ33),AK31,0)</f>
        <v>0</v>
      </c>
      <c r="AL33" s="14">
        <f>IF(ISTEXT(AJ33),AL31,0)</f>
        <v>0</v>
      </c>
      <c r="AM33" s="15">
        <f>IF(ISTEXT(AJ33),AM31,0)</f>
        <v>0</v>
      </c>
      <c r="AN33" s="18"/>
      <c r="AO33" s="44">
        <v>25</v>
      </c>
      <c r="AP33" s="279" t="str">
        <f>+Inscrits!D9</f>
        <v>B7</v>
      </c>
      <c r="AQ33" s="247" t="str">
        <f t="shared" si="3"/>
        <v>0</v>
      </c>
      <c r="AR33" s="82" t="str">
        <f t="shared" si="4"/>
        <v>0</v>
      </c>
      <c r="AS33" s="184" t="str">
        <f t="shared" si="5"/>
        <v>0</v>
      </c>
      <c r="AT33" s="250" t="str">
        <f t="shared" si="6"/>
        <v>0</v>
      </c>
      <c r="AU33" s="82" t="str">
        <f t="shared" si="7"/>
        <v>0</v>
      </c>
      <c r="AV33" s="252" t="str">
        <f t="shared" si="8"/>
        <v>0</v>
      </c>
      <c r="AW33" s="247">
        <f t="shared" si="9"/>
        <v>3</v>
      </c>
      <c r="AX33" s="82">
        <f t="shared" si="10"/>
        <v>5</v>
      </c>
      <c r="AY33" s="252">
        <f t="shared" si="11"/>
        <v>14</v>
      </c>
      <c r="AZ33" s="247">
        <f t="shared" si="17"/>
        <v>3</v>
      </c>
      <c r="BA33" s="82">
        <f t="shared" si="12"/>
        <v>5</v>
      </c>
      <c r="BB33" s="252">
        <f t="shared" si="13"/>
        <v>14</v>
      </c>
      <c r="BC33" s="255">
        <f t="shared" si="14"/>
        <v>0</v>
      </c>
      <c r="BD33" s="7">
        <f t="shared" si="15"/>
        <v>5</v>
      </c>
      <c r="BE33" s="183">
        <f t="shared" si="16"/>
        <v>8.9486003299999997</v>
      </c>
      <c r="BF33" s="82">
        <f>IF(AP33="","",SMALL(BE$9:BE$62,ROWS(AZ$9:AZ33)))</f>
        <v>24.99950037</v>
      </c>
      <c r="BG33"/>
      <c r="BH33" s="250" t="str">
        <f>IF(OR(AP33="",AZ33=""),"",INDEX($AP$9:$AP$63,MATCH(BF33,$BE$9:BE$62,0)))</f>
        <v>B11</v>
      </c>
      <c r="BI33" s="7">
        <f t="shared" si="0"/>
        <v>0</v>
      </c>
      <c r="BJ33" s="7">
        <f t="shared" si="1"/>
        <v>0</v>
      </c>
      <c r="BK33" s="7">
        <f t="shared" si="2"/>
        <v>5</v>
      </c>
      <c r="BL33" s="17">
        <f>IF(BF33="","",IF(AND(BI32=BI33,BJ32=BJ33,BK32=BK33),BL32,$BL$9+24))</f>
        <v>25</v>
      </c>
      <c r="BN33" s="225"/>
      <c r="BO33" s="342">
        <f>IF(AND($K$5=25),1,IF(AND($K$5=26),2,IF(AND($K$5=27),3,IF(AND($K$5=28),4,IF(AND($K$5=29),5,IF(AND($K$5=30),6,IF(AND($K$5=31),7,IF(AND($K$5=32),8,IF(AND($K$5=33),9,IF(AND($K$5=34),10,IF(AND($K$5=35),11,IF(AND($K$5=36),12,IF(AND($K$5=37),13,IF(AND($K$5=38),14,IF(AND($K$5=39),15,IF(AND($K$5=40),16,IF(AND($K$5=41),17,IF(AND($K$5=42),18,IF(AND($K$5=43),19,IF(AND($K$5=44),20,IF(AND($K$5=45),21,IF(AND($K$5=46),22,IF(AND($K$5=47),23,IF(AND($K$5=48),24,IF(AND($K$5=49),25,IF(AND($K$5=50),26,IF(AND($K$5=51),27,IF(AND($K$5=52),28,IF(AND($K$5=53),29,IF(AND($K$5=54),30," "))))))))))))))))))))))))))))))</f>
        <v>24</v>
      </c>
    </row>
    <row r="34" spans="1:67" ht="18" customHeight="1" thickBot="1" x14ac:dyDescent="0.45">
      <c r="A34" s="18"/>
      <c r="B34" s="18"/>
      <c r="C34" s="18"/>
      <c r="D34" s="18"/>
      <c r="E34" s="18"/>
      <c r="F34" s="18"/>
      <c r="G34" s="18"/>
      <c r="I34" s="18"/>
      <c r="J34" s="18"/>
      <c r="K34" s="18"/>
      <c r="L34" s="18"/>
      <c r="Q34" s="18"/>
      <c r="R34" s="18"/>
      <c r="S34" s="18"/>
      <c r="T34" s="18"/>
      <c r="U34" s="18"/>
      <c r="Y34" s="20"/>
      <c r="Z34" s="59"/>
      <c r="AA34" s="199"/>
      <c r="AB34" s="59"/>
      <c r="AC34" s="59"/>
      <c r="AD34" s="199"/>
      <c r="AE34" s="59"/>
      <c r="AF34" s="199"/>
      <c r="AG34" s="59"/>
      <c r="AH34" s="59"/>
      <c r="AI34" s="199"/>
      <c r="AJ34" s="59"/>
      <c r="AK34" s="199"/>
      <c r="AL34" s="59"/>
      <c r="AM34" s="59"/>
      <c r="AN34" s="18"/>
      <c r="AO34" s="44">
        <v>26</v>
      </c>
      <c r="AP34" s="279" t="str">
        <f>+Inscrits!D10</f>
        <v>B8</v>
      </c>
      <c r="AQ34" s="247" t="str">
        <f t="shared" si="3"/>
        <v>0</v>
      </c>
      <c r="AR34" s="82" t="str">
        <f t="shared" si="4"/>
        <v>0</v>
      </c>
      <c r="AS34" s="184" t="str">
        <f t="shared" si="5"/>
        <v>0</v>
      </c>
      <c r="AT34" s="250" t="str">
        <f t="shared" si="6"/>
        <v>0</v>
      </c>
      <c r="AU34" s="82" t="str">
        <f t="shared" si="7"/>
        <v>0</v>
      </c>
      <c r="AV34" s="252" t="str">
        <f t="shared" si="8"/>
        <v>0</v>
      </c>
      <c r="AW34" s="247">
        <f t="shared" si="9"/>
        <v>1</v>
      </c>
      <c r="AX34" s="82">
        <f t="shared" si="10"/>
        <v>-5</v>
      </c>
      <c r="AY34" s="252">
        <f t="shared" si="11"/>
        <v>9</v>
      </c>
      <c r="AZ34" s="247">
        <f t="shared" si="17"/>
        <v>1</v>
      </c>
      <c r="BA34" s="82">
        <f t="shared" si="12"/>
        <v>-5</v>
      </c>
      <c r="BB34" s="252">
        <f t="shared" si="13"/>
        <v>9</v>
      </c>
      <c r="BC34" s="255">
        <f t="shared" si="14"/>
        <v>-5</v>
      </c>
      <c r="BD34" s="7">
        <f t="shared" si="15"/>
        <v>0</v>
      </c>
      <c r="BE34" s="183">
        <f t="shared" si="16"/>
        <v>18.049100339999999</v>
      </c>
      <c r="BF34" s="82">
        <f>IF(AP34="","",SMALL(BE$9:BE$62,ROWS(AZ$9:AZ34)))</f>
        <v>25.000000150000002</v>
      </c>
      <c r="BG34"/>
      <c r="BH34" s="250" t="str">
        <f>IF(OR(AP34="",AZ34=""),"",INDEX($AP$9:$AP$63,MATCH(BF34,$BE$9:BE$62,0)))</f>
        <v>A7</v>
      </c>
      <c r="BI34" s="7">
        <f t="shared" si="0"/>
        <v>0</v>
      </c>
      <c r="BJ34" s="7">
        <f t="shared" si="1"/>
        <v>0</v>
      </c>
      <c r="BK34" s="7">
        <f t="shared" si="2"/>
        <v>0</v>
      </c>
      <c r="BL34" s="17">
        <f>IF(BF34="","",IF(AND(BI33=BI34,BJ33=BJ34,BK33=BK34),BL33,$BL$9+25))</f>
        <v>26</v>
      </c>
      <c r="BN34" s="225"/>
      <c r="BO34" s="342">
        <f>IF(AND($K$5=26),1,IF(AND($K$5=27),2,IF(AND($K$5=28),3,IF(AND($K$5=29),4,IF(AND($K$5=30),5,IF(AND($K$5=31),6,IF(AND($K$5=32),7,IF(AND($K$5=33),8,IF(AND($K$5=34),9,IF(AND($K$5=35),10,IF(AND($K$5=36),11,IF(AND($K$5=37),12,IF(AND($K$5=38),13,IF(AND($K$5=39),14,IF(AND($K$5=40),15,IF(AND($K$5=41),16,IF(AND($K$5=42),17,IF(AND($K$5=43),18,IF(AND($K$5=44),19,IF(AND($K$5=45),20,IF(AND($K$5=46),21,IF(AND($K$5=47),22,IF(AND($K$5=48),23,IF(AND($K$5=49),24,IF(AND($K$5=50),25,IF(AND($K$5=51),26,IF(AND($K$5=52),27,IF(AND($K$5=53),28,IF(AND($K$5=54),29," ")))))))))))))))))))))))))))))</f>
        <v>23</v>
      </c>
    </row>
    <row r="35" spans="1:67" ht="18" customHeight="1" x14ac:dyDescent="0.4">
      <c r="A35" s="18"/>
      <c r="B35" s="18"/>
      <c r="C35" s="18"/>
      <c r="D35" s="18"/>
      <c r="E35" s="18"/>
      <c r="F35" s="18"/>
      <c r="G35" s="18"/>
      <c r="I35" s="18"/>
      <c r="J35" s="18"/>
      <c r="K35" s="18"/>
      <c r="L35" s="18"/>
      <c r="Q35" s="18"/>
      <c r="R35" s="18"/>
      <c r="S35" s="18"/>
      <c r="T35" s="18"/>
      <c r="U35" s="18"/>
      <c r="Y35" s="382">
        <v>4</v>
      </c>
      <c r="Z35" s="9" t="str">
        <f>+O16</f>
        <v>A7</v>
      </c>
      <c r="AA35" s="25">
        <v>0</v>
      </c>
      <c r="AB35" s="38">
        <f>IF(AA35+AA39=0,0,IF(AA35=AA39,2,IF(AA35&gt;AA39,3,1)))</f>
        <v>0</v>
      </c>
      <c r="AC35" s="10">
        <f>AA35-AA39</f>
        <v>0</v>
      </c>
      <c r="AD35" s="19"/>
      <c r="AE35" s="9" t="str">
        <f>+R16</f>
        <v>A8</v>
      </c>
      <c r="AF35" s="107">
        <v>0</v>
      </c>
      <c r="AG35" s="38">
        <f>IF(AF35+AF39=0,0,IF(AF35=AF39,2,IF(AF35&gt;AF39,3,1)))</f>
        <v>0</v>
      </c>
      <c r="AH35" s="10">
        <f>AF35-AF39</f>
        <v>0</v>
      </c>
      <c r="AI35" s="19"/>
      <c r="AJ35" s="9" t="str">
        <f>+U16</f>
        <v>A9</v>
      </c>
      <c r="AK35" s="28">
        <v>0</v>
      </c>
      <c r="AL35" s="38">
        <f>IF(AK35+AK39=0,0,IF(AK35=AK39,2,IF(AK35&gt;AK39,3,1)))</f>
        <v>0</v>
      </c>
      <c r="AM35" s="10">
        <f>AK35-AK39</f>
        <v>0</v>
      </c>
      <c r="AN35" s="18"/>
      <c r="AO35" s="44">
        <v>27</v>
      </c>
      <c r="AP35" s="279" t="str">
        <f>+Inscrits!D11</f>
        <v>B9</v>
      </c>
      <c r="AQ35" s="247" t="str">
        <f t="shared" si="3"/>
        <v>0</v>
      </c>
      <c r="AR35" s="82" t="str">
        <f t="shared" si="4"/>
        <v>0</v>
      </c>
      <c r="AS35" s="184" t="str">
        <f t="shared" si="5"/>
        <v>0</v>
      </c>
      <c r="AT35" s="250" t="str">
        <f t="shared" si="6"/>
        <v>0</v>
      </c>
      <c r="AU35" s="82" t="str">
        <f t="shared" si="7"/>
        <v>0</v>
      </c>
      <c r="AV35" s="252" t="str">
        <f t="shared" si="8"/>
        <v>0</v>
      </c>
      <c r="AW35" s="247" t="str">
        <f t="shared" si="9"/>
        <v>0</v>
      </c>
      <c r="AX35" s="82" t="str">
        <f t="shared" si="10"/>
        <v>0</v>
      </c>
      <c r="AY35" s="252" t="str">
        <f t="shared" si="11"/>
        <v>0</v>
      </c>
      <c r="AZ35" s="247">
        <f t="shared" si="17"/>
        <v>0</v>
      </c>
      <c r="BA35" s="82">
        <f t="shared" si="12"/>
        <v>0</v>
      </c>
      <c r="BB35" s="252">
        <f t="shared" si="13"/>
        <v>0</v>
      </c>
      <c r="BC35" s="255">
        <f t="shared" si="14"/>
        <v>0</v>
      </c>
      <c r="BD35" s="7">
        <f t="shared" si="15"/>
        <v>0</v>
      </c>
      <c r="BE35" s="183">
        <f t="shared" si="16"/>
        <v>25.000000350000001</v>
      </c>
      <c r="BF35" s="82">
        <f>IF(AP35="","",SMALL(BE$9:BE$62,ROWS(AZ$9:AZ35)))</f>
        <v>25.000000159999999</v>
      </c>
      <c r="BG35"/>
      <c r="BH35" s="250" t="str">
        <f>IF(OR(AP35="",AZ35=""),"",INDEX($AP$9:$AP$63,MATCH(BF35,$BE$9:BE$62,0)))</f>
        <v>A8</v>
      </c>
      <c r="BI35" s="7">
        <f t="shared" si="0"/>
        <v>0</v>
      </c>
      <c r="BJ35" s="7">
        <f t="shared" si="1"/>
        <v>0</v>
      </c>
      <c r="BK35" s="7">
        <f t="shared" si="2"/>
        <v>0</v>
      </c>
      <c r="BL35" s="17">
        <f>IF(BF35="","",IF(AND(BI34=BI35,BJ34=BJ35,BK34=BK35),BL34,$BL$9+26))</f>
        <v>26</v>
      </c>
      <c r="BN35" s="225"/>
      <c r="BO35" s="342">
        <f>IF(AND($K$5=27),1,IF(AND($K$5=28),2,IF(AND($K$5=29),3,IF(AND($K$5=30),4,IF(AND($K$5=31),5,IF(AND($K$5=32),6,IF(AND($K$5=33),7,IF(AND($K$5=34),8,IF(AND($K$5=35),9,IF(AND($K$5=36),10,IF(AND($K$5=37),11,IF(AND($K$5=38),12,IF(AND($K$5=39),13,IF(AND($K$5=40),14,IF(AND($K$5=41),15,IF(AND($K$5=42),16,IF(AND($K$5=43),17,IF(AND($K$5=44),18,IF(AND($K$5=45),19,IF(AND($K$5=46),20,IF(AND($K$5=47),21,IF(AND($K$5=48),22,IF(AND($K$5=49),23,IF(AND($K$5=50),24,IF(AND($K$5=51),25,IF(AND($K$5=52),26,IF(AND($K$5=53),27,IF(AND($K$5=54),28," "))))))))))))))))))))))))))))</f>
        <v>22</v>
      </c>
    </row>
    <row r="36" spans="1:67" ht="18" customHeight="1" thickBot="1" x14ac:dyDescent="0.45">
      <c r="A36" s="18"/>
      <c r="B36" s="18"/>
      <c r="C36" s="18"/>
      <c r="D36" s="18"/>
      <c r="E36" s="18"/>
      <c r="F36" s="18"/>
      <c r="G36" s="18"/>
      <c r="I36" s="18"/>
      <c r="J36" s="18"/>
      <c r="K36" s="18"/>
      <c r="L36" s="18"/>
      <c r="Q36" s="18"/>
      <c r="R36" s="18"/>
      <c r="S36" s="18"/>
      <c r="T36" s="18"/>
      <c r="U36" s="18"/>
      <c r="Y36" s="383"/>
      <c r="Z36" s="11" t="str">
        <f>+P16</f>
        <v>B7</v>
      </c>
      <c r="AA36" s="14">
        <f>IF(ISTEXT(Z36),AA35,0)</f>
        <v>0</v>
      </c>
      <c r="AB36" s="14">
        <f>IF(ISTEXT(Z36),AB35,0)</f>
        <v>0</v>
      </c>
      <c r="AC36" s="15">
        <f>IF(ISTEXT(Z36),AC35,0)</f>
        <v>0</v>
      </c>
      <c r="AD36" s="6"/>
      <c r="AE36" s="11" t="str">
        <f>+S16</f>
        <v>B9</v>
      </c>
      <c r="AF36" s="14">
        <f>IF(ISTEXT(AE36),AF35,0)</f>
        <v>0</v>
      </c>
      <c r="AG36" s="48">
        <f>IF(ISTEXT(AE36),AG35,0)</f>
        <v>0</v>
      </c>
      <c r="AH36" s="15">
        <f>IF(ISTEXT(AE36),AH35,0)</f>
        <v>0</v>
      </c>
      <c r="AI36" s="6"/>
      <c r="AJ36" s="11" t="str">
        <f>+V16</f>
        <v>B11</v>
      </c>
      <c r="AK36" s="14">
        <f>IF(ISTEXT(AJ36),AK35,0)</f>
        <v>0</v>
      </c>
      <c r="AL36" s="48">
        <f>IF(ISTEXT(AJ36),AL35,0)</f>
        <v>0</v>
      </c>
      <c r="AM36" s="15">
        <f>IF(ISTEXT(AJ36),AM35,0)</f>
        <v>0</v>
      </c>
      <c r="AN36" s="18"/>
      <c r="AO36" s="44">
        <v>28</v>
      </c>
      <c r="AP36" s="279" t="str">
        <f>+Inscrits!D12</f>
        <v>B10</v>
      </c>
      <c r="AQ36" s="247" t="str">
        <f t="shared" si="3"/>
        <v>0</v>
      </c>
      <c r="AR36" s="82" t="str">
        <f t="shared" si="4"/>
        <v>0</v>
      </c>
      <c r="AS36" s="184" t="str">
        <f t="shared" si="5"/>
        <v>0</v>
      </c>
      <c r="AT36" s="250" t="str">
        <f t="shared" si="6"/>
        <v>0</v>
      </c>
      <c r="AU36" s="82" t="str">
        <f t="shared" si="7"/>
        <v>0</v>
      </c>
      <c r="AV36" s="252" t="str">
        <f t="shared" si="8"/>
        <v>0</v>
      </c>
      <c r="AW36" s="247" t="str">
        <f t="shared" si="9"/>
        <v>0</v>
      </c>
      <c r="AX36" s="82" t="str">
        <f t="shared" si="10"/>
        <v>0</v>
      </c>
      <c r="AY36" s="252" t="str">
        <f t="shared" si="11"/>
        <v>0</v>
      </c>
      <c r="AZ36" s="247">
        <f t="shared" si="17"/>
        <v>0</v>
      </c>
      <c r="BA36" s="82">
        <f t="shared" si="12"/>
        <v>0</v>
      </c>
      <c r="BB36" s="252">
        <f t="shared" si="13"/>
        <v>0</v>
      </c>
      <c r="BC36" s="255">
        <f t="shared" si="14"/>
        <v>0</v>
      </c>
      <c r="BD36" s="7">
        <f t="shared" si="15"/>
        <v>0</v>
      </c>
      <c r="BE36" s="183">
        <f t="shared" si="16"/>
        <v>25.000000360000001</v>
      </c>
      <c r="BF36" s="82">
        <f>IF(AP36="","",SMALL(BE$9:BE$62,ROWS(AZ$9:AZ36)))</f>
        <v>25.00000017</v>
      </c>
      <c r="BG36"/>
      <c r="BH36" s="250" t="str">
        <f>IF(OR(AP36="",AZ36=""),"",INDEX($AP$9:$AP$63,MATCH(BF36,$BE$9:BE$62,0)))</f>
        <v>A9</v>
      </c>
      <c r="BI36" s="7">
        <f t="shared" si="0"/>
        <v>0</v>
      </c>
      <c r="BJ36" s="7">
        <f t="shared" si="1"/>
        <v>0</v>
      </c>
      <c r="BK36" s="7">
        <f t="shared" si="2"/>
        <v>0</v>
      </c>
      <c r="BL36" s="17">
        <f>IF(BF36="","",IF(AND(BI35=BI36,BJ35=BJ36,BK35=BK36),BL35,$BL$9+27))</f>
        <v>26</v>
      </c>
      <c r="BN36" s="225"/>
      <c r="BO36" s="342">
        <f>IF(AND($K$5=28),1,IF(AND($K$5=29),2,IF(AND($K$5=30),3,IF(AND($K$5=31),4,IF(AND($K$5=32),5,IF(AND($K$5=33),6,IF(AND($K$5=34),7,IF(AND($K$5=35),8,IF(AND($K$5=36),9,IF(AND($K$5=37),10,IF(AND($K$5=38),11,IF(AND($K$5=39),12,IF(AND($K$5=40),13,IF(AND($K$5=41),14,IF(AND($K$5=42),15,IF(AND($K$5=43),16,IF(AND($K$5=44),17,IF(AND($K$5=45),18,IF(AND($K$5=46),19,IF(AND($K$5=47),20,IF(AND($K$5=48),21,IF(AND($K$5=49),22,IF(AND($K$5=50),23,IF(AND($K$5=51),24,IF(AND($K$5=52),25,IF(AND($K$5=53),26,IF(AND($K$5=54),27," ")))))))))))))))))))))))))))</f>
        <v>21</v>
      </c>
    </row>
    <row r="37" spans="1:67" ht="18" customHeight="1" x14ac:dyDescent="0.4">
      <c r="A37" s="18"/>
      <c r="B37" s="18"/>
      <c r="C37" s="18"/>
      <c r="D37" s="18"/>
      <c r="E37" s="18"/>
      <c r="F37" s="18"/>
      <c r="G37" s="18"/>
      <c r="I37" s="18"/>
      <c r="J37" s="18"/>
      <c r="K37" s="18"/>
      <c r="L37" s="18"/>
      <c r="Q37" s="18"/>
      <c r="R37" s="18"/>
      <c r="S37" s="18"/>
      <c r="T37" s="18"/>
      <c r="U37" s="18"/>
      <c r="Y37" s="383"/>
      <c r="Z37" s="11" t="str">
        <f>+Q16</f>
        <v>C7</v>
      </c>
      <c r="AA37" s="55">
        <f>IF(ISTEXT(Z37),AA35,0)</f>
        <v>0</v>
      </c>
      <c r="AB37" s="55">
        <f>IF(ISTEXT(Z37),AB35,0)</f>
        <v>0</v>
      </c>
      <c r="AC37" s="56">
        <f>IF(ISTEXT(Z37),AC35,0)</f>
        <v>0</v>
      </c>
      <c r="AD37" s="6"/>
      <c r="AE37" s="11" t="str">
        <f>+T16</f>
        <v>C10</v>
      </c>
      <c r="AF37" s="55">
        <f>IF(ISTEXT(AE37),AF35,0)</f>
        <v>0</v>
      </c>
      <c r="AG37" s="52">
        <f>IF(ISTEXT(AE37),AG35,0)</f>
        <v>0</v>
      </c>
      <c r="AH37" s="56">
        <f>IF(ISTEXT(AE37),AH35,0)</f>
        <v>0</v>
      </c>
      <c r="AI37" s="6"/>
      <c r="AJ37" s="11" t="str">
        <f>+W16</f>
        <v>C13</v>
      </c>
      <c r="AK37" s="55">
        <f>IF(ISTEXT(AJ37),AK35,0)</f>
        <v>0</v>
      </c>
      <c r="AL37" s="52">
        <f>IF(ISTEXT(AJ37),AL35,0)</f>
        <v>0</v>
      </c>
      <c r="AM37" s="56">
        <f>IF(ISTEXT(AJ37),AM35,0)</f>
        <v>0</v>
      </c>
      <c r="AN37" s="18"/>
      <c r="AO37" s="44">
        <v>29</v>
      </c>
      <c r="AP37" s="279" t="str">
        <f>+Inscrits!D13</f>
        <v>B11</v>
      </c>
      <c r="AQ37" s="247" t="str">
        <f t="shared" si="3"/>
        <v>0</v>
      </c>
      <c r="AR37" s="82" t="str">
        <f t="shared" si="4"/>
        <v>0</v>
      </c>
      <c r="AS37" s="184" t="str">
        <f t="shared" si="5"/>
        <v>0</v>
      </c>
      <c r="AT37" s="250" t="str">
        <f t="shared" si="6"/>
        <v>0</v>
      </c>
      <c r="AU37" s="82" t="str">
        <f t="shared" si="7"/>
        <v>0</v>
      </c>
      <c r="AV37" s="252">
        <f t="shared" si="8"/>
        <v>5</v>
      </c>
      <c r="AW37" s="247" t="str">
        <f t="shared" si="9"/>
        <v>0</v>
      </c>
      <c r="AX37" s="82" t="str">
        <f t="shared" si="10"/>
        <v>0</v>
      </c>
      <c r="AY37" s="252" t="str">
        <f t="shared" si="11"/>
        <v>0</v>
      </c>
      <c r="AZ37" s="247">
        <f t="shared" si="17"/>
        <v>0</v>
      </c>
      <c r="BA37" s="82">
        <f t="shared" si="12"/>
        <v>0</v>
      </c>
      <c r="BB37" s="252">
        <f t="shared" si="13"/>
        <v>5</v>
      </c>
      <c r="BC37" s="255">
        <f t="shared" si="14"/>
        <v>0</v>
      </c>
      <c r="BD37" s="7">
        <f t="shared" si="15"/>
        <v>0</v>
      </c>
      <c r="BE37" s="183">
        <f t="shared" si="16"/>
        <v>24.99950037</v>
      </c>
      <c r="BF37" s="82">
        <f>IF(AP37="","",SMALL(BE$9:BE$62,ROWS(AZ$9:AZ37)))</f>
        <v>25.000000180000001</v>
      </c>
      <c r="BG37"/>
      <c r="BH37" s="250" t="str">
        <f>IF(OR(AP37="",AZ37=""),"",INDEX($AP$9:$AP$63,MATCH(BF37,$BE$9:BE$62,0)))</f>
        <v>A10</v>
      </c>
      <c r="BI37" s="7">
        <f t="shared" si="0"/>
        <v>0</v>
      </c>
      <c r="BJ37" s="7">
        <f t="shared" si="1"/>
        <v>0</v>
      </c>
      <c r="BK37" s="7">
        <f t="shared" si="2"/>
        <v>0</v>
      </c>
      <c r="BL37" s="17">
        <f>IF(BF37="","",IF(AND(BI36=BI37,BJ36=BJ37,BK36=BK37),BL36,$BL$9+28))</f>
        <v>26</v>
      </c>
      <c r="BN37" s="225"/>
      <c r="BO37" s="342">
        <f>IF(AND($K$5=29),1,IF(AND($K$5=30),2,IF(AND($K$5=31),3,IF(AND($K$5=32),4,IF(AND($K$5=33),5,IF(AND($K$5=34),6,IF(AND($K$5=35),7,IF(AND($K$5=36),8,IF(AND($K$5=37),9,IF(AND($K$5=38),10,IF(AND($K$5=39),11,IF(AND($K$5=40),12,IF(AND($K$5=41),13,IF(AND($K$5=42),14,IF(AND($K$5=43),15,IF(AND($K$5=44),16,IF(AND($K$5=45),17,IF(AND($K$5=46),18,IF(AND($K$5=47),19,IF(AND($K$5=48),20,IF(AND($K$5=49),21,IF(AND($K$5=50),22,IF(AND($K$5=51),23,IF(AND($K$5=52),24,IF(AND($K$5=53),25,IF(AND($K$5=54),26," "))))))))))))))))))))))))))</f>
        <v>20</v>
      </c>
    </row>
    <row r="38" spans="1:67" ht="18" customHeight="1" x14ac:dyDescent="0.4">
      <c r="A38" s="18"/>
      <c r="B38" s="18"/>
      <c r="C38" s="18"/>
      <c r="D38" s="18"/>
      <c r="E38" s="18"/>
      <c r="F38" s="18"/>
      <c r="G38" s="18"/>
      <c r="I38" s="18"/>
      <c r="J38" s="18"/>
      <c r="K38" s="18"/>
      <c r="L38" s="18"/>
      <c r="Q38" s="18"/>
      <c r="R38" s="18"/>
      <c r="S38" s="18"/>
      <c r="T38" s="18"/>
      <c r="U38" s="18"/>
      <c r="Y38" s="383"/>
      <c r="Z38" s="24"/>
      <c r="AA38" s="195" t="s">
        <v>5</v>
      </c>
      <c r="AB38" s="16"/>
      <c r="AC38" s="17"/>
      <c r="AD38" s="20"/>
      <c r="AE38" s="24"/>
      <c r="AF38" s="195" t="s">
        <v>5</v>
      </c>
      <c r="AG38" s="16"/>
      <c r="AH38" s="17"/>
      <c r="AI38" s="20"/>
      <c r="AJ38" s="24"/>
      <c r="AK38" s="195" t="s">
        <v>5</v>
      </c>
      <c r="AL38" s="16"/>
      <c r="AM38" s="17"/>
      <c r="AN38" s="18"/>
      <c r="AO38" s="44">
        <v>30</v>
      </c>
      <c r="AP38" s="279" t="str">
        <f>+Inscrits!D14</f>
        <v>B12</v>
      </c>
      <c r="AQ38" s="247" t="str">
        <f t="shared" si="3"/>
        <v>0</v>
      </c>
      <c r="AR38" s="82" t="str">
        <f t="shared" si="4"/>
        <v>0</v>
      </c>
      <c r="AS38" s="184" t="str">
        <f t="shared" si="5"/>
        <v>0</v>
      </c>
      <c r="AT38" s="250" t="str">
        <f t="shared" si="6"/>
        <v>0</v>
      </c>
      <c r="AU38" s="82" t="str">
        <f t="shared" si="7"/>
        <v>0</v>
      </c>
      <c r="AV38" s="252" t="str">
        <f t="shared" si="8"/>
        <v>0</v>
      </c>
      <c r="AW38" s="247" t="str">
        <f t="shared" si="9"/>
        <v>0</v>
      </c>
      <c r="AX38" s="82" t="str">
        <f t="shared" si="10"/>
        <v>0</v>
      </c>
      <c r="AY38" s="252" t="str">
        <f t="shared" si="11"/>
        <v>0</v>
      </c>
      <c r="AZ38" s="247">
        <f t="shared" si="17"/>
        <v>0</v>
      </c>
      <c r="BA38" s="82">
        <f t="shared" si="12"/>
        <v>0</v>
      </c>
      <c r="BB38" s="252">
        <f t="shared" si="13"/>
        <v>0</v>
      </c>
      <c r="BC38" s="255">
        <f t="shared" si="14"/>
        <v>0</v>
      </c>
      <c r="BD38" s="7">
        <f t="shared" si="15"/>
        <v>0</v>
      </c>
      <c r="BE38" s="183">
        <f t="shared" si="16"/>
        <v>25.000000379999999</v>
      </c>
      <c r="BF38" s="82">
        <f>IF(AP38="","",SMALL(BE$9:BE$62,ROWS(AZ$9:AZ38)))</f>
        <v>25.000000190000002</v>
      </c>
      <c r="BG38"/>
      <c r="BH38" s="250" t="str">
        <f>IF(OR(AP38="",AZ38=""),"",INDEX($AP$9:$AP$63,MATCH(BF38,$BE$9:BE$62,0)))</f>
        <v>A11</v>
      </c>
      <c r="BI38" s="7">
        <f t="shared" si="0"/>
        <v>0</v>
      </c>
      <c r="BJ38" s="7">
        <f t="shared" si="1"/>
        <v>0</v>
      </c>
      <c r="BK38" s="7">
        <f t="shared" si="2"/>
        <v>0</v>
      </c>
      <c r="BL38" s="17">
        <f>IF(BF38="","",IF(AND(BI37=BI38,BJ37=BJ38,BK37=BK38),BL37,$BL$9+29))</f>
        <v>26</v>
      </c>
      <c r="BN38" s="225"/>
      <c r="BO38" s="342">
        <f>IF(AND($K$5=30),1,IF(AND($K$5=31),2,IF(AND($K$5=32),3,IF(AND($K$5=33),4,IF(AND($K$5=34),5,IF(AND($K$5=35),6,IF(AND($K$5=36),7,IF(AND($K$5=37),8,IF(AND($K$5=38),9,IF(AND($K$5=39),10,IF(AND($K$5=40),11,IF(AND($K$5=41),12,IF(AND($K$5=42),13,IF(AND($K$5=43),14,IF(AND($K$5=44),15,IF(AND($K$5=45),16,IF(AND($K$5=46),17,IF(AND($K$5=47),18,IF(AND($K$5=48),19,IF(AND($K$5=49),20,IF(AND($K$5=50),21,IF(AND($K$5=51),22,IF(AND($K$5=52),23,IF(AND($K$5=53),24,IF(AND($K$5=54),25," ")))))))))))))))))))))))))</f>
        <v>19</v>
      </c>
    </row>
    <row r="39" spans="1:67" ht="18" customHeight="1" x14ac:dyDescent="0.4">
      <c r="A39" s="18"/>
      <c r="B39" s="18"/>
      <c r="C39" s="18"/>
      <c r="D39" s="18"/>
      <c r="E39" s="18"/>
      <c r="F39" s="18"/>
      <c r="G39" s="18"/>
      <c r="I39" s="18"/>
      <c r="J39" s="18"/>
      <c r="K39" s="18"/>
      <c r="L39" s="18"/>
      <c r="Q39" s="18"/>
      <c r="R39" s="18"/>
      <c r="S39" s="18"/>
      <c r="T39" s="18"/>
      <c r="U39" s="18"/>
      <c r="Y39" s="383"/>
      <c r="Z39" s="11" t="str">
        <f>+O17</f>
        <v>A8</v>
      </c>
      <c r="AA39" s="27">
        <v>0</v>
      </c>
      <c r="AB39" s="23">
        <f>IF(AA35+AA39=0,0,IF(AA35=AA39,2,IF(AA35&lt;AA39,3,1)))</f>
        <v>0</v>
      </c>
      <c r="AC39" s="12">
        <f>AA39-AA35</f>
        <v>0</v>
      </c>
      <c r="AD39" s="19"/>
      <c r="AE39" s="11" t="str">
        <f>+R17</f>
        <v>A9</v>
      </c>
      <c r="AF39" s="108">
        <v>0</v>
      </c>
      <c r="AG39" s="23">
        <f>IF(AF35+AF39=0,0,IF(AF35=AF39,2,IF(AF35&lt;AF39,3,1)))</f>
        <v>0</v>
      </c>
      <c r="AH39" s="12">
        <f>AF39-AF35</f>
        <v>0</v>
      </c>
      <c r="AI39" s="19"/>
      <c r="AJ39" s="11" t="str">
        <f>+U17</f>
        <v>A10</v>
      </c>
      <c r="AK39" s="29">
        <v>0</v>
      </c>
      <c r="AL39" s="23">
        <f>IF(AK35+AK39=0,0,IF(AK35=AK39,2,IF(AK35&lt;AK39,3,1)))</f>
        <v>0</v>
      </c>
      <c r="AM39" s="12">
        <f>AK39-AK35</f>
        <v>0</v>
      </c>
      <c r="AN39" s="18"/>
      <c r="AO39" s="44">
        <v>31</v>
      </c>
      <c r="AP39" s="279" t="str">
        <f>+Inscrits!D15</f>
        <v>B13</v>
      </c>
      <c r="AQ39" s="247" t="str">
        <f t="shared" si="3"/>
        <v>0</v>
      </c>
      <c r="AR39" s="82" t="str">
        <f t="shared" si="4"/>
        <v>0</v>
      </c>
      <c r="AS39" s="184" t="str">
        <f t="shared" si="5"/>
        <v>0</v>
      </c>
      <c r="AT39" s="250" t="str">
        <f t="shared" si="6"/>
        <v>0</v>
      </c>
      <c r="AU39" s="82" t="str">
        <f t="shared" si="7"/>
        <v>0</v>
      </c>
      <c r="AV39" s="252" t="str">
        <f t="shared" si="8"/>
        <v>0</v>
      </c>
      <c r="AW39" s="247" t="str">
        <f t="shared" si="9"/>
        <v>0</v>
      </c>
      <c r="AX39" s="82" t="str">
        <f t="shared" si="10"/>
        <v>0</v>
      </c>
      <c r="AY39" s="252" t="str">
        <f t="shared" si="11"/>
        <v>0</v>
      </c>
      <c r="AZ39" s="247">
        <f t="shared" si="17"/>
        <v>0</v>
      </c>
      <c r="BA39" s="82">
        <f t="shared" si="12"/>
        <v>0</v>
      </c>
      <c r="BB39" s="252">
        <f t="shared" si="13"/>
        <v>0</v>
      </c>
      <c r="BC39" s="255">
        <f t="shared" si="14"/>
        <v>0</v>
      </c>
      <c r="BD39" s="7">
        <f t="shared" si="15"/>
        <v>0</v>
      </c>
      <c r="BE39" s="183">
        <f t="shared" si="16"/>
        <v>25.00000039</v>
      </c>
      <c r="BF39" s="82">
        <f>IF(AP39="","",SMALL(BE$9:BE$62,ROWS(AZ$9:AZ39)))</f>
        <v>25.000000199999999</v>
      </c>
      <c r="BG39"/>
      <c r="BH39" s="250" t="str">
        <f>IF(OR(AP39="",AZ39=""),"",INDEX($AP$9:$AP$63,MATCH(BF39,$BE$9:BE$62,0)))</f>
        <v>A12</v>
      </c>
      <c r="BI39" s="7">
        <f t="shared" si="0"/>
        <v>0</v>
      </c>
      <c r="BJ39" s="7">
        <f t="shared" si="1"/>
        <v>0</v>
      </c>
      <c r="BK39" s="7">
        <f t="shared" si="2"/>
        <v>0</v>
      </c>
      <c r="BL39" s="17">
        <f>IF(BF39="","",IF(AND(BI38=BI39,BJ38=BJ39,BK38=BK39),BL38,$BL$9+30))</f>
        <v>26</v>
      </c>
      <c r="BN39" s="225"/>
      <c r="BO39" s="342">
        <f>IF(AND($K$5=31),1,IF(AND($K$5=32),2,IF(AND($K$5=33),3,IF(AND($K$5=34),4,IF(AND($K$5=35),5,IF(AND($K$5=36),6,IF(AND($K$5=37),7,IF(AND($K$5=38),8,IF(AND($K$5=39),9,IF(AND($K$5=40),10,IF(AND($K$5=41),11,IF(AND($K$5=42),12,IF(AND($K$5=43),13,IF(AND($K$5=44),14,IF(AND($K$5=45),15,IF(AND($K$5=46),16,IF(AND($K$5=47),17,IF(AND($K$5=48),18,IF(AND($K$5=49),19,IF(AND($K$5=50),20,IF(AND($K$5=51),21,IF(AND($K$5=52),22,IF(AND($K$5=53),23,IF(AND($K$5=54),24," "))))))))))))))))))))))))</f>
        <v>18</v>
      </c>
    </row>
    <row r="40" spans="1:67" ht="18" customHeight="1" thickBot="1" x14ac:dyDescent="0.45">
      <c r="A40" s="18"/>
      <c r="B40" s="18"/>
      <c r="C40" s="18"/>
      <c r="D40" s="18"/>
      <c r="E40" s="18"/>
      <c r="F40" s="18"/>
      <c r="G40" s="18"/>
      <c r="I40" s="18"/>
      <c r="J40" s="18"/>
      <c r="K40" s="18"/>
      <c r="L40" s="18"/>
      <c r="Q40" s="18"/>
      <c r="R40" s="18"/>
      <c r="S40" s="18"/>
      <c r="T40" s="18"/>
      <c r="U40" s="18"/>
      <c r="Y40" s="383"/>
      <c r="Z40" s="11" t="str">
        <f>+P17</f>
        <v>B8</v>
      </c>
      <c r="AA40" s="14">
        <f>IF(ISTEXT(Z40),AA39,0)</f>
        <v>0</v>
      </c>
      <c r="AB40" s="14">
        <f>IF(ISTEXT(Z40),AB39,0)</f>
        <v>0</v>
      </c>
      <c r="AC40" s="15">
        <f>IF(ISTEXT(Z40),AC39,0)</f>
        <v>0</v>
      </c>
      <c r="AD40" s="6"/>
      <c r="AE40" s="11" t="str">
        <f>+S17</f>
        <v>B10</v>
      </c>
      <c r="AF40" s="14">
        <f>IF(ISTEXT(AE40),AF39,0)</f>
        <v>0</v>
      </c>
      <c r="AG40" s="14">
        <f>IF(ISTEXT(AE40),AG39,0)</f>
        <v>0</v>
      </c>
      <c r="AH40" s="15">
        <f>IF(ISTEXT(AE40),AH39,0)</f>
        <v>0</v>
      </c>
      <c r="AI40" s="6"/>
      <c r="AJ40" s="11" t="str">
        <f>+V17</f>
        <v>B12</v>
      </c>
      <c r="AK40" s="14">
        <f>IF(ISTEXT(AJ40),AK39,0)</f>
        <v>0</v>
      </c>
      <c r="AL40" s="14">
        <f>IF(ISTEXT(AJ40),AL39,0)</f>
        <v>0</v>
      </c>
      <c r="AM40" s="15">
        <f>IF(ISTEXT(AJ40),AM39,0)</f>
        <v>0</v>
      </c>
      <c r="AN40" s="18"/>
      <c r="AO40" s="44">
        <v>32</v>
      </c>
      <c r="AP40" s="279" t="str">
        <f>+Inscrits!D16</f>
        <v>B14</v>
      </c>
      <c r="AQ40" s="247" t="str">
        <f t="shared" si="3"/>
        <v>0</v>
      </c>
      <c r="AR40" s="82" t="str">
        <f t="shared" si="4"/>
        <v>0</v>
      </c>
      <c r="AS40" s="184" t="str">
        <f t="shared" si="5"/>
        <v>0</v>
      </c>
      <c r="AT40" s="250" t="str">
        <f t="shared" si="6"/>
        <v>0</v>
      </c>
      <c r="AU40" s="82" t="str">
        <f t="shared" si="7"/>
        <v>0</v>
      </c>
      <c r="AV40" s="252" t="str">
        <f t="shared" si="8"/>
        <v>0</v>
      </c>
      <c r="AW40" s="247" t="str">
        <f t="shared" si="9"/>
        <v>0</v>
      </c>
      <c r="AX40" s="82" t="str">
        <f t="shared" si="10"/>
        <v>0</v>
      </c>
      <c r="AY40" s="252" t="str">
        <f t="shared" si="11"/>
        <v>0</v>
      </c>
      <c r="AZ40" s="247">
        <f t="shared" si="17"/>
        <v>0</v>
      </c>
      <c r="BA40" s="82">
        <f t="shared" si="12"/>
        <v>0</v>
      </c>
      <c r="BB40" s="252">
        <f t="shared" si="13"/>
        <v>0</v>
      </c>
      <c r="BC40" s="255">
        <f t="shared" si="14"/>
        <v>0</v>
      </c>
      <c r="BD40" s="7">
        <f t="shared" si="15"/>
        <v>0</v>
      </c>
      <c r="BE40" s="183">
        <f t="shared" si="16"/>
        <v>25.000000400000001</v>
      </c>
      <c r="BF40" s="82">
        <f>IF(AP40="","",SMALL(BE$9:BE$62,ROWS(AZ$9:AZ40)))</f>
        <v>25.00000021</v>
      </c>
      <c r="BG40"/>
      <c r="BH40" s="250" t="str">
        <f>IF(OR(AP40="",AZ40=""),"",INDEX($AP$9:$AP$63,MATCH(BF40,$BE$9:BE$62,0)))</f>
        <v>A13</v>
      </c>
      <c r="BI40" s="7">
        <f t="shared" si="0"/>
        <v>0</v>
      </c>
      <c r="BJ40" s="7">
        <f t="shared" si="1"/>
        <v>0</v>
      </c>
      <c r="BK40" s="7">
        <f t="shared" si="2"/>
        <v>0</v>
      </c>
      <c r="BL40" s="17">
        <f>IF(BF40="","",IF(AND(BI39=BI40,BJ39=BJ40,BK39=BK40),BL39,$BL$9+31))</f>
        <v>26</v>
      </c>
      <c r="BN40" s="225"/>
      <c r="BO40" s="342">
        <f>IF(AND($K$5=32),1,IF(AND($K$5=33),2,IF(AND($K$5=34),3,IF(AND($K$5=35),4,IF(AND($K$5=36),5,IF(AND($K$5=37),6,IF(AND($K$5=38),7,IF(AND($K$5=39),8,IF(AND($K$5=40),9,IF(AND($K$5=41),10,IF(AND($K$5=42),11,IF(AND($K$5=43),12,IF(AND($K$5=44),13,IF(AND($K$5=45),14,IF(AND($K$5=46),15,IF(AND($K$5=47),16,IF(AND($K$5=48),17,IF(AND($K$5=49),18,IF(AND($K$5=50),19,IF(AND($K$5=51),20,IF(AND($K$5=52),21,IF(AND($K$5=53),22,IF(AND($K$5=54),23," ")))))))))))))))))))))))</f>
        <v>17</v>
      </c>
    </row>
    <row r="41" spans="1:67" ht="18" customHeight="1" thickBot="1" x14ac:dyDescent="0.45">
      <c r="A41" s="18"/>
      <c r="B41" s="18"/>
      <c r="C41" s="18"/>
      <c r="D41" s="18"/>
      <c r="E41" s="18"/>
      <c r="F41" s="18"/>
      <c r="G41" s="18"/>
      <c r="I41" s="18"/>
      <c r="J41" s="18"/>
      <c r="K41" s="18"/>
      <c r="L41" s="18"/>
      <c r="Q41" s="18"/>
      <c r="R41" s="18"/>
      <c r="S41" s="18"/>
      <c r="T41" s="18"/>
      <c r="U41" s="18"/>
      <c r="Y41" s="384"/>
      <c r="Z41" s="13" t="str">
        <f>+Q17</f>
        <v>C8</v>
      </c>
      <c r="AA41" s="14">
        <f>IF(ISTEXT(Z41),AA39,0)</f>
        <v>0</v>
      </c>
      <c r="AB41" s="14">
        <f>IF(ISTEXT(Z41),AB39,0)</f>
        <v>0</v>
      </c>
      <c r="AC41" s="15">
        <f>IF(ISTEXT(Z41),AC39,0)</f>
        <v>0</v>
      </c>
      <c r="AD41" s="6"/>
      <c r="AE41" s="13" t="str">
        <f>+T17</f>
        <v>C11</v>
      </c>
      <c r="AF41" s="14">
        <f>IF(ISTEXT(AE41),AF39,0)</f>
        <v>0</v>
      </c>
      <c r="AG41" s="14">
        <f>IF(ISTEXT(AE41),AG39,0)</f>
        <v>0</v>
      </c>
      <c r="AH41" s="15">
        <f>IF(ISTEXT(AE41),AH39,0)</f>
        <v>0</v>
      </c>
      <c r="AI41" s="6"/>
      <c r="AJ41" s="13" t="str">
        <f>+W17</f>
        <v>C14</v>
      </c>
      <c r="AK41" s="14">
        <f>IF(ISTEXT(AJ41),AK39,0)</f>
        <v>0</v>
      </c>
      <c r="AL41" s="14">
        <f>IF(ISTEXT(AJ41),AL39,0)</f>
        <v>0</v>
      </c>
      <c r="AM41" s="15">
        <f>IF(ISTEXT(AJ41),AM39,0)</f>
        <v>0</v>
      </c>
      <c r="AN41" s="18"/>
      <c r="AO41" s="44">
        <v>33</v>
      </c>
      <c r="AP41" s="279" t="str">
        <f>+Inscrits!D17</f>
        <v>B15</v>
      </c>
      <c r="AQ41" s="247" t="str">
        <f t="shared" si="3"/>
        <v>0</v>
      </c>
      <c r="AR41" s="82" t="str">
        <f t="shared" si="4"/>
        <v>0</v>
      </c>
      <c r="AS41" s="184" t="str">
        <f t="shared" si="5"/>
        <v>0</v>
      </c>
      <c r="AT41" s="250" t="str">
        <f t="shared" si="6"/>
        <v>0</v>
      </c>
      <c r="AU41" s="82" t="str">
        <f t="shared" si="7"/>
        <v>0</v>
      </c>
      <c r="AV41" s="252" t="str">
        <f t="shared" si="8"/>
        <v>0</v>
      </c>
      <c r="AW41" s="247" t="str">
        <f t="shared" si="9"/>
        <v>0</v>
      </c>
      <c r="AX41" s="82" t="str">
        <f t="shared" si="10"/>
        <v>0</v>
      </c>
      <c r="AY41" s="252" t="str">
        <f t="shared" si="11"/>
        <v>0</v>
      </c>
      <c r="AZ41" s="247">
        <f t="shared" si="17"/>
        <v>0</v>
      </c>
      <c r="BA41" s="82">
        <f t="shared" si="12"/>
        <v>0</v>
      </c>
      <c r="BB41" s="252">
        <f t="shared" si="13"/>
        <v>0</v>
      </c>
      <c r="BC41" s="255">
        <f t="shared" si="14"/>
        <v>0</v>
      </c>
      <c r="BD41" s="7">
        <f t="shared" si="15"/>
        <v>0</v>
      </c>
      <c r="BE41" s="183">
        <f t="shared" si="16"/>
        <v>25.000000409999998</v>
      </c>
      <c r="BF41" s="82">
        <f>IF(AP41="","",SMALL(BE$9:BE$62,ROWS(AZ$9:AZ41)))</f>
        <v>25.00000022</v>
      </c>
      <c r="BG41"/>
      <c r="BH41" s="250" t="str">
        <f>IF(OR(AP41="",AZ41=""),"",INDEX($AP$9:$AP$63,MATCH(BF41,$BE$9:BE$62,0)))</f>
        <v>A14</v>
      </c>
      <c r="BI41" s="7">
        <f t="shared" ref="BI41:BI62" si="18">IF(AP41="","",INDEX($AZ$9:$AZ$63,MATCH(BF41,$BE$9:$BE$62,0)))</f>
        <v>0</v>
      </c>
      <c r="BJ41" s="7">
        <f t="shared" ref="BJ41:BJ62" si="19">IF(AP41="","",INDEX($BA$9:$BA$63,MATCH(BF41,$BE$9:$BE$62,0)))</f>
        <v>0</v>
      </c>
      <c r="BK41" s="7">
        <f t="shared" ref="BK41:BK62" si="20">IF(AP41="","",INDEX($BB$9:$BB$63,MATCH(BF41,$BE$9:$BE$62,0)))</f>
        <v>0</v>
      </c>
      <c r="BL41" s="17">
        <f>IF(BF41="","",IF(AND(BI40=BI41,BJ40=BJ41,BK40=BK41),BL40,$BL$9+32))</f>
        <v>26</v>
      </c>
      <c r="BN41" s="225"/>
      <c r="BO41" s="342">
        <f>IF(AND($K$5=33),1,IF(AND($K$5=34),2,IF(AND($K$5=35),3,IF(AND($K$5=36),4,IF(AND($K$5=37),5,IF(AND($K$5=38),6,IF(AND($K$5=39),7,IF(AND($K$5=40),8,IF(AND($K$5=41),9,IF(AND($K$5=42),10,IF(AND($K$5=43),11,IF(AND($K$5=44),12,IF(AND($K$5=45),13,IF(AND($K$5=46),14,IF(AND($K$5=47),15,IF(AND($K$5=48),16,IF(AND($K$5=49),17,IF(AND($K$5=50),18,IF(AND($K$5=51),19,IF(AND($K$5=52),20,IF(AND($K$5=53),21,IF(AND($K$5=54),22," "))))))))))))))))))))))</f>
        <v>16</v>
      </c>
    </row>
    <row r="42" spans="1:67" ht="18" customHeight="1" thickBot="1" x14ac:dyDescent="0.45">
      <c r="A42" s="18"/>
      <c r="B42" s="18"/>
      <c r="C42" s="18"/>
      <c r="D42" s="18"/>
      <c r="E42" s="18"/>
      <c r="F42" s="18"/>
      <c r="G42" s="18"/>
      <c r="I42" s="18"/>
      <c r="J42" s="18"/>
      <c r="K42" s="18"/>
      <c r="L42" s="18"/>
      <c r="Q42" s="18"/>
      <c r="R42" s="18"/>
      <c r="S42" s="18"/>
      <c r="T42" s="18"/>
      <c r="U42" s="18"/>
      <c r="Y42" s="20"/>
      <c r="Z42" s="59"/>
      <c r="AA42" s="199"/>
      <c r="AB42" s="59"/>
      <c r="AC42" s="59"/>
      <c r="AD42" s="199"/>
      <c r="AE42" s="59"/>
      <c r="AF42" s="199"/>
      <c r="AG42" s="59"/>
      <c r="AH42" s="59"/>
      <c r="AI42" s="199"/>
      <c r="AJ42" s="59"/>
      <c r="AK42" s="199"/>
      <c r="AL42" s="59"/>
      <c r="AM42" s="59"/>
      <c r="AN42" s="18"/>
      <c r="AO42" s="44">
        <v>34</v>
      </c>
      <c r="AP42" s="279" t="str">
        <f>+Inscrits!D18</f>
        <v>B16</v>
      </c>
      <c r="AQ42" s="247" t="str">
        <f t="shared" si="3"/>
        <v>0</v>
      </c>
      <c r="AR42" s="82" t="str">
        <f t="shared" si="4"/>
        <v>0</v>
      </c>
      <c r="AS42" s="184" t="str">
        <f t="shared" si="5"/>
        <v>0</v>
      </c>
      <c r="AT42" s="250" t="str">
        <f t="shared" si="6"/>
        <v>0</v>
      </c>
      <c r="AU42" s="82" t="str">
        <f t="shared" si="7"/>
        <v>0</v>
      </c>
      <c r="AV42" s="252" t="str">
        <f t="shared" si="8"/>
        <v>0</v>
      </c>
      <c r="AW42" s="247" t="str">
        <f t="shared" si="9"/>
        <v>0</v>
      </c>
      <c r="AX42" s="82" t="str">
        <f t="shared" si="10"/>
        <v>0</v>
      </c>
      <c r="AY42" s="252" t="str">
        <f t="shared" si="11"/>
        <v>0</v>
      </c>
      <c r="AZ42" s="247">
        <f t="shared" si="17"/>
        <v>0</v>
      </c>
      <c r="BA42" s="82">
        <f t="shared" si="12"/>
        <v>0</v>
      </c>
      <c r="BB42" s="252">
        <f t="shared" si="13"/>
        <v>0</v>
      </c>
      <c r="BC42" s="255">
        <f t="shared" si="14"/>
        <v>0</v>
      </c>
      <c r="BD42" s="7">
        <f t="shared" si="15"/>
        <v>0</v>
      </c>
      <c r="BE42" s="183">
        <f t="shared" si="16"/>
        <v>25.000000419999999</v>
      </c>
      <c r="BF42" s="82">
        <f>IF(AP42="","",SMALL(BE$9:BE$62,ROWS(AZ$9:AZ42)))</f>
        <v>25.000000230000001</v>
      </c>
      <c r="BG42"/>
      <c r="BH42" s="250" t="str">
        <f>IF(OR(AP42="",AZ42=""),"",INDEX($AP$9:$AP$63,MATCH(BF42,$BE$9:BE$62,0)))</f>
        <v>A15</v>
      </c>
      <c r="BI42" s="7">
        <f t="shared" si="18"/>
        <v>0</v>
      </c>
      <c r="BJ42" s="7">
        <f t="shared" si="19"/>
        <v>0</v>
      </c>
      <c r="BK42" s="7">
        <f t="shared" si="20"/>
        <v>0</v>
      </c>
      <c r="BL42" s="17">
        <f>IF(BF42="","",IF(AND(BI41=BI42,BJ41=BJ42,BK41=BK42),BL41,$BL$9+33))</f>
        <v>26</v>
      </c>
      <c r="BN42" s="225"/>
      <c r="BO42" s="342">
        <f>IF(AND($K$5=34),1,IF(AND($K$5=35),2,IF(AND($K$5=36),3,IF(AND($K$5=37),4,IF(AND($K$5=38),5,IF(AND($K$5=39),6,IF(AND($K$5=40),7,IF(AND($K$5=41),8,IF(AND($K$5=42),9,IF(AND($K$5=43),10,IF(AND($K$5=44),11,IF(AND($K$5=45),12,IF(AND($K$5=46),13,IF(AND($K$5=47),14,IF(AND($K$5=48),15,IF(AND($K$5=49),16,IF(AND($K$5=50),17,IF(AND($K$5=51),18,IF(AND($K$5=52),19,IF(AND($K$5=53),20,IF(AND($K$5=54),21," ")))))))))))))))))))))</f>
        <v>15</v>
      </c>
    </row>
    <row r="43" spans="1:67" ht="18" customHeight="1" x14ac:dyDescent="0.4">
      <c r="A43" s="18"/>
      <c r="B43" s="18"/>
      <c r="C43" s="18"/>
      <c r="D43" s="18"/>
      <c r="E43" s="18"/>
      <c r="F43" s="18"/>
      <c r="G43" s="18"/>
      <c r="I43" s="18"/>
      <c r="J43" s="18"/>
      <c r="K43" s="18"/>
      <c r="L43" s="18"/>
      <c r="Q43" s="18"/>
      <c r="R43" s="18"/>
      <c r="S43" s="18"/>
      <c r="T43" s="18"/>
      <c r="U43" s="18"/>
      <c r="Y43" s="382">
        <v>5</v>
      </c>
      <c r="Z43" s="9" t="str">
        <f>+O18</f>
        <v>A9</v>
      </c>
      <c r="AA43" s="25">
        <v>0</v>
      </c>
      <c r="AB43" s="38">
        <f>IF(AA43+AA47=0,0,IF(AA43=AA47,2,IF(AA43&gt;AA47,3,1)))</f>
        <v>0</v>
      </c>
      <c r="AC43" s="10">
        <f>AA43-AA47</f>
        <v>0</v>
      </c>
      <c r="AD43" s="19"/>
      <c r="AE43" s="9" t="str">
        <f>+R18</f>
        <v>A10</v>
      </c>
      <c r="AF43" s="107">
        <v>0</v>
      </c>
      <c r="AG43" s="38">
        <f>IF(AF43+AF47=0,0,IF(AF43=AF47,2,IF(AF43&gt;AF47,3,1)))</f>
        <v>0</v>
      </c>
      <c r="AH43" s="10">
        <f>AF43-AF47</f>
        <v>0</v>
      </c>
      <c r="AI43" s="19"/>
      <c r="AJ43" s="9" t="str">
        <f>+U18</f>
        <v>A11</v>
      </c>
      <c r="AK43" s="28">
        <v>0</v>
      </c>
      <c r="AL43" s="38">
        <f>IF(AK43+AK47=0,0,IF(AK43=AK47,2,IF(AK43&gt;AK47,3,1)))</f>
        <v>0</v>
      </c>
      <c r="AM43" s="10">
        <f>AK43-AK47</f>
        <v>0</v>
      </c>
      <c r="AN43" s="18"/>
      <c r="AO43" s="44">
        <v>35</v>
      </c>
      <c r="AP43" s="279" t="str">
        <f>+Inscrits!D19</f>
        <v>B17</v>
      </c>
      <c r="AQ43" s="247" t="str">
        <f t="shared" si="3"/>
        <v xml:space="preserve"> </v>
      </c>
      <c r="AR43" s="82" t="str">
        <f t="shared" si="4"/>
        <v xml:space="preserve"> </v>
      </c>
      <c r="AS43" s="184" t="str">
        <f t="shared" si="5"/>
        <v xml:space="preserve"> </v>
      </c>
      <c r="AT43" s="250" t="str">
        <f t="shared" si="6"/>
        <v xml:space="preserve"> </v>
      </c>
      <c r="AU43" s="82" t="str">
        <f t="shared" si="7"/>
        <v xml:space="preserve"> </v>
      </c>
      <c r="AV43" s="252" t="str">
        <f t="shared" si="8"/>
        <v xml:space="preserve"> </v>
      </c>
      <c r="AW43" s="247" t="str">
        <f t="shared" si="9"/>
        <v xml:space="preserve"> </v>
      </c>
      <c r="AX43" s="82" t="str">
        <f t="shared" si="10"/>
        <v xml:space="preserve"> </v>
      </c>
      <c r="AY43" s="252" t="str">
        <f t="shared" si="11"/>
        <v xml:space="preserve"> </v>
      </c>
      <c r="AZ43" s="247">
        <f t="shared" si="17"/>
        <v>0</v>
      </c>
      <c r="BA43" s="82">
        <f t="shared" si="12"/>
        <v>0</v>
      </c>
      <c r="BB43" s="252">
        <f t="shared" si="13"/>
        <v>0</v>
      </c>
      <c r="BC43" s="255">
        <f t="shared" si="14"/>
        <v>0</v>
      </c>
      <c r="BD43" s="7">
        <f t="shared" si="15"/>
        <v>0</v>
      </c>
      <c r="BE43" s="183">
        <f t="shared" si="16"/>
        <v>25.00000043</v>
      </c>
      <c r="BF43" s="82">
        <f>IF(AP43="","",SMALL(BE$9:BE$62,ROWS(AZ$9:AZ43)))</f>
        <v>25.000000239999999</v>
      </c>
      <c r="BG43"/>
      <c r="BH43" s="250" t="str">
        <f>IF(OR(AP43="",AZ43=""),"",INDEX($AP$9:$AP$63,MATCH(BF43,$BE$9:BE$62,0)))</f>
        <v>A16</v>
      </c>
      <c r="BI43" s="7">
        <f t="shared" si="18"/>
        <v>0</v>
      </c>
      <c r="BJ43" s="7">
        <f t="shared" si="19"/>
        <v>0</v>
      </c>
      <c r="BK43" s="7">
        <f t="shared" si="20"/>
        <v>0</v>
      </c>
      <c r="BL43" s="17">
        <f>IF(BF43="","",IF(AND(BI42=BI43,BJ42=BJ43,BK42=BK43),BL42,$BL$9+34))</f>
        <v>26</v>
      </c>
      <c r="BN43" s="225"/>
      <c r="BO43" s="342">
        <f>IF(AND($K$5=35),1,IF(AND($K$5=36),2,IF(AND($K$5=37),3,IF(AND($K$5=38),4,IF(AND($K$5=39),5,IF(AND($K$5=40),6,IF(AND($K$5=41),7,IF(AND($K$5=42),8,IF(AND($K$5=43),9,IF(AND($K$5=44),10,IF(AND($K$5=45),11,IF(AND($K$5=46),12,IF(AND($K$5=47),13,IF(AND($K$5=48),14,IF(AND($K$5=49),15,IF(AND($K$5=50),16,IF(AND($K$5=51),17,IF(AND($K$5=52),18,IF(AND($K$5=53),19,IF(AND($K$5=54),20," "))))))))))))))))))))</f>
        <v>14</v>
      </c>
    </row>
    <row r="44" spans="1:67" ht="18" customHeight="1" thickBot="1" x14ac:dyDescent="0.45">
      <c r="A44" s="18"/>
      <c r="B44" s="18"/>
      <c r="C44" s="18"/>
      <c r="D44" s="18"/>
      <c r="E44" s="18"/>
      <c r="F44" s="18"/>
      <c r="G44" s="18"/>
      <c r="I44" s="18"/>
      <c r="J44" s="18"/>
      <c r="K44" s="18"/>
      <c r="L44" s="18"/>
      <c r="Q44" s="18"/>
      <c r="R44" s="18"/>
      <c r="S44" s="18"/>
      <c r="T44" s="18"/>
      <c r="U44" s="18"/>
      <c r="Y44" s="383"/>
      <c r="Z44" s="11" t="str">
        <f>+P18</f>
        <v>B9</v>
      </c>
      <c r="AA44" s="14">
        <f>IF(ISTEXT(Z44),AA43,0)</f>
        <v>0</v>
      </c>
      <c r="AB44" s="14">
        <f>IF(ISTEXT(Z44),AB43,0)</f>
        <v>0</v>
      </c>
      <c r="AC44" s="15">
        <f>IF(ISTEXT(Z44),AC43,0)</f>
        <v>0</v>
      </c>
      <c r="AD44" s="6"/>
      <c r="AE44" s="11" t="str">
        <f>+S18</f>
        <v>B11</v>
      </c>
      <c r="AF44" s="14">
        <v>5</v>
      </c>
      <c r="AG44" s="48">
        <f>IF(ISTEXT(AE44),AG43,0)</f>
        <v>0</v>
      </c>
      <c r="AH44" s="15">
        <f>IF(ISTEXT(AE44),AH43,0)</f>
        <v>0</v>
      </c>
      <c r="AI44" s="6"/>
      <c r="AJ44" s="11" t="str">
        <f>+V18</f>
        <v>B13</v>
      </c>
      <c r="AK44" s="14">
        <f>IF(ISTEXT(AJ44),AK43,0)</f>
        <v>0</v>
      </c>
      <c r="AL44" s="48">
        <f>IF(ISTEXT(AJ44),AL43,0)</f>
        <v>0</v>
      </c>
      <c r="AM44" s="15">
        <f>IF(ISTEXT(AJ44),AM43,0)</f>
        <v>0</v>
      </c>
      <c r="AN44" s="18"/>
      <c r="AO44" s="44">
        <v>36</v>
      </c>
      <c r="AP44" s="279" t="str">
        <f>+Inscrits!D20</f>
        <v>B18</v>
      </c>
      <c r="AQ44" s="247" t="str">
        <f t="shared" si="3"/>
        <v xml:space="preserve"> </v>
      </c>
      <c r="AR44" s="82" t="str">
        <f t="shared" si="4"/>
        <v xml:space="preserve"> </v>
      </c>
      <c r="AS44" s="184" t="str">
        <f t="shared" si="5"/>
        <v xml:space="preserve"> </v>
      </c>
      <c r="AT44" s="250" t="str">
        <f t="shared" si="6"/>
        <v xml:space="preserve"> </v>
      </c>
      <c r="AU44" s="82" t="str">
        <f t="shared" si="7"/>
        <v xml:space="preserve"> </v>
      </c>
      <c r="AV44" s="252" t="str">
        <f t="shared" si="8"/>
        <v xml:space="preserve"> </v>
      </c>
      <c r="AW44" s="247" t="str">
        <f t="shared" si="9"/>
        <v xml:space="preserve"> </v>
      </c>
      <c r="AX44" s="82" t="str">
        <f t="shared" si="10"/>
        <v xml:space="preserve"> </v>
      </c>
      <c r="AY44" s="252" t="str">
        <f t="shared" si="11"/>
        <v xml:space="preserve"> </v>
      </c>
      <c r="AZ44" s="247">
        <f t="shared" si="17"/>
        <v>0</v>
      </c>
      <c r="BA44" s="82">
        <f t="shared" si="12"/>
        <v>0</v>
      </c>
      <c r="BB44" s="252">
        <f t="shared" si="13"/>
        <v>0</v>
      </c>
      <c r="BC44" s="255">
        <f t="shared" si="14"/>
        <v>0</v>
      </c>
      <c r="BD44" s="7">
        <f t="shared" si="15"/>
        <v>0</v>
      </c>
      <c r="BE44" s="183">
        <f t="shared" si="16"/>
        <v>25.000000440000001</v>
      </c>
      <c r="BF44" s="82">
        <f>IF(AP44="","",SMALL(BE$9:BE$62,ROWS(AZ$9:AZ44)))</f>
        <v>25.000000249999999</v>
      </c>
      <c r="BG44"/>
      <c r="BH44" s="250" t="str">
        <f>IF(OR(AP44="",AZ44=""),"",INDEX($AP$9:$AP$63,MATCH(BF44,$BE$9:BE$62,0)))</f>
        <v>A17</v>
      </c>
      <c r="BI44" s="7">
        <f t="shared" si="18"/>
        <v>0</v>
      </c>
      <c r="BJ44" s="7">
        <f t="shared" si="19"/>
        <v>0</v>
      </c>
      <c r="BK44" s="7">
        <f t="shared" si="20"/>
        <v>0</v>
      </c>
      <c r="BL44" s="17">
        <f>IF(BF44="","",IF(AND(BI43=BI44,BJ43=BJ44,BK43=BK44),BL43,$BL$9+35))</f>
        <v>26</v>
      </c>
      <c r="BN44" s="225"/>
      <c r="BO44" s="342">
        <f>IF(AND($K$5=36),1,IF(AND($K$5=37),2,IF(AND($K$5=38),3,IF(AND($K$5=39),4,IF(AND($K$5=40),5,IF(AND($K$5=41),6,IF(AND($K$5=42),7,IF(AND($K$5=43),8,IF(AND($K$5=44),9,IF(AND($K$5=45),10,IF(AND($K$5=46),11,IF(AND($K$5=47),12,IF(AND($K$5=48),13,IF(AND($K$5=49),14,IF(AND($K$5=50),15,IF(AND($K$5=51),16,IF(AND($K$5=52),17,IF(AND($K$5=53),18,IF(AND($K$5=54),19," ")))))))))))))))))))</f>
        <v>13</v>
      </c>
    </row>
    <row r="45" spans="1:67" ht="18" customHeight="1" x14ac:dyDescent="0.4">
      <c r="A45" s="18"/>
      <c r="B45" s="18"/>
      <c r="C45" s="18"/>
      <c r="D45" s="18"/>
      <c r="E45" s="18"/>
      <c r="F45" s="18"/>
      <c r="G45" s="18"/>
      <c r="I45" s="18"/>
      <c r="J45" s="18"/>
      <c r="K45" s="18"/>
      <c r="L45" s="18"/>
      <c r="Q45" s="18"/>
      <c r="R45" s="18"/>
      <c r="S45" s="18"/>
      <c r="T45" s="18"/>
      <c r="U45" s="18"/>
      <c r="Y45" s="383"/>
      <c r="Z45" s="11" t="str">
        <f>+Q18</f>
        <v>C9</v>
      </c>
      <c r="AA45" s="55">
        <f>IF(ISTEXT(Z45),AA43,0)</f>
        <v>0</v>
      </c>
      <c r="AB45" s="55">
        <f>IF(ISTEXT(Z45),AB43,0)</f>
        <v>0</v>
      </c>
      <c r="AC45" s="56">
        <f>IF(ISTEXT(Z45),AC43,0)</f>
        <v>0</v>
      </c>
      <c r="AD45" s="6"/>
      <c r="AE45" s="11" t="str">
        <f>+T18</f>
        <v>C12</v>
      </c>
      <c r="AF45" s="55">
        <f>IF(ISTEXT(AE45),AF43,0)</f>
        <v>0</v>
      </c>
      <c r="AG45" s="52">
        <f>IF(ISTEXT(AE45),AG43,0)</f>
        <v>0</v>
      </c>
      <c r="AH45" s="56">
        <f>IF(ISTEXT(AE45),AH43,0)</f>
        <v>0</v>
      </c>
      <c r="AI45" s="6"/>
      <c r="AJ45" s="11" t="str">
        <f>+W18</f>
        <v>C15</v>
      </c>
      <c r="AK45" s="55">
        <f>IF(ISTEXT(AJ45),AK43,0)</f>
        <v>0</v>
      </c>
      <c r="AL45" s="52">
        <f>IF(ISTEXT(AJ45),AL43,0)</f>
        <v>0</v>
      </c>
      <c r="AM45" s="56">
        <f>IF(ISTEXT(AJ45),AM43,0)</f>
        <v>0</v>
      </c>
      <c r="AN45" s="18"/>
      <c r="AO45" s="44">
        <v>37</v>
      </c>
      <c r="AP45" s="5" t="str">
        <f>+Inscrits!F3</f>
        <v>C1</v>
      </c>
      <c r="AQ45" s="247">
        <f t="shared" si="3"/>
        <v>1</v>
      </c>
      <c r="AR45" s="82">
        <f t="shared" si="4"/>
        <v>-1</v>
      </c>
      <c r="AS45" s="184">
        <f t="shared" si="5"/>
        <v>5</v>
      </c>
      <c r="AT45" s="250" t="str">
        <f t="shared" si="6"/>
        <v>0</v>
      </c>
      <c r="AU45" s="82" t="str">
        <f t="shared" si="7"/>
        <v>0</v>
      </c>
      <c r="AV45" s="252" t="str">
        <f t="shared" si="8"/>
        <v>0</v>
      </c>
      <c r="AW45" s="247" t="str">
        <f t="shared" si="9"/>
        <v>0</v>
      </c>
      <c r="AX45" s="82" t="str">
        <f t="shared" si="10"/>
        <v>0</v>
      </c>
      <c r="AY45" s="252" t="str">
        <f t="shared" si="11"/>
        <v>0</v>
      </c>
      <c r="AZ45" s="247">
        <f t="shared" si="17"/>
        <v>1</v>
      </c>
      <c r="BA45" s="82">
        <f t="shared" si="12"/>
        <v>-1</v>
      </c>
      <c r="BB45" s="252">
        <f t="shared" si="13"/>
        <v>5</v>
      </c>
      <c r="BC45" s="255">
        <f t="shared" si="14"/>
        <v>-1</v>
      </c>
      <c r="BD45" s="7">
        <f t="shared" si="15"/>
        <v>0</v>
      </c>
      <c r="BE45" s="183">
        <f t="shared" si="16"/>
        <v>18.009500450000004</v>
      </c>
      <c r="BF45" s="82">
        <f>IF(AP45="","",SMALL(BE$9:BE$62,ROWS(AZ$9:AZ45)))</f>
        <v>25.00000026</v>
      </c>
      <c r="BG45"/>
      <c r="BH45" s="250" t="str">
        <f>IF(OR(AP45="",AZ45=""),"",INDEX($AP$9:$AP$63,MATCH(BF45,$BE$9:BE$62,0)))</f>
        <v>A18</v>
      </c>
      <c r="BI45" s="7">
        <f t="shared" si="18"/>
        <v>0</v>
      </c>
      <c r="BJ45" s="7">
        <f t="shared" si="19"/>
        <v>0</v>
      </c>
      <c r="BK45" s="7">
        <f t="shared" si="20"/>
        <v>0</v>
      </c>
      <c r="BL45" s="17">
        <f>IF(BF45="","",IF(AND(BI44=BI45,BJ44=BJ45,BK44=BK45),BL44,$BL$9+36))</f>
        <v>26</v>
      </c>
      <c r="BN45" s="225"/>
      <c r="BO45" s="342">
        <f>IF(AND($K$5=37),1,IF(AND($K$5=38),2,IF(AND($K$5=39),3,IF(AND($K$5=40),4,IF(AND($K$5=41),5,IF(AND($K$5=42),6,IF(AND($K$5=43),7,IF(AND($K$5=44),8,IF(AND($K$5=45),9,IF(AND($K$5=46),10,IF(AND($K$5=47),11,IF(AND($K$5=48),12,IF(AND($K$5=49),13,IF(AND($K$5=50),14,IF(AND($K$5=51),15,IF(AND($K$5=52),16,IF(AND($K$5=53),17,IF(AND($K$5=54),18," "))))))))))))))))))</f>
        <v>12</v>
      </c>
    </row>
    <row r="46" spans="1:67" ht="18" customHeight="1" x14ac:dyDescent="0.4">
      <c r="A46" s="18"/>
      <c r="B46" s="18"/>
      <c r="C46" s="18"/>
      <c r="D46" s="18"/>
      <c r="E46" s="18"/>
      <c r="F46" s="18"/>
      <c r="G46" s="18"/>
      <c r="I46" s="18"/>
      <c r="J46" s="18"/>
      <c r="K46" s="18"/>
      <c r="L46" s="18"/>
      <c r="Q46" s="18"/>
      <c r="R46" s="18"/>
      <c r="S46" s="18"/>
      <c r="T46" s="18"/>
      <c r="U46" s="18"/>
      <c r="Y46" s="383"/>
      <c r="Z46" s="24"/>
      <c r="AA46" s="195" t="s">
        <v>5</v>
      </c>
      <c r="AB46" s="16"/>
      <c r="AC46" s="17"/>
      <c r="AD46" s="20"/>
      <c r="AE46" s="24"/>
      <c r="AF46" s="195" t="s">
        <v>5</v>
      </c>
      <c r="AG46" s="16"/>
      <c r="AH46" s="17"/>
      <c r="AI46" s="20"/>
      <c r="AJ46" s="24"/>
      <c r="AK46" s="195" t="s">
        <v>5</v>
      </c>
      <c r="AL46" s="16"/>
      <c r="AM46" s="17"/>
      <c r="AN46" s="18"/>
      <c r="AO46" s="44">
        <v>38</v>
      </c>
      <c r="AP46" s="5" t="str">
        <f>+Inscrits!F4</f>
        <v>C2</v>
      </c>
      <c r="AQ46" s="247">
        <f t="shared" si="3"/>
        <v>3</v>
      </c>
      <c r="AR46" s="82">
        <f t="shared" si="4"/>
        <v>1</v>
      </c>
      <c r="AS46" s="184">
        <f t="shared" si="5"/>
        <v>6</v>
      </c>
      <c r="AT46" s="250" t="str">
        <f t="shared" si="6"/>
        <v>0</v>
      </c>
      <c r="AU46" s="82" t="str">
        <f t="shared" si="7"/>
        <v>0</v>
      </c>
      <c r="AV46" s="252" t="str">
        <f t="shared" si="8"/>
        <v>0</v>
      </c>
      <c r="AW46" s="247" t="str">
        <f t="shared" si="9"/>
        <v>0</v>
      </c>
      <c r="AX46" s="82" t="str">
        <f t="shared" si="10"/>
        <v>0</v>
      </c>
      <c r="AY46" s="252" t="str">
        <f t="shared" si="11"/>
        <v>0</v>
      </c>
      <c r="AZ46" s="247">
        <f t="shared" si="17"/>
        <v>3</v>
      </c>
      <c r="BA46" s="82">
        <f t="shared" si="12"/>
        <v>1</v>
      </c>
      <c r="BB46" s="252">
        <f t="shared" si="13"/>
        <v>6</v>
      </c>
      <c r="BC46" s="255">
        <f t="shared" si="14"/>
        <v>0</v>
      </c>
      <c r="BD46" s="7">
        <f t="shared" si="15"/>
        <v>1</v>
      </c>
      <c r="BE46" s="183">
        <f t="shared" si="16"/>
        <v>8.9894004600000006</v>
      </c>
      <c r="BF46" s="82">
        <f>IF(AP46="","",SMALL(BE$9:BE$62,ROWS(AZ$9:AZ46)))</f>
        <v>25.000000350000001</v>
      </c>
      <c r="BG46"/>
      <c r="BH46" s="250" t="str">
        <f>IF(OR(AP46="",AZ46=""),"",INDEX($AP$9:$AP$63,MATCH(BF46,$BE$9:BE$62,0)))</f>
        <v>B9</v>
      </c>
      <c r="BI46" s="7">
        <f t="shared" si="18"/>
        <v>0</v>
      </c>
      <c r="BJ46" s="7">
        <f t="shared" si="19"/>
        <v>0</v>
      </c>
      <c r="BK46" s="7">
        <f t="shared" si="20"/>
        <v>0</v>
      </c>
      <c r="BL46" s="17">
        <f>IF(BF46="","",IF(AND(BI45=BI46,BJ45=BJ46,BK45=BK46),BL45,$BL$9+37))</f>
        <v>26</v>
      </c>
      <c r="BN46" s="225"/>
      <c r="BO46" s="342">
        <f>IF(AND($K$5=38),1,IF(AND($K$5=39),2,IF(AND($K$5=40),3,IF(AND($K$5=41),4,IF(AND($K$5=42),5,IF(AND($K$5=43),6,IF(AND($K$5=44),7,IF(AND($K$5=45),8,IF(AND($K$5=46),9,IF(AND($K$5=47),10,IF(AND($K$5=48),11,IF(AND($K$5=49),12,IF(AND($K$5=50),13,IF(AND($K$5=51),14,IF(AND($K$5=52),15,IF(AND($K$5=53),16,IF(AND($K$5=54),17," ")))))))))))))))))</f>
        <v>11</v>
      </c>
    </row>
    <row r="47" spans="1:67" ht="18" customHeight="1" x14ac:dyDescent="0.4">
      <c r="A47" s="18"/>
      <c r="B47" s="18"/>
      <c r="C47" s="18"/>
      <c r="D47" s="18"/>
      <c r="E47" s="18"/>
      <c r="F47" s="18"/>
      <c r="G47" s="18"/>
      <c r="I47" s="18"/>
      <c r="J47" s="18"/>
      <c r="K47" s="18"/>
      <c r="L47" s="18"/>
      <c r="Q47" s="18"/>
      <c r="R47" s="18"/>
      <c r="S47" s="18"/>
      <c r="T47" s="18"/>
      <c r="U47" s="18"/>
      <c r="Y47" s="383"/>
      <c r="Z47" s="11" t="str">
        <f>+O19</f>
        <v>A10</v>
      </c>
      <c r="AA47" s="27">
        <v>0</v>
      </c>
      <c r="AB47" s="23">
        <f>IF(AA43+AA47=0,0,IF(AA43=AA47,2,IF(AA43&lt;AA47,3,1)))</f>
        <v>0</v>
      </c>
      <c r="AC47" s="12">
        <f>AA47-AA43</f>
        <v>0</v>
      </c>
      <c r="AD47" s="19"/>
      <c r="AE47" s="11" t="str">
        <f>+R19</f>
        <v>A11</v>
      </c>
      <c r="AF47" s="108">
        <v>0</v>
      </c>
      <c r="AG47" s="23">
        <f>IF(AF43+AF47=0,0,IF(AF43=AF47,2,IF(AF43&lt;AF47,3,1)))</f>
        <v>0</v>
      </c>
      <c r="AH47" s="12">
        <f>AF47-AF43</f>
        <v>0</v>
      </c>
      <c r="AI47" s="19"/>
      <c r="AJ47" s="11" t="str">
        <f>+U19</f>
        <v>A12</v>
      </c>
      <c r="AK47" s="29">
        <v>0</v>
      </c>
      <c r="AL47" s="23">
        <f>IF(AK43+AK47=0,0,IF(AK43=AK47,2,IF(AK43&lt;AK47,3,1)))</f>
        <v>0</v>
      </c>
      <c r="AM47" s="12">
        <f>AK47-AK43</f>
        <v>0</v>
      </c>
      <c r="AN47" s="18"/>
      <c r="AO47" s="44">
        <v>39</v>
      </c>
      <c r="AP47" s="5" t="str">
        <f>+Inscrits!F5</f>
        <v>C3</v>
      </c>
      <c r="AQ47" s="247">
        <f t="shared" si="3"/>
        <v>3</v>
      </c>
      <c r="AR47" s="82">
        <f t="shared" si="4"/>
        <v>6</v>
      </c>
      <c r="AS47" s="184">
        <f t="shared" si="5"/>
        <v>12</v>
      </c>
      <c r="AT47" s="250" t="str">
        <f t="shared" si="6"/>
        <v>0</v>
      </c>
      <c r="AU47" s="82" t="str">
        <f t="shared" si="7"/>
        <v>0</v>
      </c>
      <c r="AV47" s="252" t="str">
        <f t="shared" si="8"/>
        <v>0</v>
      </c>
      <c r="AW47" s="247" t="str">
        <f t="shared" si="9"/>
        <v>0</v>
      </c>
      <c r="AX47" s="82" t="str">
        <f t="shared" si="10"/>
        <v>0</v>
      </c>
      <c r="AY47" s="252" t="str">
        <f t="shared" si="11"/>
        <v>0</v>
      </c>
      <c r="AZ47" s="247">
        <f t="shared" si="17"/>
        <v>3</v>
      </c>
      <c r="BA47" s="82">
        <f t="shared" si="12"/>
        <v>6</v>
      </c>
      <c r="BB47" s="252">
        <f t="shared" si="13"/>
        <v>12</v>
      </c>
      <c r="BC47" s="255">
        <f t="shared" si="14"/>
        <v>0</v>
      </c>
      <c r="BD47" s="7">
        <f t="shared" si="15"/>
        <v>6</v>
      </c>
      <c r="BE47" s="183">
        <f t="shared" si="16"/>
        <v>8.9388004699999986</v>
      </c>
      <c r="BF47" s="82">
        <f>IF(AP47="","",SMALL(BE$9:BE$62,ROWS(AZ$9:AZ47)))</f>
        <v>25.000000360000001</v>
      </c>
      <c r="BG47"/>
      <c r="BH47" s="250" t="str">
        <f>IF(OR(AP47="",AZ47=""),"",INDEX($AP$9:$AP$63,MATCH(BF47,$BE$9:BE$62,0)))</f>
        <v>B10</v>
      </c>
      <c r="BI47" s="7">
        <f t="shared" si="18"/>
        <v>0</v>
      </c>
      <c r="BJ47" s="7">
        <f t="shared" si="19"/>
        <v>0</v>
      </c>
      <c r="BK47" s="7">
        <f t="shared" si="20"/>
        <v>0</v>
      </c>
      <c r="BL47" s="17">
        <f>IF(BF47="","",IF(AND(BI46=BI47,BJ46=BJ47,BK46=BK47),BL46,$BL$9+38))</f>
        <v>26</v>
      </c>
      <c r="BN47" s="225"/>
      <c r="BO47" s="342">
        <f>IF(AND($K$5=39),1,IF(AND($K$5=40),2,IF(AND($K$5=41),3,IF(AND($K$5=42),4,IF(AND($K$5=43),5,IF(AND($K$5=44),6,IF(AND($K$5=45),7,IF(AND($K$5=46),8,IF(AND($K$5=47),9,IF(AND($K$5=48),10,IF(AND($K$5=49),11,IF(AND($K$5=50),12,IF(AND($K$5=51),13,IF(AND($K$5=52),14,IF(AND($K$5=53),15,IF(AND($K$5=54),16," "))))))))))))))))</f>
        <v>10</v>
      </c>
    </row>
    <row r="48" spans="1:67" ht="18" customHeight="1" thickBot="1" x14ac:dyDescent="0.45">
      <c r="A48" s="18"/>
      <c r="B48" s="18"/>
      <c r="C48" s="18"/>
      <c r="D48" s="18"/>
      <c r="E48" s="18"/>
      <c r="F48" s="18"/>
      <c r="G48" s="18"/>
      <c r="I48" s="18"/>
      <c r="J48" s="18"/>
      <c r="K48" s="18"/>
      <c r="L48" s="18"/>
      <c r="Q48" s="18"/>
      <c r="R48" s="18"/>
      <c r="S48" s="18"/>
      <c r="T48" s="18"/>
      <c r="U48" s="18"/>
      <c r="Y48" s="383"/>
      <c r="Z48" s="11" t="str">
        <f>+P19</f>
        <v>B10</v>
      </c>
      <c r="AA48" s="14">
        <f>IF(ISTEXT(Z48),AA47,0)</f>
        <v>0</v>
      </c>
      <c r="AB48" s="14">
        <f>IF(ISTEXT(Z48),AB47,0)</f>
        <v>0</v>
      </c>
      <c r="AC48" s="15">
        <f>IF(ISTEXT(Z48),AC47,0)</f>
        <v>0</v>
      </c>
      <c r="AD48" s="6"/>
      <c r="AE48" s="11" t="str">
        <f>+S19</f>
        <v>B12</v>
      </c>
      <c r="AF48" s="14">
        <f>IF(ISTEXT(AE48),AF47,0)</f>
        <v>0</v>
      </c>
      <c r="AG48" s="14">
        <f>IF(ISTEXT(AE48),AG47,0)</f>
        <v>0</v>
      </c>
      <c r="AH48" s="15">
        <f>IF(ISTEXT(AE48),AH47,0)</f>
        <v>0</v>
      </c>
      <c r="AI48" s="6"/>
      <c r="AJ48" s="11" t="str">
        <f>+V19</f>
        <v>B14</v>
      </c>
      <c r="AK48" s="14">
        <f>IF(ISTEXT(AJ48),AK47,0)</f>
        <v>0</v>
      </c>
      <c r="AL48" s="14">
        <f>IF(ISTEXT(AJ48),AL47,0)</f>
        <v>0</v>
      </c>
      <c r="AM48" s="15">
        <f>IF(ISTEXT(AJ48),AM47,0)</f>
        <v>0</v>
      </c>
      <c r="AN48" s="18"/>
      <c r="AO48" s="44">
        <v>40</v>
      </c>
      <c r="AP48" s="5" t="str">
        <f>+Inscrits!F6</f>
        <v>C4</v>
      </c>
      <c r="AQ48" s="247">
        <f t="shared" si="3"/>
        <v>1</v>
      </c>
      <c r="AR48" s="82">
        <f t="shared" si="4"/>
        <v>-6</v>
      </c>
      <c r="AS48" s="184">
        <f t="shared" si="5"/>
        <v>6</v>
      </c>
      <c r="AT48" s="250">
        <f t="shared" si="6"/>
        <v>1</v>
      </c>
      <c r="AU48" s="82">
        <f t="shared" si="7"/>
        <v>-5</v>
      </c>
      <c r="AV48" s="252">
        <f t="shared" si="8"/>
        <v>5</v>
      </c>
      <c r="AW48" s="247" t="str">
        <f t="shared" si="9"/>
        <v>0</v>
      </c>
      <c r="AX48" s="82" t="str">
        <f t="shared" si="10"/>
        <v>0</v>
      </c>
      <c r="AY48" s="252" t="str">
        <f t="shared" si="11"/>
        <v>0</v>
      </c>
      <c r="AZ48" s="247">
        <f t="shared" si="17"/>
        <v>2</v>
      </c>
      <c r="BA48" s="82">
        <f t="shared" si="12"/>
        <v>-11</v>
      </c>
      <c r="BB48" s="252">
        <f t="shared" si="13"/>
        <v>11</v>
      </c>
      <c r="BC48" s="255">
        <f t="shared" si="14"/>
        <v>-11</v>
      </c>
      <c r="BD48" s="7">
        <f t="shared" si="15"/>
        <v>0</v>
      </c>
      <c r="BE48" s="183">
        <f t="shared" si="16"/>
        <v>16.108900479999999</v>
      </c>
      <c r="BF48" s="82">
        <f>IF(AP48="","",SMALL(BE$9:BE$62,ROWS(AZ$9:AZ48)))</f>
        <v>25.000000379999999</v>
      </c>
      <c r="BG48"/>
      <c r="BH48" s="250" t="str">
        <f>IF(OR(AP48="",AZ48=""),"",INDEX($AP$9:$AP$63,MATCH(BF48,$BE$9:BE$62,0)))</f>
        <v>B12</v>
      </c>
      <c r="BI48" s="7">
        <f t="shared" si="18"/>
        <v>0</v>
      </c>
      <c r="BJ48" s="7">
        <f t="shared" si="19"/>
        <v>0</v>
      </c>
      <c r="BK48" s="7">
        <f t="shared" si="20"/>
        <v>0</v>
      </c>
      <c r="BL48" s="17">
        <f>IF(BF48="","",IF(AND(BI47=BI48,BJ47=BJ48,BK47=BK48),BL47,$BL$9+39))</f>
        <v>26</v>
      </c>
      <c r="BN48" s="225"/>
      <c r="BO48" s="342">
        <f>IF(AND($K$5=40),1,IF(AND($K$5=41),2,IF(AND($K$5=42),3,IF(AND($K$5=43),4,IF(AND($K$5=44),5,IF(AND($K$5=45),6,IF(AND($K$5=46),7,IF(AND($K$5=47),8,IF(AND($K$5=48),9,IF(AND($K$5=49),10,IF(AND($K$5=50),11,IF(AND($K$5=51),12,IF(AND($K$5=52),13,IF(AND($K$5=53),14,IF(AND($K$5=54),15," ")))))))))))))))</f>
        <v>9</v>
      </c>
    </row>
    <row r="49" spans="1:67" ht="18" customHeight="1" thickBot="1" x14ac:dyDescent="0.45">
      <c r="A49" s="18"/>
      <c r="B49" s="18"/>
      <c r="C49" s="18"/>
      <c r="D49" s="18"/>
      <c r="E49" s="18"/>
      <c r="F49" s="18"/>
      <c r="G49" s="18"/>
      <c r="I49" s="18"/>
      <c r="J49" s="18"/>
      <c r="K49" s="18"/>
      <c r="L49" s="18"/>
      <c r="Q49" s="18"/>
      <c r="R49" s="18"/>
      <c r="S49" s="18"/>
      <c r="T49" s="18"/>
      <c r="U49" s="18"/>
      <c r="Y49" s="384"/>
      <c r="Z49" s="13" t="str">
        <f>+Q19</f>
        <v>C10</v>
      </c>
      <c r="AA49" s="14">
        <f>IF(ISTEXT(Z49),AA47,0)</f>
        <v>0</v>
      </c>
      <c r="AB49" s="14">
        <f>IF(ISTEXT(Z49),AB47,0)</f>
        <v>0</v>
      </c>
      <c r="AC49" s="15">
        <f>IF(ISTEXT(Z49),AC47,0)</f>
        <v>0</v>
      </c>
      <c r="AD49" s="6"/>
      <c r="AE49" s="13" t="str">
        <f>+T19</f>
        <v>C13</v>
      </c>
      <c r="AF49" s="14">
        <f>IF(ISTEXT(AE49),AF47,0)</f>
        <v>0</v>
      </c>
      <c r="AG49" s="14">
        <f>IF(ISTEXT(AE49),AG47,0)</f>
        <v>0</v>
      </c>
      <c r="AH49" s="15">
        <f>IF(ISTEXT(AE49),AH47,0)</f>
        <v>0</v>
      </c>
      <c r="AI49" s="6"/>
      <c r="AJ49" s="13" t="str">
        <f>+W19</f>
        <v>C16</v>
      </c>
      <c r="AK49" s="14">
        <f>IF(ISTEXT(AJ49),AK47,0)</f>
        <v>0</v>
      </c>
      <c r="AL49" s="14">
        <f>IF(ISTEXT(AJ49),AL47,0)</f>
        <v>0</v>
      </c>
      <c r="AM49" s="15">
        <f>IF(ISTEXT(AJ49),AM47,0)</f>
        <v>0</v>
      </c>
      <c r="AN49" s="18"/>
      <c r="AO49" s="44">
        <v>41</v>
      </c>
      <c r="AP49" s="5" t="str">
        <f>+Inscrits!F7</f>
        <v>C5</v>
      </c>
      <c r="AQ49" s="247" t="str">
        <f t="shared" si="3"/>
        <v>0</v>
      </c>
      <c r="AR49" s="82" t="str">
        <f t="shared" si="4"/>
        <v>0</v>
      </c>
      <c r="AS49" s="184" t="str">
        <f t="shared" si="5"/>
        <v>0</v>
      </c>
      <c r="AT49" s="250">
        <f t="shared" si="6"/>
        <v>3</v>
      </c>
      <c r="AU49" s="82">
        <f t="shared" si="7"/>
        <v>5</v>
      </c>
      <c r="AV49" s="252">
        <f t="shared" si="8"/>
        <v>10</v>
      </c>
      <c r="AW49" s="247" t="str">
        <f t="shared" si="9"/>
        <v>0</v>
      </c>
      <c r="AX49" s="82" t="str">
        <f t="shared" si="10"/>
        <v>0</v>
      </c>
      <c r="AY49" s="252" t="str">
        <f t="shared" si="11"/>
        <v>0</v>
      </c>
      <c r="AZ49" s="247">
        <f t="shared" si="17"/>
        <v>3</v>
      </c>
      <c r="BA49" s="82">
        <f t="shared" si="12"/>
        <v>5</v>
      </c>
      <c r="BB49" s="252">
        <f t="shared" si="13"/>
        <v>10</v>
      </c>
      <c r="BC49" s="255">
        <f t="shared" si="14"/>
        <v>0</v>
      </c>
      <c r="BD49" s="7">
        <f t="shared" si="15"/>
        <v>5</v>
      </c>
      <c r="BE49" s="183">
        <f t="shared" si="16"/>
        <v>8.9490004899999995</v>
      </c>
      <c r="BF49" s="82">
        <f>IF(AP49="","",SMALL(BE$9:BE$62,ROWS(AZ$9:AZ49)))</f>
        <v>25.00000039</v>
      </c>
      <c r="BG49"/>
      <c r="BH49" s="250" t="str">
        <f>IF(OR(AP49="",AZ49=""),"",INDEX($AP$9:$AP$63,MATCH(BF49,$BE$9:BE$62,0)))</f>
        <v>B13</v>
      </c>
      <c r="BI49" s="7">
        <f t="shared" si="18"/>
        <v>0</v>
      </c>
      <c r="BJ49" s="7">
        <f t="shared" si="19"/>
        <v>0</v>
      </c>
      <c r="BK49" s="7">
        <f t="shared" si="20"/>
        <v>0</v>
      </c>
      <c r="BL49" s="17">
        <f>IF(BF49="","",IF(AND(BI48=BI49,BJ48=BJ49,BK48=BK49),BL48,$BL$9+40))</f>
        <v>26</v>
      </c>
      <c r="BN49" s="225"/>
      <c r="BO49" s="342">
        <f>IF(AND($K$5=41),1,IF(AND($K$5=42),2,IF(AND($K$5=43),3,IF(AND($K$5=44),4,IF(AND($K$5=45),5,IF(AND($K$5=46),6,IF(AND($K$5=47),7,IF(AND($K$5=48),8,IF(AND($K$5=49),9,IF(AND($K$5=50),10,IF(AND($K$5=51),11,IF(AND($K$5=52),12,IF(AND($K$5=53),13,IF(AND($K$5=54),14," "))))))))))))))</f>
        <v>8</v>
      </c>
    </row>
    <row r="50" spans="1:67" ht="18" customHeight="1" thickBot="1" x14ac:dyDescent="0.45">
      <c r="A50" s="18"/>
      <c r="B50" s="18"/>
      <c r="C50" s="18"/>
      <c r="D50" s="18"/>
      <c r="E50" s="18"/>
      <c r="F50" s="18"/>
      <c r="G50" s="18"/>
      <c r="I50" s="18"/>
      <c r="J50" s="18"/>
      <c r="K50" s="18"/>
      <c r="L50" s="18"/>
      <c r="Q50" s="18"/>
      <c r="R50" s="18"/>
      <c r="S50" s="18"/>
      <c r="T50" s="18"/>
      <c r="U50" s="18"/>
      <c r="Y50" s="20"/>
      <c r="Z50" s="59"/>
      <c r="AA50" s="199"/>
      <c r="AB50" s="59"/>
      <c r="AC50" s="59"/>
      <c r="AD50" s="199"/>
      <c r="AE50" s="59"/>
      <c r="AF50" s="199"/>
      <c r="AG50" s="59"/>
      <c r="AH50" s="59"/>
      <c r="AI50" s="199"/>
      <c r="AJ50" s="59"/>
      <c r="AK50" s="199"/>
      <c r="AL50" s="59"/>
      <c r="AM50" s="59"/>
      <c r="AN50" s="18"/>
      <c r="AO50" s="44">
        <v>42</v>
      </c>
      <c r="AP50" s="5" t="str">
        <f>+Inscrits!F8</f>
        <v>C6</v>
      </c>
      <c r="AQ50" s="247" t="str">
        <f t="shared" si="3"/>
        <v>0</v>
      </c>
      <c r="AR50" s="82" t="str">
        <f t="shared" si="4"/>
        <v>0</v>
      </c>
      <c r="AS50" s="184" t="str">
        <f t="shared" si="5"/>
        <v>0</v>
      </c>
      <c r="AT50" s="250">
        <f t="shared" si="6"/>
        <v>1</v>
      </c>
      <c r="AU50" s="82">
        <f t="shared" si="7"/>
        <v>-7</v>
      </c>
      <c r="AV50" s="252">
        <f t="shared" si="8"/>
        <v>5</v>
      </c>
      <c r="AW50" s="247" t="str">
        <f t="shared" si="9"/>
        <v>0</v>
      </c>
      <c r="AX50" s="82" t="str">
        <f t="shared" si="10"/>
        <v>0</v>
      </c>
      <c r="AY50" s="252" t="str">
        <f t="shared" si="11"/>
        <v>0</v>
      </c>
      <c r="AZ50" s="247">
        <f t="shared" si="17"/>
        <v>1</v>
      </c>
      <c r="BA50" s="82">
        <f t="shared" si="12"/>
        <v>-7</v>
      </c>
      <c r="BB50" s="252">
        <f t="shared" si="13"/>
        <v>5</v>
      </c>
      <c r="BC50" s="255">
        <f t="shared" si="14"/>
        <v>-7</v>
      </c>
      <c r="BD50" s="7">
        <f t="shared" si="15"/>
        <v>0</v>
      </c>
      <c r="BE50" s="183">
        <f t="shared" si="16"/>
        <v>18.0695005</v>
      </c>
      <c r="BF50" s="82">
        <f>IF(AP50="","",SMALL(BE$9:BE$62,ROWS(AZ$9:AZ50)))</f>
        <v>25.000000400000001</v>
      </c>
      <c r="BG50"/>
      <c r="BH50" s="250" t="str">
        <f>IF(OR(AP50="",AZ50=""),"",INDEX($AP$9:$AP$63,MATCH(BF50,$BE$9:BE$62,0)))</f>
        <v>B14</v>
      </c>
      <c r="BI50" s="7">
        <f t="shared" si="18"/>
        <v>0</v>
      </c>
      <c r="BJ50" s="7">
        <f t="shared" si="19"/>
        <v>0</v>
      </c>
      <c r="BK50" s="7">
        <f t="shared" si="20"/>
        <v>0</v>
      </c>
      <c r="BL50" s="17">
        <f>IF(BF50="","",IF(AND(BI49=BI50,BJ49=BJ50,BK49=BK50),BL49,$BL$9+41))</f>
        <v>26</v>
      </c>
      <c r="BN50" s="225"/>
      <c r="BO50" s="342">
        <f>IF(AND($K$5=42),1,IF(AND($K$5=43),2,IF(AND($K$5=44),3,IF(AND($K$5=45),4,IF(AND($K$5=46),5,IF(AND($K$5=47),6,IF(AND($K$5=48),7,IF(AND($K$5=49),8,IF(AND($K$5=50),9,IF(AND($K$5=51),10,IF(AND($K$5=52),11,IF(AND($K$5=53),12,IF(AND($K$5=54),13," ")))))))))))))</f>
        <v>7</v>
      </c>
    </row>
    <row r="51" spans="1:67" ht="18" customHeight="1" x14ac:dyDescent="0.4">
      <c r="A51" s="18"/>
      <c r="B51" s="18"/>
      <c r="C51" s="18"/>
      <c r="D51" s="18"/>
      <c r="E51" s="18"/>
      <c r="F51" s="18"/>
      <c r="G51" s="18"/>
      <c r="I51" s="18"/>
      <c r="J51" s="18"/>
      <c r="K51" s="18"/>
      <c r="L51" s="18"/>
      <c r="Q51" s="18"/>
      <c r="R51" s="18"/>
      <c r="S51" s="18"/>
      <c r="T51" s="18"/>
      <c r="U51" s="18"/>
      <c r="Y51" s="382">
        <v>6</v>
      </c>
      <c r="Z51" s="9" t="str">
        <f>+O20</f>
        <v>A11</v>
      </c>
      <c r="AA51" s="25">
        <v>0</v>
      </c>
      <c r="AB51" s="38">
        <f>IF(AA51+AA55=0,0,IF(AA51=AA55,2,IF(AA51&gt;AA55,3,1)))</f>
        <v>0</v>
      </c>
      <c r="AC51" s="10">
        <f>AA51-AA55</f>
        <v>0</v>
      </c>
      <c r="AD51" s="19"/>
      <c r="AE51" s="9" t="str">
        <f>+R20</f>
        <v>A12</v>
      </c>
      <c r="AF51" s="107">
        <v>0</v>
      </c>
      <c r="AG51" s="38">
        <f>IF(AF51+AF55=0,0,IF(AF51=AF55,2,IF(AF51&gt;AF55,3,1)))</f>
        <v>0</v>
      </c>
      <c r="AH51" s="10">
        <f>AF51-AF55</f>
        <v>0</v>
      </c>
      <c r="AI51" s="19"/>
      <c r="AJ51" s="9" t="str">
        <f>+U20</f>
        <v>A13</v>
      </c>
      <c r="AK51" s="28">
        <v>0</v>
      </c>
      <c r="AL51" s="38">
        <f>IF(AK51+AK55=0,0,IF(AK51=AK55,2,IF(AK51&gt;AK55,3,1)))</f>
        <v>0</v>
      </c>
      <c r="AM51" s="10">
        <f>AK51-AK55</f>
        <v>0</v>
      </c>
      <c r="AN51" s="18"/>
      <c r="AO51" s="44">
        <v>43</v>
      </c>
      <c r="AP51" s="5" t="str">
        <f>+Inscrits!F9</f>
        <v>C7</v>
      </c>
      <c r="AQ51" s="247" t="str">
        <f t="shared" si="3"/>
        <v>0</v>
      </c>
      <c r="AR51" s="82" t="str">
        <f t="shared" si="4"/>
        <v>0</v>
      </c>
      <c r="AS51" s="184" t="str">
        <f t="shared" si="5"/>
        <v>0</v>
      </c>
      <c r="AT51" s="250">
        <f t="shared" si="6"/>
        <v>3</v>
      </c>
      <c r="AU51" s="82">
        <f t="shared" si="7"/>
        <v>7</v>
      </c>
      <c r="AV51" s="252">
        <f t="shared" si="8"/>
        <v>12</v>
      </c>
      <c r="AW51" s="247">
        <f t="shared" si="9"/>
        <v>1</v>
      </c>
      <c r="AX51" s="82">
        <f t="shared" si="10"/>
        <v>-1</v>
      </c>
      <c r="AY51" s="252">
        <f t="shared" si="11"/>
        <v>4</v>
      </c>
      <c r="AZ51" s="247">
        <f t="shared" si="17"/>
        <v>4</v>
      </c>
      <c r="BA51" s="82">
        <f t="shared" si="12"/>
        <v>6</v>
      </c>
      <c r="BB51" s="252">
        <f t="shared" si="13"/>
        <v>16</v>
      </c>
      <c r="BC51" s="255">
        <f t="shared" si="14"/>
        <v>0</v>
      </c>
      <c r="BD51" s="7">
        <f t="shared" si="15"/>
        <v>6</v>
      </c>
      <c r="BE51" s="183">
        <f t="shared" si="16"/>
        <v>4.9384005100000001</v>
      </c>
      <c r="BF51" s="82">
        <f>IF(AP51="","",SMALL(BE$9:BE$62,ROWS(AZ$9:AZ51)))</f>
        <v>25.000000409999998</v>
      </c>
      <c r="BG51"/>
      <c r="BH51" s="250" t="str">
        <f>IF(OR(AP51="",AZ51=""),"",INDEX($AP$9:$AP$63,MATCH(BF51,$BE$9:BE$62,0)))</f>
        <v>B15</v>
      </c>
      <c r="BI51" s="7">
        <f t="shared" si="18"/>
        <v>0</v>
      </c>
      <c r="BJ51" s="7">
        <f t="shared" si="19"/>
        <v>0</v>
      </c>
      <c r="BK51" s="7">
        <f t="shared" si="20"/>
        <v>0</v>
      </c>
      <c r="BL51" s="17">
        <f>IF(BF51="","",IF(AND(BI50=BI51,BJ50=BJ51,BK50=BK51),BL50,$BL$9+42))</f>
        <v>26</v>
      </c>
      <c r="BN51" s="225"/>
      <c r="BO51" s="342">
        <f>IF(AND($K$5=43),1,IF(AND($K$5=44),2,IF(AND($K$5=45),3,IF(AND($K$5=46),4,IF(AND($K$5=47),5,IF(AND($K$5=48),6,IF(AND($K$5=49),7,IF(AND($K$5=50),8,IF(AND($K$5=51),9,IF(AND($K$5=52),10,IF(AND($K$5=53),11,IF(AND($K$5=54),12," "))))))))))))</f>
        <v>6</v>
      </c>
    </row>
    <row r="52" spans="1:67" ht="18" customHeight="1" thickBot="1" x14ac:dyDescent="0.45">
      <c r="A52" s="18"/>
      <c r="B52" s="18"/>
      <c r="C52" s="18"/>
      <c r="D52" s="18"/>
      <c r="E52" s="18"/>
      <c r="F52" s="18"/>
      <c r="G52" s="18"/>
      <c r="I52" s="18"/>
      <c r="J52" s="18"/>
      <c r="K52" s="18"/>
      <c r="L52" s="18"/>
      <c r="Q52" s="18"/>
      <c r="R52" s="18"/>
      <c r="S52" s="18"/>
      <c r="T52" s="18"/>
      <c r="U52" s="18"/>
      <c r="Y52" s="383"/>
      <c r="Z52" s="11" t="str">
        <f>+P20</f>
        <v>B11</v>
      </c>
      <c r="AA52" s="14">
        <f>IF(ISTEXT(Z52),AA51,0)</f>
        <v>0</v>
      </c>
      <c r="AB52" s="14">
        <f>IF(ISTEXT(Z52),AB51,0)</f>
        <v>0</v>
      </c>
      <c r="AC52" s="15">
        <f>IF(ISTEXT(Z52),AC51,0)</f>
        <v>0</v>
      </c>
      <c r="AD52" s="6"/>
      <c r="AE52" s="11" t="str">
        <f>+S20</f>
        <v>B13</v>
      </c>
      <c r="AF52" s="14">
        <f>IF(ISTEXT(AE52),AF51,0)</f>
        <v>0</v>
      </c>
      <c r="AG52" s="48">
        <f>IF(ISTEXT(AE52),AG51,0)</f>
        <v>0</v>
      </c>
      <c r="AH52" s="15">
        <f>IF(ISTEXT(AE52),AH51,0)</f>
        <v>0</v>
      </c>
      <c r="AI52" s="6"/>
      <c r="AJ52" s="11" t="str">
        <f>+V20</f>
        <v>B15</v>
      </c>
      <c r="AK52" s="14">
        <f>IF(ISTEXT(AJ52),AK51,0)</f>
        <v>0</v>
      </c>
      <c r="AL52" s="48">
        <f>IF(ISTEXT(AJ52),AL51,0)</f>
        <v>0</v>
      </c>
      <c r="AM52" s="15">
        <f>IF(ISTEXT(AJ52),AM51,0)</f>
        <v>0</v>
      </c>
      <c r="AN52" s="18"/>
      <c r="AO52" s="44">
        <v>44</v>
      </c>
      <c r="AP52" s="5" t="str">
        <f>+Inscrits!F10</f>
        <v>C8</v>
      </c>
      <c r="AQ52" s="247" t="str">
        <f t="shared" si="3"/>
        <v>0</v>
      </c>
      <c r="AR52" s="82" t="str">
        <f t="shared" si="4"/>
        <v>0</v>
      </c>
      <c r="AS52" s="184" t="str">
        <f t="shared" si="5"/>
        <v>0</v>
      </c>
      <c r="AT52" s="250" t="str">
        <f t="shared" si="6"/>
        <v>0</v>
      </c>
      <c r="AU52" s="82" t="str">
        <f t="shared" si="7"/>
        <v>0</v>
      </c>
      <c r="AV52" s="252" t="str">
        <f t="shared" si="8"/>
        <v>0</v>
      </c>
      <c r="AW52" s="247">
        <f t="shared" si="9"/>
        <v>3</v>
      </c>
      <c r="AX52" s="82">
        <f t="shared" si="10"/>
        <v>1</v>
      </c>
      <c r="AY52" s="252">
        <f t="shared" si="11"/>
        <v>5</v>
      </c>
      <c r="AZ52" s="247">
        <f t="shared" si="17"/>
        <v>3</v>
      </c>
      <c r="BA52" s="82">
        <f t="shared" si="12"/>
        <v>1</v>
      </c>
      <c r="BB52" s="252">
        <f t="shared" si="13"/>
        <v>5</v>
      </c>
      <c r="BC52" s="255">
        <f t="shared" si="14"/>
        <v>0</v>
      </c>
      <c r="BD52" s="7">
        <f t="shared" si="15"/>
        <v>1</v>
      </c>
      <c r="BE52" s="183">
        <f t="shared" si="16"/>
        <v>8.98950052</v>
      </c>
      <c r="BF52" s="82">
        <f>IF(AP52="","",SMALL(BE$9:BE$62,ROWS(AZ$9:AZ52)))</f>
        <v>25.000000419999999</v>
      </c>
      <c r="BG52"/>
      <c r="BH52" s="250" t="str">
        <f>IF(OR(AP52="",AZ52=""),"",INDEX($AP$9:$AP$63,MATCH(BF52,$BE$9:BE$62,0)))</f>
        <v>B16</v>
      </c>
      <c r="BI52" s="7">
        <f t="shared" si="18"/>
        <v>0</v>
      </c>
      <c r="BJ52" s="7">
        <f t="shared" si="19"/>
        <v>0</v>
      </c>
      <c r="BK52" s="7">
        <f t="shared" si="20"/>
        <v>0</v>
      </c>
      <c r="BL52" s="17">
        <f>IF(BF52="","",IF(AND(BI51=BI52,BJ51=BJ52,BK51=BK52),BL51,$BL$9+43))</f>
        <v>26</v>
      </c>
      <c r="BN52" s="225"/>
      <c r="BO52" s="342">
        <f>IF(AND($K$5=44),1,IF(AND($K$5=45),2,IF(AND($K$5=46),3,IF(AND($K$5=47),4,IF(AND($K$5=48),5,IF(AND($K$5=49),6,IF(AND($K$5=50),7,IF(AND($K$5=51),8,IF(AND($K$5=52),9,IF(AND($K$5=53),10,IF(AND($K$5=54),11," ")))))))))))</f>
        <v>5</v>
      </c>
    </row>
    <row r="53" spans="1:67" ht="18" customHeight="1" x14ac:dyDescent="0.4">
      <c r="A53" s="18"/>
      <c r="B53" s="18"/>
      <c r="C53" s="18"/>
      <c r="D53" s="18"/>
      <c r="E53" s="18"/>
      <c r="F53" s="18"/>
      <c r="G53" s="18"/>
      <c r="I53" s="18"/>
      <c r="J53" s="18"/>
      <c r="K53" s="18"/>
      <c r="L53" s="18"/>
      <c r="Q53" s="18"/>
      <c r="R53" s="18"/>
      <c r="S53" s="18"/>
      <c r="T53" s="18"/>
      <c r="U53" s="18"/>
      <c r="Y53" s="383"/>
      <c r="Z53" s="11" t="str">
        <f>+Q20</f>
        <v>C11</v>
      </c>
      <c r="AA53" s="55">
        <f>IF(ISTEXT(Z53),AA51,0)</f>
        <v>0</v>
      </c>
      <c r="AB53" s="55">
        <f>IF(ISTEXT(Z53),AB51,0)</f>
        <v>0</v>
      </c>
      <c r="AC53" s="56">
        <f>IF(ISTEXT(Z53),AC51,0)</f>
        <v>0</v>
      </c>
      <c r="AD53" s="6"/>
      <c r="AE53" s="11" t="str">
        <f>+T20</f>
        <v>C14</v>
      </c>
      <c r="AF53" s="55">
        <f>IF(ISTEXT(AE53),AF51,0)</f>
        <v>0</v>
      </c>
      <c r="AG53" s="52">
        <f>IF(ISTEXT(AE53),AG51,0)</f>
        <v>0</v>
      </c>
      <c r="AH53" s="56">
        <f>IF(ISTEXT(AE53),AH51,0)</f>
        <v>0</v>
      </c>
      <c r="AI53" s="6"/>
      <c r="AJ53" s="11" t="str">
        <f>+W20</f>
        <v>C1</v>
      </c>
      <c r="AK53" s="55">
        <f>IF(ISTEXT(AJ53),AK51,0)</f>
        <v>0</v>
      </c>
      <c r="AL53" s="52">
        <f>IF(ISTEXT(AJ53),AL51,0)</f>
        <v>0</v>
      </c>
      <c r="AM53" s="56">
        <f>IF(ISTEXT(AJ53),AM51,0)</f>
        <v>0</v>
      </c>
      <c r="AN53" s="18"/>
      <c r="AO53" s="44">
        <v>45</v>
      </c>
      <c r="AP53" s="5" t="str">
        <f>+Inscrits!F11</f>
        <v>C9</v>
      </c>
      <c r="AQ53" s="247" t="str">
        <f t="shared" si="3"/>
        <v>0</v>
      </c>
      <c r="AR53" s="82" t="str">
        <f t="shared" si="4"/>
        <v>0</v>
      </c>
      <c r="AS53" s="184" t="str">
        <f t="shared" si="5"/>
        <v>0</v>
      </c>
      <c r="AT53" s="250" t="str">
        <f t="shared" si="6"/>
        <v>0</v>
      </c>
      <c r="AU53" s="82" t="str">
        <f t="shared" si="7"/>
        <v>0</v>
      </c>
      <c r="AV53" s="252" t="str">
        <f t="shared" si="8"/>
        <v>0</v>
      </c>
      <c r="AW53" s="247">
        <f t="shared" si="9"/>
        <v>3</v>
      </c>
      <c r="AX53" s="82">
        <f t="shared" si="10"/>
        <v>5</v>
      </c>
      <c r="AY53" s="252">
        <f t="shared" si="11"/>
        <v>14</v>
      </c>
      <c r="AZ53" s="247">
        <f t="shared" si="17"/>
        <v>3</v>
      </c>
      <c r="BA53" s="82">
        <f t="shared" si="12"/>
        <v>5</v>
      </c>
      <c r="BB53" s="252">
        <f t="shared" si="13"/>
        <v>14</v>
      </c>
      <c r="BC53" s="255">
        <f t="shared" si="14"/>
        <v>0</v>
      </c>
      <c r="BD53" s="7">
        <f t="shared" si="15"/>
        <v>5</v>
      </c>
      <c r="BE53" s="183">
        <f t="shared" si="16"/>
        <v>8.9486005299999984</v>
      </c>
      <c r="BF53" s="82">
        <f>IF(AP53="","",SMALL(BE$9:BE$62,ROWS(AZ$9:AZ53)))</f>
        <v>25.00000043</v>
      </c>
      <c r="BG53"/>
      <c r="BH53" s="250" t="str">
        <f>IF(OR(AP53="",AZ53=""),"",INDEX($AP$9:$AP$63,MATCH(BF53,$BE$9:BE$62,0)))</f>
        <v>B17</v>
      </c>
      <c r="BI53" s="7">
        <f t="shared" si="18"/>
        <v>0</v>
      </c>
      <c r="BJ53" s="7">
        <f t="shared" si="19"/>
        <v>0</v>
      </c>
      <c r="BK53" s="7">
        <f t="shared" si="20"/>
        <v>0</v>
      </c>
      <c r="BL53" s="17">
        <f>IF(BF53="","",IF(AND(BI52=BI53,BJ52=BJ53,BK52=BK53),BL52,$BL$9+44))</f>
        <v>26</v>
      </c>
      <c r="BN53" s="225"/>
      <c r="BO53" s="342">
        <f>IF(AND($K$5=45),1,IF(AND($K$5=46),2,IF(AND($K$5=47),3,IF(AND($K$5=48),4,IF(AND($K$5=49),5,IF(AND($K$5=50),6,IF(AND($K$5=51),7,IF(AND($K$5=52),8,IF(AND($K$5=53),9,IF(AND($K$5=54),10," "))))))))))</f>
        <v>4</v>
      </c>
    </row>
    <row r="54" spans="1:67" ht="18" customHeight="1" x14ac:dyDescent="0.4">
      <c r="A54" s="18"/>
      <c r="B54" s="18"/>
      <c r="C54" s="18"/>
      <c r="D54" s="18"/>
      <c r="E54" s="18"/>
      <c r="F54" s="18"/>
      <c r="G54" s="18"/>
      <c r="I54" s="18"/>
      <c r="J54" s="18"/>
      <c r="K54" s="18"/>
      <c r="L54" s="18"/>
      <c r="Q54" s="18"/>
      <c r="R54" s="18"/>
      <c r="S54" s="18"/>
      <c r="T54" s="18"/>
      <c r="U54" s="18"/>
      <c r="Y54" s="383"/>
      <c r="Z54" s="24"/>
      <c r="AA54" s="195" t="s">
        <v>5</v>
      </c>
      <c r="AB54" s="16"/>
      <c r="AC54" s="17"/>
      <c r="AD54" s="20"/>
      <c r="AE54" s="24"/>
      <c r="AF54" s="195" t="s">
        <v>5</v>
      </c>
      <c r="AG54" s="16"/>
      <c r="AH54" s="17"/>
      <c r="AI54" s="20"/>
      <c r="AJ54" s="24"/>
      <c r="AK54" s="195" t="s">
        <v>5</v>
      </c>
      <c r="AL54" s="16"/>
      <c r="AM54" s="17"/>
      <c r="AN54" s="18"/>
      <c r="AO54" s="44">
        <v>46</v>
      </c>
      <c r="AP54" s="5" t="str">
        <f>+Inscrits!F12</f>
        <v>C10</v>
      </c>
      <c r="AQ54" s="247" t="str">
        <f t="shared" si="3"/>
        <v>0</v>
      </c>
      <c r="AR54" s="82" t="str">
        <f t="shared" si="4"/>
        <v>0</v>
      </c>
      <c r="AS54" s="184" t="str">
        <f t="shared" si="5"/>
        <v>0</v>
      </c>
      <c r="AT54" s="250" t="str">
        <f t="shared" si="6"/>
        <v>0</v>
      </c>
      <c r="AU54" s="82" t="str">
        <f t="shared" si="7"/>
        <v>0</v>
      </c>
      <c r="AV54" s="252" t="str">
        <f t="shared" si="8"/>
        <v>0</v>
      </c>
      <c r="AW54" s="247">
        <f t="shared" si="9"/>
        <v>1</v>
      </c>
      <c r="AX54" s="82">
        <f t="shared" si="10"/>
        <v>-5</v>
      </c>
      <c r="AY54" s="252">
        <f t="shared" si="11"/>
        <v>9</v>
      </c>
      <c r="AZ54" s="247">
        <f t="shared" si="17"/>
        <v>1</v>
      </c>
      <c r="BA54" s="82">
        <f t="shared" si="12"/>
        <v>-5</v>
      </c>
      <c r="BB54" s="252">
        <f t="shared" si="13"/>
        <v>9</v>
      </c>
      <c r="BC54" s="255">
        <f t="shared" si="14"/>
        <v>-5</v>
      </c>
      <c r="BD54" s="7">
        <f t="shared" si="15"/>
        <v>0</v>
      </c>
      <c r="BE54" s="183">
        <f t="shared" si="16"/>
        <v>18.049100539999998</v>
      </c>
      <c r="BF54" s="82">
        <f>IF(AP54="","",SMALL(BE$9:BE$62,ROWS(AZ$9:AZ54)))</f>
        <v>25.000000440000001</v>
      </c>
      <c r="BG54"/>
      <c r="BH54" s="250" t="str">
        <f>IF(OR(AP54="",AZ54=""),"",INDEX($AP$9:$AP$63,MATCH(BF54,$BE$9:BE$62,0)))</f>
        <v>B18</v>
      </c>
      <c r="BI54" s="7">
        <f t="shared" si="18"/>
        <v>0</v>
      </c>
      <c r="BJ54" s="7">
        <f t="shared" si="19"/>
        <v>0</v>
      </c>
      <c r="BK54" s="7">
        <f t="shared" si="20"/>
        <v>0</v>
      </c>
      <c r="BL54" s="17">
        <f>IF(BF54="","",IF(AND(BI53=BI54,BJ53=BJ54,BK53=BK54),BL53,$BL$9+45))</f>
        <v>26</v>
      </c>
      <c r="BN54" s="225"/>
      <c r="BO54" s="342">
        <f>IF(AND($K$5=46),1,IF(AND($K$5=47),2,IF(AND($K$5=48),3,IF(AND($K$5=49),4,IF(AND($K$5=50),5,IF(AND($K$5=51),6,IF(AND($K$5=52),7,IF(AND($K$5=53),8,IF(AND($K$5=54),9," ")))))))))</f>
        <v>3</v>
      </c>
    </row>
    <row r="55" spans="1:67" ht="18" customHeight="1" x14ac:dyDescent="0.4">
      <c r="A55" s="18"/>
      <c r="B55" s="18"/>
      <c r="C55" s="18"/>
      <c r="D55" s="18"/>
      <c r="E55" s="18"/>
      <c r="F55" s="18"/>
      <c r="G55" s="18"/>
      <c r="I55" s="18"/>
      <c r="J55" s="18"/>
      <c r="K55" s="18"/>
      <c r="L55" s="18"/>
      <c r="Q55" s="18"/>
      <c r="R55" s="18"/>
      <c r="S55" s="18"/>
      <c r="T55" s="18"/>
      <c r="U55" s="18"/>
      <c r="Y55" s="383"/>
      <c r="Z55" s="11" t="str">
        <f>+O21</f>
        <v>A12</v>
      </c>
      <c r="AA55" s="27">
        <v>0</v>
      </c>
      <c r="AB55" s="23">
        <f>IF(AA51+AA55=0,0,IF(AA51=AA55,2,IF(AA51&lt;AA55,3,1)))</f>
        <v>0</v>
      </c>
      <c r="AC55" s="12">
        <f>AA55-AA51</f>
        <v>0</v>
      </c>
      <c r="AD55" s="19"/>
      <c r="AE55" s="11" t="str">
        <f>+R21</f>
        <v>A13</v>
      </c>
      <c r="AF55" s="108">
        <v>0</v>
      </c>
      <c r="AG55" s="23">
        <f>IF(AF51+AF55=0,0,IF(AF51=AF55,2,IF(AF51&lt;AF55,3,1)))</f>
        <v>0</v>
      </c>
      <c r="AH55" s="12">
        <f>AF55-AF51</f>
        <v>0</v>
      </c>
      <c r="AI55" s="19"/>
      <c r="AJ55" s="11" t="str">
        <f>+U21</f>
        <v>A14</v>
      </c>
      <c r="AK55" s="29">
        <v>0</v>
      </c>
      <c r="AL55" s="23">
        <f>IF(AK51+AK55=0,0,IF(AK51=AK55,2,IF(AK51&lt;AK55,3,1)))</f>
        <v>0</v>
      </c>
      <c r="AM55" s="12">
        <f>AK55-AK51</f>
        <v>0</v>
      </c>
      <c r="AN55" s="18"/>
      <c r="AO55" s="44">
        <v>47</v>
      </c>
      <c r="AP55" s="5" t="str">
        <f>+Inscrits!F13</f>
        <v>C11</v>
      </c>
      <c r="AQ55" s="247" t="str">
        <f t="shared" si="3"/>
        <v>0</v>
      </c>
      <c r="AR55" s="82" t="str">
        <f t="shared" si="4"/>
        <v>0</v>
      </c>
      <c r="AS55" s="184" t="str">
        <f t="shared" si="5"/>
        <v>0</v>
      </c>
      <c r="AT55" s="250" t="str">
        <f t="shared" si="6"/>
        <v>0</v>
      </c>
      <c r="AU55" s="82" t="str">
        <f t="shared" si="7"/>
        <v>0</v>
      </c>
      <c r="AV55" s="252" t="str">
        <f t="shared" si="8"/>
        <v>0</v>
      </c>
      <c r="AW55" s="247" t="str">
        <f t="shared" si="9"/>
        <v>0</v>
      </c>
      <c r="AX55" s="82" t="str">
        <f t="shared" si="10"/>
        <v>0</v>
      </c>
      <c r="AY55" s="252" t="str">
        <f t="shared" si="11"/>
        <v>0</v>
      </c>
      <c r="AZ55" s="247">
        <f t="shared" si="17"/>
        <v>0</v>
      </c>
      <c r="BA55" s="82">
        <f t="shared" si="12"/>
        <v>0</v>
      </c>
      <c r="BB55" s="252">
        <f t="shared" si="13"/>
        <v>0</v>
      </c>
      <c r="BC55" s="255">
        <f t="shared" si="14"/>
        <v>0</v>
      </c>
      <c r="BD55" s="7">
        <f t="shared" si="15"/>
        <v>0</v>
      </c>
      <c r="BE55" s="183">
        <f t="shared" si="16"/>
        <v>25.000000549999999</v>
      </c>
      <c r="BF55" s="82">
        <f>IF(AP55="","",SMALL(BE$9:BE$62,ROWS(AZ$9:AZ55)))</f>
        <v>25.000000549999999</v>
      </c>
      <c r="BG55"/>
      <c r="BH55" s="250" t="str">
        <f>IF(OR(AP55="",AZ55=""),"",INDEX($AP$9:$AP$63,MATCH(BF55,$BE$9:BE$62,0)))</f>
        <v>C11</v>
      </c>
      <c r="BI55" s="7">
        <f t="shared" si="18"/>
        <v>0</v>
      </c>
      <c r="BJ55" s="7">
        <f t="shared" si="19"/>
        <v>0</v>
      </c>
      <c r="BK55" s="7">
        <f t="shared" si="20"/>
        <v>0</v>
      </c>
      <c r="BL55" s="17">
        <f>IF(BF55="","",IF(AND(BI54=BI55,BJ54=BJ55,BK54=BK55),BL54,$BL$9+46))</f>
        <v>26</v>
      </c>
      <c r="BN55" s="225"/>
      <c r="BO55" s="342">
        <f>IF(AND($K$5=47),1,IF(AND($K$5=48),2,IF(AND($K$5=49),3,IF(AND($K$5=50),4,IF(AND($K$5=51),5,IF(AND($K$5=52),6,IF(AND($K$5=53),7,IF(AND($K$5=54),8," "))))))))</f>
        <v>2</v>
      </c>
    </row>
    <row r="56" spans="1:67" ht="21.6" thickBot="1" x14ac:dyDescent="0.45">
      <c r="B56" s="18"/>
      <c r="C56" s="18"/>
      <c r="D56" s="18"/>
      <c r="E56" s="18"/>
      <c r="F56" s="18"/>
      <c r="G56" s="18"/>
      <c r="S56" s="18"/>
      <c r="T56" s="18"/>
      <c r="U56" s="18"/>
      <c r="Y56" s="383"/>
      <c r="Z56" s="11" t="str">
        <f>+P21</f>
        <v>B12</v>
      </c>
      <c r="AA56" s="14">
        <f>IF(ISTEXT(Z56),AA55,0)</f>
        <v>0</v>
      </c>
      <c r="AB56" s="14">
        <f>IF(ISTEXT(Z56),AB55,0)</f>
        <v>0</v>
      </c>
      <c r="AC56" s="15">
        <f>IF(ISTEXT(Z56),AC55,0)</f>
        <v>0</v>
      </c>
      <c r="AD56" s="6"/>
      <c r="AE56" s="11" t="str">
        <f>+S21</f>
        <v>B14</v>
      </c>
      <c r="AF56" s="14">
        <f>IF(ISTEXT(AE56),AF55,0)</f>
        <v>0</v>
      </c>
      <c r="AG56" s="14">
        <f>IF(ISTEXT(AE56),AG55,0)</f>
        <v>0</v>
      </c>
      <c r="AH56" s="15">
        <f>IF(ISTEXT(AE56),AH55,0)</f>
        <v>0</v>
      </c>
      <c r="AI56" s="6"/>
      <c r="AJ56" s="11" t="str">
        <f>+V21</f>
        <v>B16</v>
      </c>
      <c r="AK56" s="14">
        <f>IF(ISTEXT(AJ56),AK55,0)</f>
        <v>0</v>
      </c>
      <c r="AL56" s="14">
        <f>IF(ISTEXT(AJ56),AL55,0)</f>
        <v>0</v>
      </c>
      <c r="AM56" s="15">
        <f>IF(ISTEXT(AJ56),AM55,0)</f>
        <v>0</v>
      </c>
      <c r="AN56" s="18"/>
      <c r="AO56" s="44">
        <v>48</v>
      </c>
      <c r="AP56" s="5" t="str">
        <f>+Inscrits!F14</f>
        <v>C12</v>
      </c>
      <c r="AQ56" s="247" t="str">
        <f t="shared" si="3"/>
        <v>0</v>
      </c>
      <c r="AR56" s="82" t="str">
        <f t="shared" si="4"/>
        <v>0</v>
      </c>
      <c r="AS56" s="184" t="str">
        <f t="shared" si="5"/>
        <v>0</v>
      </c>
      <c r="AT56" s="250" t="str">
        <f t="shared" si="6"/>
        <v>0</v>
      </c>
      <c r="AU56" s="82" t="str">
        <f t="shared" si="7"/>
        <v>0</v>
      </c>
      <c r="AV56" s="252" t="str">
        <f t="shared" si="8"/>
        <v>0</v>
      </c>
      <c r="AW56" s="247" t="str">
        <f t="shared" si="9"/>
        <v>0</v>
      </c>
      <c r="AX56" s="82" t="str">
        <f t="shared" si="10"/>
        <v>0</v>
      </c>
      <c r="AY56" s="252" t="str">
        <f t="shared" si="11"/>
        <v>0</v>
      </c>
      <c r="AZ56" s="247">
        <f t="shared" si="17"/>
        <v>0</v>
      </c>
      <c r="BA56" s="82">
        <f t="shared" si="12"/>
        <v>0</v>
      </c>
      <c r="BB56" s="252">
        <f t="shared" si="13"/>
        <v>0</v>
      </c>
      <c r="BC56" s="255">
        <f t="shared" si="14"/>
        <v>0</v>
      </c>
      <c r="BD56" s="7">
        <f t="shared" si="15"/>
        <v>0</v>
      </c>
      <c r="BE56" s="183">
        <f t="shared" si="16"/>
        <v>25.00000056</v>
      </c>
      <c r="BF56" s="82">
        <f>IF(AP56="","",SMALL(BE$9:BE$62,ROWS(AZ$9:AZ56)))</f>
        <v>25.00000056</v>
      </c>
      <c r="BG56"/>
      <c r="BH56" s="250" t="str">
        <f>IF(OR(AP56="",AZ56=""),"",INDEX($AP$9:$AP$63,MATCH(BF56,$BE$9:BE$62,0)))</f>
        <v>C12</v>
      </c>
      <c r="BI56" s="7">
        <f t="shared" si="18"/>
        <v>0</v>
      </c>
      <c r="BJ56" s="7">
        <f t="shared" si="19"/>
        <v>0</v>
      </c>
      <c r="BK56" s="7">
        <f t="shared" si="20"/>
        <v>0</v>
      </c>
      <c r="BL56" s="17">
        <f>IF(BF56="","",IF(AND(BI55=BI56,BJ55=BJ56,BK55=BK56),BL55,$BL$9+47))</f>
        <v>26</v>
      </c>
      <c r="BN56" s="225"/>
      <c r="BO56" s="342">
        <f>IF(AND($K$5=48),1,IF(AND($K$5=49),2,IF(AND($K$5=50),3,IF(AND($K$5=51),4,IF(AND($K$5=52),5,IF(AND($K$5=53),6,IF(AND($K$5=54),7," ")))))))</f>
        <v>1</v>
      </c>
    </row>
    <row r="57" spans="1:67" ht="21.6" thickBot="1" x14ac:dyDescent="0.45">
      <c r="B57" s="18"/>
      <c r="C57" s="18"/>
      <c r="D57" s="18"/>
      <c r="E57" s="18"/>
      <c r="F57" s="18"/>
      <c r="G57" s="18"/>
      <c r="S57" s="18"/>
      <c r="T57" s="18"/>
      <c r="U57" s="18"/>
      <c r="Y57" s="384"/>
      <c r="Z57" s="13" t="str">
        <f>+Q21</f>
        <v>C12</v>
      </c>
      <c r="AA57" s="14">
        <f>IF(ISTEXT(Z57),AA55,0)</f>
        <v>0</v>
      </c>
      <c r="AB57" s="14">
        <f>IF(ISTEXT(Z57),AB55,0)</f>
        <v>0</v>
      </c>
      <c r="AC57" s="15">
        <f>IF(ISTEXT(Z57),AC55,0)</f>
        <v>0</v>
      </c>
      <c r="AD57" s="6"/>
      <c r="AE57" s="13" t="str">
        <f>+T21</f>
        <v>C15</v>
      </c>
      <c r="AF57" s="14">
        <f>IF(ISTEXT(AE57),AF55,0)</f>
        <v>0</v>
      </c>
      <c r="AG57" s="14">
        <f>IF(ISTEXT(AE57),AG55,0)</f>
        <v>0</v>
      </c>
      <c r="AH57" s="15">
        <f>IF(ISTEXT(AE57),AH55,0)</f>
        <v>0</v>
      </c>
      <c r="AI57" s="6"/>
      <c r="AJ57" s="13" t="str">
        <f>+W21</f>
        <v>C2</v>
      </c>
      <c r="AK57" s="14">
        <f>IF(ISTEXT(AJ57),AK55,0)</f>
        <v>0</v>
      </c>
      <c r="AL57" s="14">
        <f>IF(ISTEXT(AJ57),AL55,0)</f>
        <v>0</v>
      </c>
      <c r="AM57" s="15">
        <f>IF(ISTEXT(AJ57),AM55,0)</f>
        <v>0</v>
      </c>
      <c r="AN57" s="18"/>
      <c r="AO57" s="44">
        <v>49</v>
      </c>
      <c r="AP57" s="5" t="str">
        <f>+Inscrits!F15</f>
        <v>C13</v>
      </c>
      <c r="AQ57" s="247" t="str">
        <f t="shared" si="3"/>
        <v>0</v>
      </c>
      <c r="AR57" s="82" t="str">
        <f t="shared" si="4"/>
        <v>0</v>
      </c>
      <c r="AS57" s="184" t="str">
        <f t="shared" si="5"/>
        <v>0</v>
      </c>
      <c r="AT57" s="250" t="str">
        <f t="shared" si="6"/>
        <v>0</v>
      </c>
      <c r="AU57" s="82" t="str">
        <f t="shared" si="7"/>
        <v>0</v>
      </c>
      <c r="AV57" s="252" t="str">
        <f t="shared" si="8"/>
        <v>0</v>
      </c>
      <c r="AW57" s="247" t="str">
        <f t="shared" si="9"/>
        <v>0</v>
      </c>
      <c r="AX57" s="82" t="str">
        <f t="shared" si="10"/>
        <v>0</v>
      </c>
      <c r="AY57" s="252" t="str">
        <f t="shared" si="11"/>
        <v>0</v>
      </c>
      <c r="AZ57" s="247">
        <f t="shared" si="17"/>
        <v>0</v>
      </c>
      <c r="BA57" s="82">
        <f t="shared" si="12"/>
        <v>0</v>
      </c>
      <c r="BB57" s="252">
        <f t="shared" si="13"/>
        <v>0</v>
      </c>
      <c r="BC57" s="255">
        <f t="shared" si="14"/>
        <v>0</v>
      </c>
      <c r="BD57" s="7">
        <f t="shared" si="15"/>
        <v>0</v>
      </c>
      <c r="BE57" s="183">
        <f t="shared" si="16"/>
        <v>25.000000570000001</v>
      </c>
      <c r="BF57" s="82">
        <f>IF(AP57="","",SMALL(BE$9:BE$62,ROWS(AZ$9:AZ57)))</f>
        <v>25.000000570000001</v>
      </c>
      <c r="BG57"/>
      <c r="BH57" s="250" t="str">
        <f>IF(OR(AP57="",AZ57=""),"",INDEX($AP$9:$AP$63,MATCH(BF57,$BE$9:BE$62,0)))</f>
        <v>C13</v>
      </c>
      <c r="BI57" s="7">
        <f t="shared" si="18"/>
        <v>0</v>
      </c>
      <c r="BJ57" s="7">
        <f t="shared" si="19"/>
        <v>0</v>
      </c>
      <c r="BK57" s="7">
        <f t="shared" si="20"/>
        <v>0</v>
      </c>
      <c r="BL57" s="17">
        <f>IF(BF57="","",IF(AND(BI56=BI57,BJ56=BJ57,BK56=BK57),BL56,$BL$9+48))</f>
        <v>26</v>
      </c>
      <c r="BN57" s="225"/>
      <c r="BO57" s="342" t="str">
        <f>IF(AND($K$5=49),1,IF(AND($K$5=50),2,IF(AND($K$5=51),3,IF(AND($K$5=52),4,IF(AND($K$5=53),5,IF(AND($K$5=54),6," "))))))</f>
        <v xml:space="preserve"> </v>
      </c>
    </row>
    <row r="58" spans="1:67" ht="21.6" thickBot="1" x14ac:dyDescent="0.45">
      <c r="B58" s="18"/>
      <c r="C58" s="18"/>
      <c r="D58" s="18"/>
      <c r="E58" s="18"/>
      <c r="S58" s="18"/>
      <c r="T58" s="18"/>
      <c r="U58" s="18"/>
      <c r="Y58" s="20"/>
      <c r="Z58" s="58"/>
      <c r="AA58" s="196"/>
      <c r="AB58" s="58"/>
      <c r="AC58" s="58"/>
      <c r="AD58" s="199"/>
      <c r="AE58" s="59"/>
      <c r="AF58" s="199"/>
      <c r="AG58" s="58"/>
      <c r="AH58" s="58"/>
      <c r="AI58" s="199"/>
      <c r="AJ58" s="59"/>
      <c r="AK58" s="196"/>
      <c r="AL58" s="58"/>
      <c r="AM58" s="58"/>
      <c r="AN58" s="18"/>
      <c r="AO58" s="44">
        <v>50</v>
      </c>
      <c r="AP58" s="5" t="str">
        <f>+Inscrits!F16</f>
        <v>C14</v>
      </c>
      <c r="AQ58" s="247" t="str">
        <f t="shared" si="3"/>
        <v>0</v>
      </c>
      <c r="AR58" s="82" t="str">
        <f t="shared" si="4"/>
        <v>0</v>
      </c>
      <c r="AS58" s="184" t="str">
        <f t="shared" si="5"/>
        <v>0</v>
      </c>
      <c r="AT58" s="250" t="str">
        <f t="shared" si="6"/>
        <v>0</v>
      </c>
      <c r="AU58" s="82" t="str">
        <f t="shared" si="7"/>
        <v>0</v>
      </c>
      <c r="AV58" s="252" t="str">
        <f t="shared" si="8"/>
        <v>0</v>
      </c>
      <c r="AW58" s="247" t="str">
        <f t="shared" si="9"/>
        <v>0</v>
      </c>
      <c r="AX58" s="82" t="str">
        <f t="shared" si="10"/>
        <v>0</v>
      </c>
      <c r="AY58" s="252" t="str">
        <f t="shared" si="11"/>
        <v>0</v>
      </c>
      <c r="AZ58" s="247">
        <f t="shared" si="17"/>
        <v>0</v>
      </c>
      <c r="BA58" s="82">
        <f t="shared" si="12"/>
        <v>0</v>
      </c>
      <c r="BB58" s="252">
        <f t="shared" si="13"/>
        <v>0</v>
      </c>
      <c r="BC58" s="255">
        <f t="shared" si="14"/>
        <v>0</v>
      </c>
      <c r="BD58" s="7">
        <f t="shared" si="15"/>
        <v>0</v>
      </c>
      <c r="BE58" s="183">
        <f t="shared" si="16"/>
        <v>25.000000579999998</v>
      </c>
      <c r="BF58" s="82">
        <f>IF(AP58="","",SMALL(BE$9:BE$62,ROWS(AZ$9:AZ58)))</f>
        <v>25.000000579999998</v>
      </c>
      <c r="BG58"/>
      <c r="BH58" s="250" t="str">
        <f>IF(OR(AP58="",AZ58=""),"",INDEX($AP$9:$AP$63,MATCH(BF58,$BE$9:BE$62,0)))</f>
        <v>C14</v>
      </c>
      <c r="BI58" s="7">
        <f t="shared" si="18"/>
        <v>0</v>
      </c>
      <c r="BJ58" s="7">
        <f t="shared" si="19"/>
        <v>0</v>
      </c>
      <c r="BK58" s="7">
        <f t="shared" si="20"/>
        <v>0</v>
      </c>
      <c r="BL58" s="17">
        <f>IF(BF58="","",IF(AND(BI57=BI58,BJ57=BJ58,BK57=BK58),BL57,$BL$9+49))</f>
        <v>26</v>
      </c>
      <c r="BN58" s="225"/>
      <c r="BO58" s="342" t="str">
        <f>IF(AND($K$5=50),1,IF(AND($K$5=51),2,IF(AND($K$5=52),3,IF(AND($K$5=53),4,IF(AND($K$5=54),5," ")))))</f>
        <v xml:space="preserve"> </v>
      </c>
    </row>
    <row r="59" spans="1:67" ht="21" x14ac:dyDescent="0.4">
      <c r="B59" s="18"/>
      <c r="C59" s="18"/>
      <c r="D59" s="18"/>
      <c r="E59" s="18"/>
      <c r="S59" s="18"/>
      <c r="T59" s="18"/>
      <c r="U59" s="18"/>
      <c r="Y59" s="382">
        <v>7</v>
      </c>
      <c r="Z59" s="9" t="str">
        <f>+O22</f>
        <v>A13</v>
      </c>
      <c r="AA59" s="25">
        <v>0</v>
      </c>
      <c r="AB59" s="38">
        <f>IF(AA59+AA63=0,0,IF(AA59=AA63,2,IF(AA59&gt;AA63,3,1)))</f>
        <v>0</v>
      </c>
      <c r="AC59" s="10">
        <f>AA59-AA63</f>
        <v>0</v>
      </c>
      <c r="AD59" s="19"/>
      <c r="AE59" s="9" t="str">
        <f>+R22</f>
        <v>A14</v>
      </c>
      <c r="AF59" s="107">
        <v>0</v>
      </c>
      <c r="AG59" s="38">
        <f>IF(AF59+AF63=0,0,IF(AF59=AF63,2,IF(AF59&gt;AF63,3,1)))</f>
        <v>0</v>
      </c>
      <c r="AH59" s="10">
        <f>AF59-AF63</f>
        <v>0</v>
      </c>
      <c r="AI59" s="19"/>
      <c r="AJ59" s="9" t="str">
        <f>+U22</f>
        <v>A15</v>
      </c>
      <c r="AK59" s="28">
        <v>0</v>
      </c>
      <c r="AL59" s="38">
        <f>IF(AK59+AK63=0,0,IF(AK59=AK63,2,IF(AK59&gt;AK63,3,1)))</f>
        <v>0</v>
      </c>
      <c r="AM59" s="10">
        <f>AK59-AK63</f>
        <v>0</v>
      </c>
      <c r="AN59" s="18"/>
      <c r="AO59" s="44">
        <v>51</v>
      </c>
      <c r="AP59" s="5" t="str">
        <f>+Inscrits!F17</f>
        <v>C15</v>
      </c>
      <c r="AQ59" s="247" t="str">
        <f t="shared" si="3"/>
        <v>0</v>
      </c>
      <c r="AR59" s="82" t="str">
        <f t="shared" si="4"/>
        <v>0</v>
      </c>
      <c r="AS59" s="184" t="str">
        <f t="shared" si="5"/>
        <v>0</v>
      </c>
      <c r="AT59" s="250" t="str">
        <f t="shared" si="6"/>
        <v>0</v>
      </c>
      <c r="AU59" s="82" t="str">
        <f t="shared" si="7"/>
        <v>0</v>
      </c>
      <c r="AV59" s="252" t="str">
        <f t="shared" si="8"/>
        <v>0</v>
      </c>
      <c r="AW59" s="247" t="str">
        <f t="shared" si="9"/>
        <v>0</v>
      </c>
      <c r="AX59" s="82" t="str">
        <f t="shared" si="10"/>
        <v>0</v>
      </c>
      <c r="AY59" s="252" t="str">
        <f t="shared" si="11"/>
        <v>0</v>
      </c>
      <c r="AZ59" s="247">
        <f t="shared" si="17"/>
        <v>0</v>
      </c>
      <c r="BA59" s="82">
        <f t="shared" si="12"/>
        <v>0</v>
      </c>
      <c r="BB59" s="252">
        <f t="shared" si="13"/>
        <v>0</v>
      </c>
      <c r="BC59" s="255">
        <f t="shared" si="14"/>
        <v>0</v>
      </c>
      <c r="BD59" s="7">
        <f t="shared" si="15"/>
        <v>0</v>
      </c>
      <c r="BE59" s="183">
        <f t="shared" si="16"/>
        <v>25.000000589999999</v>
      </c>
      <c r="BF59" s="82">
        <f>IF(AP59="","",SMALL(BE$9:BE$62,ROWS(AZ$9:AZ59)))</f>
        <v>25.000000589999999</v>
      </c>
      <c r="BG59"/>
      <c r="BH59" s="250" t="str">
        <f>IF(OR(AP59="",AZ59=""),"",INDEX($AP$9:$AP$63,MATCH(BF59,$BE$9:BE$62,0)))</f>
        <v>C15</v>
      </c>
      <c r="BI59" s="7">
        <f t="shared" si="18"/>
        <v>0</v>
      </c>
      <c r="BJ59" s="7">
        <f t="shared" si="19"/>
        <v>0</v>
      </c>
      <c r="BK59" s="7">
        <f t="shared" si="20"/>
        <v>0</v>
      </c>
      <c r="BL59" s="17">
        <f>IF(BF59="","",IF(AND(BI58=BI59,BJ58=BJ59,BK58=BK59),BL58,$BL$9+50))</f>
        <v>26</v>
      </c>
      <c r="BN59" s="225"/>
      <c r="BO59" s="342" t="str">
        <f>IF(AND($K$5=51),1,IF(AND($K$5=52),2,IF(AND($K$5=53),3,IF(AND($K$5=54),4," "))))</f>
        <v xml:space="preserve"> </v>
      </c>
    </row>
    <row r="60" spans="1:67" ht="21.6" thickBot="1" x14ac:dyDescent="0.45">
      <c r="U60" s="18"/>
      <c r="Y60" s="383"/>
      <c r="Z60" s="11" t="str">
        <f>+P22</f>
        <v>B13</v>
      </c>
      <c r="AA60" s="14">
        <f>IF(ISTEXT(Z60),AA59,0)</f>
        <v>0</v>
      </c>
      <c r="AB60" s="14">
        <f>IF(ISTEXT(Z60),AB59,0)</f>
        <v>0</v>
      </c>
      <c r="AC60" s="15">
        <f>IF(ISTEXT(Z60),AC59,0)</f>
        <v>0</v>
      </c>
      <c r="AD60" s="6"/>
      <c r="AE60" s="11" t="str">
        <f>+S22</f>
        <v>B15</v>
      </c>
      <c r="AF60" s="14">
        <f>IF(ISTEXT(AE60),AF59,0)</f>
        <v>0</v>
      </c>
      <c r="AG60" s="48">
        <f>IF(ISTEXT(AE60),AG59,0)</f>
        <v>0</v>
      </c>
      <c r="AH60" s="15">
        <f>IF(ISTEXT(AE60),AH59,0)</f>
        <v>0</v>
      </c>
      <c r="AI60" s="6"/>
      <c r="AJ60" s="11" t="str">
        <f>+V22</f>
        <v>B1</v>
      </c>
      <c r="AK60" s="14">
        <f>IF(ISTEXT(AJ60),AK59,0)</f>
        <v>0</v>
      </c>
      <c r="AL60" s="48">
        <f>IF(ISTEXT(AJ60),AL59,0)</f>
        <v>0</v>
      </c>
      <c r="AM60" s="15">
        <f>IF(ISTEXT(AJ60),AM59,0)</f>
        <v>0</v>
      </c>
      <c r="AN60" s="18"/>
      <c r="AO60" s="44">
        <v>52</v>
      </c>
      <c r="AP60" s="5" t="str">
        <f>+Inscrits!F18</f>
        <v>C16</v>
      </c>
      <c r="AQ60" s="247" t="str">
        <f t="shared" si="3"/>
        <v>0</v>
      </c>
      <c r="AR60" s="82" t="str">
        <f t="shared" si="4"/>
        <v>0</v>
      </c>
      <c r="AS60" s="184" t="str">
        <f t="shared" si="5"/>
        <v>0</v>
      </c>
      <c r="AT60" s="250" t="str">
        <f t="shared" si="6"/>
        <v>0</v>
      </c>
      <c r="AU60" s="82" t="str">
        <f t="shared" si="7"/>
        <v>0</v>
      </c>
      <c r="AV60" s="252" t="str">
        <f t="shared" si="8"/>
        <v>0</v>
      </c>
      <c r="AW60" s="247" t="str">
        <f t="shared" si="9"/>
        <v>0</v>
      </c>
      <c r="AX60" s="82" t="str">
        <f t="shared" si="10"/>
        <v>0</v>
      </c>
      <c r="AY60" s="252" t="str">
        <f t="shared" si="11"/>
        <v>0</v>
      </c>
      <c r="AZ60" s="247">
        <f t="shared" si="17"/>
        <v>0</v>
      </c>
      <c r="BA60" s="82">
        <f t="shared" si="12"/>
        <v>0</v>
      </c>
      <c r="BB60" s="252">
        <f t="shared" si="13"/>
        <v>0</v>
      </c>
      <c r="BC60" s="255">
        <f t="shared" si="14"/>
        <v>0</v>
      </c>
      <c r="BD60" s="7">
        <f t="shared" si="15"/>
        <v>0</v>
      </c>
      <c r="BE60" s="183">
        <f t="shared" si="16"/>
        <v>25.0000006</v>
      </c>
      <c r="BF60" s="82">
        <f>IF(AP60="","",SMALL(BE$9:BE$62,ROWS(AZ$9:AZ60)))</f>
        <v>25.0000006</v>
      </c>
      <c r="BG60"/>
      <c r="BH60" s="250" t="str">
        <f>IF(OR(AP60="",AZ60=""),"",INDEX($AP$9:$AP$63,MATCH(BF60,$BE$9:BE$62,0)))</f>
        <v>C16</v>
      </c>
      <c r="BI60" s="7">
        <f t="shared" si="18"/>
        <v>0</v>
      </c>
      <c r="BJ60" s="7">
        <f t="shared" si="19"/>
        <v>0</v>
      </c>
      <c r="BK60" s="7">
        <f t="shared" si="20"/>
        <v>0</v>
      </c>
      <c r="BL60" s="17">
        <f>IF(BF60="","",IF(AND(BI59=BI60,BJ59=BJ60,BK59=BK60),BL59,$BL$9+51))</f>
        <v>26</v>
      </c>
      <c r="BN60" s="225"/>
      <c r="BO60" s="342" t="str">
        <f>IF(AND($K$5=52),1,IF(AND($K$5=53),2,IF(AND($K$5=54),3," ")))</f>
        <v xml:space="preserve"> </v>
      </c>
    </row>
    <row r="61" spans="1:67" ht="21" x14ac:dyDescent="0.4">
      <c r="Y61" s="383"/>
      <c r="Z61" s="11" t="str">
        <f>+Q22</f>
        <v>C13</v>
      </c>
      <c r="AA61" s="55">
        <f>IF(ISTEXT(Z61),AA59,0)</f>
        <v>0</v>
      </c>
      <c r="AB61" s="55">
        <f>IF(ISTEXT(Z61),AB59,0)</f>
        <v>0</v>
      </c>
      <c r="AC61" s="56">
        <f>IF(ISTEXT(Z61),AC59,0)</f>
        <v>0</v>
      </c>
      <c r="AD61" s="6"/>
      <c r="AE61" s="11" t="str">
        <f>+T22</f>
        <v>C16</v>
      </c>
      <c r="AF61" s="55">
        <f>IF(ISTEXT(AE61),AF59,0)</f>
        <v>0</v>
      </c>
      <c r="AG61" s="52">
        <f>IF(ISTEXT(AE61),AG59,0)</f>
        <v>0</v>
      </c>
      <c r="AH61" s="56">
        <f>IF(ISTEXT(AE61),AH59,0)</f>
        <v>0</v>
      </c>
      <c r="AI61" s="6"/>
      <c r="AJ61" s="11" t="str">
        <f>+W22</f>
        <v>C3</v>
      </c>
      <c r="AK61" s="55">
        <f>IF(ISTEXT(AJ61),AK59,0)</f>
        <v>0</v>
      </c>
      <c r="AL61" s="52">
        <f>IF(ISTEXT(AJ61),AL59,0)</f>
        <v>0</v>
      </c>
      <c r="AM61" s="56">
        <f>IF(ISTEXT(AJ61),AM59,0)</f>
        <v>0</v>
      </c>
      <c r="AN61" s="18"/>
      <c r="AO61" s="44">
        <v>53</v>
      </c>
      <c r="AP61" s="5" t="str">
        <f>+Inscrits!F19</f>
        <v>C17</v>
      </c>
      <c r="AQ61" s="247" t="str">
        <f t="shared" si="3"/>
        <v xml:space="preserve"> </v>
      </c>
      <c r="AR61" s="82" t="str">
        <f t="shared" si="4"/>
        <v xml:space="preserve"> </v>
      </c>
      <c r="AS61" s="184" t="str">
        <f t="shared" si="5"/>
        <v xml:space="preserve"> </v>
      </c>
      <c r="AT61" s="250" t="str">
        <f t="shared" si="6"/>
        <v xml:space="preserve"> </v>
      </c>
      <c r="AU61" s="82" t="str">
        <f t="shared" si="7"/>
        <v xml:space="preserve"> </v>
      </c>
      <c r="AV61" s="252" t="str">
        <f t="shared" si="8"/>
        <v xml:space="preserve"> </v>
      </c>
      <c r="AW61" s="247" t="str">
        <f t="shared" si="9"/>
        <v xml:space="preserve"> </v>
      </c>
      <c r="AX61" s="82" t="str">
        <f t="shared" si="10"/>
        <v xml:space="preserve"> </v>
      </c>
      <c r="AY61" s="252" t="str">
        <f t="shared" si="11"/>
        <v xml:space="preserve"> </v>
      </c>
      <c r="AZ61" s="247">
        <f t="shared" si="17"/>
        <v>0</v>
      </c>
      <c r="BA61" s="82">
        <f t="shared" si="12"/>
        <v>0</v>
      </c>
      <c r="BB61" s="252">
        <f t="shared" si="13"/>
        <v>0</v>
      </c>
      <c r="BC61" s="255">
        <f t="shared" si="14"/>
        <v>0</v>
      </c>
      <c r="BD61" s="7">
        <f t="shared" si="15"/>
        <v>0</v>
      </c>
      <c r="BE61" s="183">
        <f t="shared" si="16"/>
        <v>25.000000610000001</v>
      </c>
      <c r="BF61" s="82">
        <f>IF(AP61="","",SMALL(BE$9:BE$62,ROWS(AZ$9:AZ61)))</f>
        <v>25.000000610000001</v>
      </c>
      <c r="BG61"/>
      <c r="BH61" s="250" t="str">
        <f>IF(OR(AP61="",AZ61=""),"",INDEX($AP$9:$AP$63,MATCH(BF61,$BE$9:BE$62,0)))</f>
        <v>C17</v>
      </c>
      <c r="BI61" s="7">
        <f t="shared" si="18"/>
        <v>0</v>
      </c>
      <c r="BJ61" s="7">
        <f t="shared" si="19"/>
        <v>0</v>
      </c>
      <c r="BK61" s="7">
        <f t="shared" si="20"/>
        <v>0</v>
      </c>
      <c r="BL61" s="17">
        <f>IF(BF61="","",IF(AND(BI60=BI61,BJ60=BJ61,BK60=BK61),BL60,$BL$9+52))</f>
        <v>26</v>
      </c>
      <c r="BN61" s="225"/>
      <c r="BO61" s="342" t="str">
        <f>IF(AND($K$5=53),1,IF(AND($K$5=54),2," "))</f>
        <v xml:space="preserve"> </v>
      </c>
    </row>
    <row r="62" spans="1:67" ht="21.6" thickBot="1" x14ac:dyDescent="0.45">
      <c r="Y62" s="383"/>
      <c r="Z62" s="24"/>
      <c r="AA62" s="195" t="s">
        <v>5</v>
      </c>
      <c r="AB62" s="16"/>
      <c r="AC62" s="17"/>
      <c r="AD62" s="20"/>
      <c r="AE62" s="24"/>
      <c r="AF62" s="195" t="s">
        <v>5</v>
      </c>
      <c r="AG62" s="16"/>
      <c r="AH62" s="17"/>
      <c r="AI62" s="20"/>
      <c r="AJ62" s="24"/>
      <c r="AK62" s="195" t="s">
        <v>5</v>
      </c>
      <c r="AL62" s="16"/>
      <c r="AM62" s="17"/>
      <c r="AN62" s="18"/>
      <c r="AO62" s="283">
        <v>54</v>
      </c>
      <c r="AP62" s="280" t="str">
        <f>+Inscrits!F20</f>
        <v>C18</v>
      </c>
      <c r="AQ62" s="248" t="str">
        <f t="shared" si="3"/>
        <v xml:space="preserve"> </v>
      </c>
      <c r="AR62" s="189" t="str">
        <f t="shared" si="4"/>
        <v xml:space="preserve"> </v>
      </c>
      <c r="AS62" s="190" t="str">
        <f t="shared" si="5"/>
        <v xml:space="preserve"> </v>
      </c>
      <c r="AT62" s="251" t="str">
        <f t="shared" si="6"/>
        <v xml:space="preserve"> </v>
      </c>
      <c r="AU62" s="189" t="str">
        <f t="shared" si="7"/>
        <v xml:space="preserve"> </v>
      </c>
      <c r="AV62" s="253" t="str">
        <f t="shared" si="8"/>
        <v xml:space="preserve"> </v>
      </c>
      <c r="AW62" s="248" t="str">
        <f t="shared" si="9"/>
        <v xml:space="preserve"> </v>
      </c>
      <c r="AX62" s="189" t="str">
        <f t="shared" si="10"/>
        <v xml:space="preserve"> </v>
      </c>
      <c r="AY62" s="253" t="str">
        <f t="shared" si="11"/>
        <v xml:space="preserve"> </v>
      </c>
      <c r="AZ62" s="248">
        <f t="shared" si="17"/>
        <v>0</v>
      </c>
      <c r="BA62" s="189">
        <f t="shared" si="12"/>
        <v>0</v>
      </c>
      <c r="BB62" s="253">
        <f t="shared" si="13"/>
        <v>0</v>
      </c>
      <c r="BC62" s="256">
        <f t="shared" si="14"/>
        <v>0</v>
      </c>
      <c r="BD62" s="244">
        <f t="shared" si="15"/>
        <v>0</v>
      </c>
      <c r="BE62" s="183">
        <f t="shared" si="16"/>
        <v>25.000000620000002</v>
      </c>
      <c r="BF62" s="82">
        <f>IF(AP62="","",SMALL(BE$9:BE$62,ROWS(AZ$9:AZ62)))</f>
        <v>25.000000620000002</v>
      </c>
      <c r="BG62"/>
      <c r="BH62" s="251" t="str">
        <f>IF(OR(AP62="",AZ62=""),"",INDEX($AP$9:$AP$63,MATCH(BF62,$BE$9:BE$62,0)))</f>
        <v>C18</v>
      </c>
      <c r="BI62" s="244">
        <f t="shared" si="18"/>
        <v>0</v>
      </c>
      <c r="BJ62" s="244">
        <f t="shared" si="19"/>
        <v>0</v>
      </c>
      <c r="BK62" s="244">
        <f t="shared" si="20"/>
        <v>0</v>
      </c>
      <c r="BL62" s="17">
        <f>IF(BF62="","",IF(AND(BI61=BI62,BJ61=BJ62,BK61=BK62),BL61,$BL$9+53))</f>
        <v>26</v>
      </c>
      <c r="BN62" s="225"/>
      <c r="BO62" s="342" t="str">
        <f>IF(AND($K$5=54),1," ")</f>
        <v xml:space="preserve"> </v>
      </c>
    </row>
    <row r="63" spans="1:67" x14ac:dyDescent="0.3">
      <c r="Y63" s="383"/>
      <c r="Z63" s="11" t="str">
        <f>+O23</f>
        <v>A14</v>
      </c>
      <c r="AA63" s="27">
        <v>0</v>
      </c>
      <c r="AB63" s="23">
        <f>IF(AA59+AA63=0,0,IF(AA59=AA63,2,IF(AA59&lt;AA63,3,1)))</f>
        <v>0</v>
      </c>
      <c r="AC63" s="12">
        <f>AA63-AA59</f>
        <v>0</v>
      </c>
      <c r="AD63" s="19"/>
      <c r="AE63" s="11" t="str">
        <f>+R23</f>
        <v>A15</v>
      </c>
      <c r="AF63" s="108">
        <v>0</v>
      </c>
      <c r="AG63" s="23">
        <f>IF(AF59+AF63=0,0,IF(AF59=AF63,2,IF(AF59&lt;AF63,3,1)))</f>
        <v>0</v>
      </c>
      <c r="AH63" s="12">
        <f>AF63-AF59</f>
        <v>0</v>
      </c>
      <c r="AI63" s="19"/>
      <c r="AJ63" s="11" t="str">
        <f>+U23</f>
        <v>A16</v>
      </c>
      <c r="AK63" s="29">
        <v>0</v>
      </c>
      <c r="AL63" s="23">
        <f>IF(AK59+AK63=0,0,IF(AK59=AK63,2,IF(AK59&lt;AK63,3,1)))</f>
        <v>0</v>
      </c>
      <c r="AM63" s="12">
        <f>AK63-AK59</f>
        <v>0</v>
      </c>
      <c r="AN63" s="18"/>
      <c r="AO63"/>
      <c r="AP63" s="4"/>
      <c r="AQ63" s="61">
        <f>SUM(IF(ISNA(AQ9:AQ62),0,AQ9:AQ62))</f>
        <v>24</v>
      </c>
      <c r="AR63" s="61">
        <f t="array" ref="AR63">SUM(IF(ISNA(AR9:AR62),0,AR9:AR62))</f>
        <v>0</v>
      </c>
      <c r="AS63" s="61"/>
      <c r="AT63" s="61">
        <f>SUM(IF(ISNA(AT9:AT62),0,AT9:AT62))</f>
        <v>24</v>
      </c>
      <c r="AU63" s="61">
        <f t="array" ref="AU63">SUM(IF(ISNA(AU9:AU62),0,AU9:AU62))</f>
        <v>0</v>
      </c>
      <c r="AV63" s="61"/>
      <c r="AW63" s="61">
        <f t="array" ref="AW63">SUM(IF(ISNA(AW9:AW62),0,AW9:AW62))</f>
        <v>24</v>
      </c>
      <c r="AX63" s="61">
        <f t="array" ref="AX63">SUM(IF(ISNA(AX9:AX62),0,AX9:AX62))</f>
        <v>0</v>
      </c>
      <c r="AY63" s="61"/>
      <c r="AZ63" s="6">
        <f t="array" ref="AZ63">SUM(AZ9:AZ62)</f>
        <v>72</v>
      </c>
      <c r="BA63" s="6">
        <f t="array" ref="BA63">SUM(BA9:BA62)</f>
        <v>0</v>
      </c>
      <c r="BB63" s="6"/>
      <c r="BC63" s="6"/>
      <c r="BD63" s="6"/>
      <c r="BE63" s="6"/>
      <c r="BF63" s="6"/>
      <c r="BG63" s="69"/>
      <c r="BH63" s="6"/>
      <c r="BI63" s="1"/>
      <c r="BJ63" s="6">
        <f t="array" ref="BJ63">SUM(BJ9:BJ62)</f>
        <v>0</v>
      </c>
      <c r="BK63" s="6"/>
      <c r="BL63" s="4"/>
    </row>
    <row r="64" spans="1:67" ht="16.2" thickBot="1" x14ac:dyDescent="0.35">
      <c r="Y64" s="383"/>
      <c r="Z64" s="11" t="str">
        <f>+P23</f>
        <v>B14</v>
      </c>
      <c r="AA64" s="14">
        <f>IF(ISTEXT(Z64),AA63,0)</f>
        <v>0</v>
      </c>
      <c r="AB64" s="14">
        <f>IF(ISTEXT(Z64),AB63,0)</f>
        <v>0</v>
      </c>
      <c r="AC64" s="15">
        <f>IF(ISTEXT(Z64),AC63,0)</f>
        <v>0</v>
      </c>
      <c r="AD64" s="6"/>
      <c r="AE64" s="11" t="str">
        <f>+S23</f>
        <v>B16</v>
      </c>
      <c r="AF64" s="14">
        <f>IF(ISTEXT(AE64),AF63,0)</f>
        <v>0</v>
      </c>
      <c r="AG64" s="14">
        <f>IF(ISTEXT(AE64),AG63,0)</f>
        <v>0</v>
      </c>
      <c r="AH64" s="15">
        <f>IF(ISTEXT(AE64),AH63,0)</f>
        <v>0</v>
      </c>
      <c r="AI64" s="6"/>
      <c r="AJ64" s="11" t="str">
        <f>+V23</f>
        <v>B2</v>
      </c>
      <c r="AK64" s="14">
        <f>IF(ISTEXT(AJ64),AK63,0)</f>
        <v>0</v>
      </c>
      <c r="AL64" s="14">
        <f>IF(ISTEXT(AJ64),AL63,0)</f>
        <v>0</v>
      </c>
      <c r="AM64" s="15">
        <f>IF(ISTEXT(AJ64),AM63,0)</f>
        <v>0</v>
      </c>
      <c r="AN64" s="18"/>
      <c r="AO64"/>
      <c r="AP64" s="4"/>
      <c r="AQ64" s="6"/>
      <c r="AR64" s="1" t="str">
        <f>IF(AR63=0,"OK","ERREUR")</f>
        <v>OK</v>
      </c>
      <c r="AS64" s="61"/>
      <c r="AT64" s="6"/>
      <c r="AU64" s="1" t="str">
        <f>IF(AU63=0,"OK","ERREUR")</f>
        <v>OK</v>
      </c>
      <c r="AV64" s="61"/>
      <c r="AW64" s="6"/>
      <c r="AX64" s="1" t="str">
        <f>IF(AX63=0,"OK","ERREUR")</f>
        <v>OK</v>
      </c>
      <c r="AY64" s="61"/>
      <c r="AZ64" s="4"/>
      <c r="BA64" s="1" t="str">
        <f>IF(BA63=0,"OK","ERREUR")</f>
        <v>OK</v>
      </c>
      <c r="BB64" s="61"/>
      <c r="BC64" s="6"/>
      <c r="BD64" s="6"/>
      <c r="BE64" s="6"/>
      <c r="BF64" s="6"/>
      <c r="BG64" s="69"/>
      <c r="BH64" s="6"/>
      <c r="BI64" s="1"/>
      <c r="BJ64" s="1" t="str">
        <f>IF(BJ63=0,"OK","ERREUR")</f>
        <v>OK</v>
      </c>
      <c r="BK64" s="61"/>
      <c r="BL64" s="4"/>
    </row>
    <row r="65" spans="25:64" ht="16.2" thickBot="1" x14ac:dyDescent="0.35">
      <c r="Y65" s="384"/>
      <c r="Z65" s="13" t="str">
        <f>+Q23</f>
        <v>C14</v>
      </c>
      <c r="AA65" s="14">
        <f>IF(ISTEXT(Z65),AA63,0)</f>
        <v>0</v>
      </c>
      <c r="AB65" s="14">
        <f>IF(ISTEXT(Z65),AB63,0)</f>
        <v>0</v>
      </c>
      <c r="AC65" s="15">
        <f>IF(ISTEXT(Z65),AC63,0)</f>
        <v>0</v>
      </c>
      <c r="AD65" s="6"/>
      <c r="AE65" s="13" t="str">
        <f>+T23</f>
        <v>C1</v>
      </c>
      <c r="AF65" s="14">
        <f>IF(ISTEXT(AE65),AF63,0)</f>
        <v>0</v>
      </c>
      <c r="AG65" s="14">
        <f>IF(ISTEXT(AE65),AG63,0)</f>
        <v>0</v>
      </c>
      <c r="AH65" s="15">
        <f>IF(ISTEXT(AE65),AH63,0)</f>
        <v>0</v>
      </c>
      <c r="AI65" s="6"/>
      <c r="AJ65" s="13" t="str">
        <f>+W23</f>
        <v>C4</v>
      </c>
      <c r="AK65" s="14">
        <f>IF(ISTEXT(AJ65),AK63,0)</f>
        <v>0</v>
      </c>
      <c r="AL65" s="14">
        <f>IF(ISTEXT(AJ65),AL63,0)</f>
        <v>0</v>
      </c>
      <c r="AM65" s="15">
        <f>IF(ISTEXT(AJ65),AM63,0)</f>
        <v>0</v>
      </c>
      <c r="AN65" s="18"/>
      <c r="AO65" s="20"/>
      <c r="AP65" s="4"/>
      <c r="AQ65" s="6"/>
      <c r="AR65" s="61"/>
      <c r="AS65" s="61"/>
      <c r="AT65" s="6"/>
      <c r="AU65" s="61"/>
      <c r="AV65" s="61"/>
      <c r="AW65" s="6"/>
      <c r="AX65" s="61"/>
      <c r="AY65" s="61"/>
      <c r="AZ65" s="4"/>
      <c r="BA65" s="61"/>
      <c r="BB65" s="61"/>
      <c r="BC65" s="6"/>
      <c r="BD65" s="6"/>
      <c r="BE65" s="6"/>
      <c r="BF65" s="6"/>
      <c r="BG65" s="69"/>
      <c r="BH65" s="6"/>
      <c r="BI65" s="1"/>
      <c r="BJ65" s="61"/>
      <c r="BK65" s="61"/>
      <c r="BL65" s="4"/>
    </row>
    <row r="66" spans="25:64" ht="16.2" thickBot="1" x14ac:dyDescent="0.35">
      <c r="Y66" s="20"/>
      <c r="Z66" s="59"/>
      <c r="AA66" s="199"/>
      <c r="AB66" s="59"/>
      <c r="AC66" s="59"/>
      <c r="AD66" s="199"/>
      <c r="AE66" s="59"/>
      <c r="AF66" s="199"/>
      <c r="AG66" s="59"/>
      <c r="AH66" s="59"/>
      <c r="AI66" s="199"/>
      <c r="AJ66" s="59"/>
      <c r="AK66" s="199"/>
      <c r="AL66" s="59"/>
      <c r="AM66" s="59"/>
      <c r="AN66" s="18"/>
      <c r="AO66" s="20"/>
      <c r="AP66" s="18"/>
      <c r="AQ66" s="69"/>
      <c r="AR66" s="19"/>
      <c r="AS66" s="19"/>
      <c r="AT66" s="69"/>
      <c r="AU66" s="69"/>
      <c r="AV66" s="69"/>
      <c r="AW66" s="69"/>
      <c r="AX66" s="19"/>
      <c r="AY66" s="19"/>
      <c r="AZ66" s="19"/>
      <c r="BA66" s="19"/>
      <c r="BB66" s="19"/>
      <c r="BC66" s="19"/>
      <c r="BD66" s="19"/>
      <c r="BE66" s="19"/>
      <c r="BF66" s="19"/>
      <c r="BG66" s="69"/>
      <c r="BH66" s="19"/>
      <c r="BI66" s="20"/>
      <c r="BJ66" s="20"/>
      <c r="BK66" s="20"/>
      <c r="BL66" s="18"/>
    </row>
    <row r="67" spans="25:64" x14ac:dyDescent="0.3">
      <c r="Y67" s="382">
        <v>8</v>
      </c>
      <c r="Z67" s="9" t="str">
        <f>+O24</f>
        <v>A15</v>
      </c>
      <c r="AA67" s="25">
        <v>0</v>
      </c>
      <c r="AB67" s="38">
        <f>IF(AA67+AA71=0,0,IF(AA67=AA71,2,IF(AA67&gt;AA71,3,1)))</f>
        <v>0</v>
      </c>
      <c r="AC67" s="10">
        <f>AA67-AA71</f>
        <v>0</v>
      </c>
      <c r="AD67" s="19"/>
      <c r="AE67" s="9" t="str">
        <f>+R24</f>
        <v>A16</v>
      </c>
      <c r="AF67" s="107">
        <v>0</v>
      </c>
      <c r="AG67" s="38">
        <f>IF(AF67+AF71=0,0,IF(AF67=AF71,2,IF(AF67&gt;AF71,3,1)))</f>
        <v>0</v>
      </c>
      <c r="AH67" s="10">
        <f>AF67-AF71</f>
        <v>0</v>
      </c>
      <c r="AI67" s="19"/>
      <c r="AJ67" s="9" t="str">
        <f>+U24</f>
        <v>A1</v>
      </c>
      <c r="AK67" s="28">
        <v>0</v>
      </c>
      <c r="AL67" s="38">
        <f>IF(AK67+AK71=0,0,IF(AK67=AK71,2,IF(AK67&gt;AK71,3,1)))</f>
        <v>0</v>
      </c>
      <c r="AM67" s="10">
        <f>AK67-AK71</f>
        <v>0</v>
      </c>
      <c r="AN67" s="18"/>
      <c r="AO67" s="20"/>
      <c r="AP67" s="321" t="s">
        <v>28</v>
      </c>
      <c r="AQ67" s="323">
        <f>COUNTIF(AQ9:AQ56,1)</f>
        <v>6</v>
      </c>
      <c r="AR67" s="324"/>
      <c r="AS67" s="324"/>
      <c r="AT67" s="323">
        <f>COUNTIF(AT9:AT56,1)</f>
        <v>6</v>
      </c>
      <c r="AU67" s="323"/>
      <c r="AV67" s="323"/>
      <c r="AW67" s="323">
        <f>COUNTIF(AW9:AW56,1)</f>
        <v>6</v>
      </c>
      <c r="AX67" s="324"/>
      <c r="AY67" s="324"/>
      <c r="AZ67" s="323">
        <f>COUNTIF(AZ9:AZ62,3)</f>
        <v>7</v>
      </c>
      <c r="BA67" s="325"/>
      <c r="BB67" s="325"/>
      <c r="BC67" s="323">
        <f>COUNTIF(BC9:BC56,1)</f>
        <v>0</v>
      </c>
      <c r="BD67" s="322"/>
      <c r="BE67" s="319"/>
      <c r="BF67" s="21">
        <f>COUNTIF(BF9:BF56,1)</f>
        <v>0</v>
      </c>
      <c r="BG67" s="69"/>
      <c r="BH67" s="18"/>
      <c r="BI67" s="18"/>
      <c r="BJ67" s="18"/>
      <c r="BK67" s="18"/>
      <c r="BL67" s="18"/>
    </row>
    <row r="68" spans="25:64" ht="16.2" thickBot="1" x14ac:dyDescent="0.35">
      <c r="Y68" s="383"/>
      <c r="Z68" s="11" t="str">
        <f>+P24</f>
        <v>B15</v>
      </c>
      <c r="AA68" s="14">
        <f>IF(ISTEXT(Z68),AA67,0)</f>
        <v>0</v>
      </c>
      <c r="AB68" s="14">
        <f>IF(ISTEXT(Z68),AB67,0)</f>
        <v>0</v>
      </c>
      <c r="AC68" s="15">
        <f>IF(ISTEXT(Z68),AC67,0)</f>
        <v>0</v>
      </c>
      <c r="AD68" s="6"/>
      <c r="AE68" s="11" t="str">
        <f>+S24</f>
        <v>B1</v>
      </c>
      <c r="AF68" s="14">
        <f>IF(ISTEXT(AE68),AF67,0)</f>
        <v>0</v>
      </c>
      <c r="AG68" s="48">
        <f>IF(ISTEXT(AE68),AG67,0)</f>
        <v>0</v>
      </c>
      <c r="AH68" s="15">
        <f>IF(ISTEXT(AE68),AH67,0)</f>
        <v>0</v>
      </c>
      <c r="AI68" s="6"/>
      <c r="AJ68" s="11" t="str">
        <f>+V24</f>
        <v>B3</v>
      </c>
      <c r="AK68" s="14">
        <f>IF(ISTEXT(AJ68),AK67,0)</f>
        <v>0</v>
      </c>
      <c r="AL68" s="48">
        <f>IF(ISTEXT(AJ68),AL67,0)</f>
        <v>0</v>
      </c>
      <c r="AM68" s="15">
        <f>IF(ISTEXT(AJ68),AM67,0)</f>
        <v>0</v>
      </c>
      <c r="AN68" s="18"/>
      <c r="AO68" s="20"/>
      <c r="AP68" s="321" t="s">
        <v>44</v>
      </c>
      <c r="AQ68" s="323">
        <f>COUNTIF(AQ9:AQ56,2)</f>
        <v>0</v>
      </c>
      <c r="AR68" s="324"/>
      <c r="AS68" s="324"/>
      <c r="AT68" s="323">
        <f>COUNTIF(AT9:AT56,2)</f>
        <v>0</v>
      </c>
      <c r="AU68" s="324"/>
      <c r="AV68" s="324"/>
      <c r="AW68" s="323">
        <f>COUNTIF(AW9:AW56,2)</f>
        <v>0</v>
      </c>
      <c r="AX68" s="324"/>
      <c r="AY68" s="324"/>
      <c r="AZ68" s="323">
        <f>COUNTIF(AZ9:AZ62,5)</f>
        <v>1</v>
      </c>
      <c r="BA68" s="325"/>
      <c r="BB68" s="325"/>
      <c r="BC68" s="323">
        <f>COUNTIF(BC9:BC56,2)</f>
        <v>0</v>
      </c>
      <c r="BD68" s="315"/>
      <c r="BE68" s="320"/>
      <c r="BF68" s="21">
        <f>COUNTIF(BF9:BF56,2)</f>
        <v>0</v>
      </c>
      <c r="BG68" s="69"/>
      <c r="BH68" s="315" t="s">
        <v>31</v>
      </c>
      <c r="BI68" s="18"/>
      <c r="BJ68" s="18"/>
      <c r="BK68" s="18"/>
      <c r="BL68" s="18"/>
    </row>
    <row r="69" spans="25:64" x14ac:dyDescent="0.3">
      <c r="Y69" s="383"/>
      <c r="Z69" s="11" t="str">
        <f>+Q24</f>
        <v>C15</v>
      </c>
      <c r="AA69" s="55">
        <f>IF(ISTEXT(Z69),AA67,0)</f>
        <v>0</v>
      </c>
      <c r="AB69" s="55">
        <f>IF(ISTEXT(Z69),AB67,0)</f>
        <v>0</v>
      </c>
      <c r="AC69" s="56">
        <f>IF(ISTEXT(Z69),AC67,0)</f>
        <v>0</v>
      </c>
      <c r="AD69" s="6"/>
      <c r="AE69" s="11" t="str">
        <f>+T24</f>
        <v>C2</v>
      </c>
      <c r="AF69" s="55">
        <f>IF(ISTEXT(AE69),AF67,0)</f>
        <v>0</v>
      </c>
      <c r="AG69" s="52">
        <f>IF(ISTEXT(AE69),AG67,0)</f>
        <v>0</v>
      </c>
      <c r="AH69" s="56">
        <f>IF(ISTEXT(AE69),AH67,0)</f>
        <v>0</v>
      </c>
      <c r="AI69" s="6"/>
      <c r="AJ69" s="11" t="str">
        <f>+W24</f>
        <v>C5</v>
      </c>
      <c r="AK69" s="55">
        <f>IF(ISTEXT(AJ69),AK67,0)</f>
        <v>0</v>
      </c>
      <c r="AL69" s="52">
        <f>IF(ISTEXT(AJ69),AL67,0)</f>
        <v>0</v>
      </c>
      <c r="AM69" s="56">
        <f>IF(ISTEXT(AJ69),AM67,0)</f>
        <v>0</v>
      </c>
      <c r="AN69" s="18"/>
      <c r="AO69" s="18"/>
      <c r="AP69" s="321" t="s">
        <v>47</v>
      </c>
      <c r="AQ69" s="323"/>
      <c r="AR69" s="324"/>
      <c r="AS69" s="324"/>
      <c r="AT69" s="323"/>
      <c r="AU69" s="324"/>
      <c r="AV69" s="324"/>
      <c r="AW69" s="323"/>
      <c r="AX69" s="324"/>
      <c r="AY69" s="324"/>
      <c r="AZ69" s="323">
        <f>COUNTIF(AZ10:AZ63,6)</f>
        <v>2</v>
      </c>
      <c r="BA69" s="325"/>
      <c r="BB69" s="325"/>
      <c r="BC69" s="323">
        <f>COUNTIF(BC9:BC56,3)</f>
        <v>0</v>
      </c>
      <c r="BD69" s="315"/>
      <c r="BE69" s="320"/>
      <c r="BF69" s="21">
        <f>COUNTIF(BF9:BF56,3)</f>
        <v>0</v>
      </c>
      <c r="BG69" s="69"/>
      <c r="BH69" s="18"/>
      <c r="BI69" s="18"/>
      <c r="BJ69" s="18"/>
      <c r="BK69" s="18"/>
      <c r="BL69" s="18"/>
    </row>
    <row r="70" spans="25:64" x14ac:dyDescent="0.3">
      <c r="Y70" s="383"/>
      <c r="Z70" s="24"/>
      <c r="AA70" s="195" t="s">
        <v>5</v>
      </c>
      <c r="AB70" s="16"/>
      <c r="AC70" s="17"/>
      <c r="AD70" s="20"/>
      <c r="AE70" s="24"/>
      <c r="AF70" s="195" t="s">
        <v>5</v>
      </c>
      <c r="AG70" s="16"/>
      <c r="AH70" s="17"/>
      <c r="AI70" s="20"/>
      <c r="AJ70" s="24"/>
      <c r="AK70" s="195" t="s">
        <v>5</v>
      </c>
      <c r="AL70" s="16"/>
      <c r="AM70" s="17"/>
      <c r="AN70" s="18"/>
      <c r="AO70" s="18"/>
      <c r="AP70" s="321" t="s">
        <v>45</v>
      </c>
      <c r="AQ70" s="323">
        <f>COUNTIF(AQ9:AQ56,3)</f>
        <v>6</v>
      </c>
      <c r="AR70" s="324"/>
      <c r="AS70" s="324"/>
      <c r="AT70" s="323">
        <f>COUNTIF(AT9:AT56,3)</f>
        <v>6</v>
      </c>
      <c r="AU70" s="324"/>
      <c r="AV70" s="324"/>
      <c r="AW70" s="323">
        <f>COUNTIF(AW9:AW56,3)</f>
        <v>6</v>
      </c>
      <c r="AX70" s="324"/>
      <c r="AY70" s="324"/>
      <c r="AZ70" s="323">
        <f>COUNTIF(AZ9:AZ62,7)</f>
        <v>1</v>
      </c>
      <c r="BA70" s="325"/>
      <c r="BB70" s="325"/>
      <c r="BC70" s="323">
        <f>COUNTIF(BC9:BC56,0)</f>
        <v>36</v>
      </c>
      <c r="BD70" s="315"/>
      <c r="BE70" s="320"/>
      <c r="BF70" s="21">
        <f>COUNTIF(BF9:BF56,0)</f>
        <v>0</v>
      </c>
      <c r="BG70" s="18"/>
      <c r="BH70" s="18"/>
      <c r="BI70" s="18"/>
      <c r="BJ70" s="18"/>
      <c r="BK70" s="18"/>
      <c r="BL70" s="18"/>
    </row>
    <row r="71" spans="25:64" x14ac:dyDescent="0.3">
      <c r="Y71" s="383"/>
      <c r="Z71" s="11" t="str">
        <f>+O25</f>
        <v>A16</v>
      </c>
      <c r="AA71" s="27">
        <v>0</v>
      </c>
      <c r="AB71" s="23">
        <f>IF(AA67+AA71=0,0,IF(AA67=AA71,2,IF(AA67&lt;AA71,3,1)))</f>
        <v>0</v>
      </c>
      <c r="AC71" s="12">
        <f>AA71-AA67</f>
        <v>0</v>
      </c>
      <c r="AD71" s="19"/>
      <c r="AE71" s="11" t="str">
        <f>+R25</f>
        <v>A1</v>
      </c>
      <c r="AF71" s="108">
        <v>0</v>
      </c>
      <c r="AG71" s="23">
        <f>IF(AF67+AF71=0,0,IF(AF67=AF71,2,IF(AF67&lt;AF71,3,1)))</f>
        <v>0</v>
      </c>
      <c r="AH71" s="12">
        <f>AF71-AF67</f>
        <v>0</v>
      </c>
      <c r="AI71" s="19"/>
      <c r="AJ71" s="11" t="str">
        <f>+U25</f>
        <v>A2</v>
      </c>
      <c r="AK71" s="29">
        <v>0</v>
      </c>
      <c r="AL71" s="23">
        <f>IF(AK67+AK71=0,0,IF(AK67=AK71,2,IF(AK67&lt;AK71,3,1)))</f>
        <v>0</v>
      </c>
      <c r="AM71" s="12">
        <f>AK71-AK67</f>
        <v>0</v>
      </c>
      <c r="AN71" s="18"/>
      <c r="AO71" s="18"/>
      <c r="AP71" s="321" t="s">
        <v>46</v>
      </c>
      <c r="AQ71" s="323">
        <f>COUNTIF(AQ9:AQ56,0)</f>
        <v>32</v>
      </c>
      <c r="AR71" s="324"/>
      <c r="AS71" s="324"/>
      <c r="AT71" s="323">
        <f>COUNTIF(AT9:AT56,0)</f>
        <v>32</v>
      </c>
      <c r="AU71" s="324"/>
      <c r="AV71" s="324"/>
      <c r="AW71" s="323">
        <f>COUNTIF(AW9:AW56,0)</f>
        <v>32</v>
      </c>
      <c r="AX71" s="324"/>
      <c r="AY71" s="324"/>
      <c r="AZ71" s="323">
        <f>COUNTIF(AZ10:AZ63,9)</f>
        <v>0</v>
      </c>
      <c r="BA71" s="325"/>
      <c r="BB71" s="325"/>
      <c r="BC71" s="323">
        <f>COUNTIF(BC9:BC63,#N/A)</f>
        <v>0</v>
      </c>
      <c r="BD71" s="315"/>
      <c r="BE71" s="320"/>
      <c r="BF71" s="21">
        <f>COUNTIF(BF9:BF63,#N/A)</f>
        <v>0</v>
      </c>
      <c r="BG71" s="18"/>
      <c r="BH71" s="18"/>
      <c r="BI71" s="18"/>
      <c r="BJ71" s="18"/>
      <c r="BK71" s="18"/>
      <c r="BL71" s="18"/>
    </row>
    <row r="72" spans="25:64" ht="16.2" thickBot="1" x14ac:dyDescent="0.35">
      <c r="Y72" s="383"/>
      <c r="Z72" s="11" t="str">
        <f>+P25</f>
        <v>B16</v>
      </c>
      <c r="AA72" s="14">
        <f>IF(ISTEXT(Z72),AA71,0)</f>
        <v>0</v>
      </c>
      <c r="AB72" s="14">
        <f>IF(ISTEXT(Z72),AB71,0)</f>
        <v>0</v>
      </c>
      <c r="AC72" s="15">
        <f>IF(ISTEXT(Z72),AC71,0)</f>
        <v>0</v>
      </c>
      <c r="AD72" s="6"/>
      <c r="AE72" s="11" t="str">
        <f>+S25</f>
        <v>B2</v>
      </c>
      <c r="AF72" s="14">
        <f>IF(ISTEXT(AE72),AF71,0)</f>
        <v>0</v>
      </c>
      <c r="AG72" s="14">
        <f>IF(ISTEXT(AE72),AG71,0)</f>
        <v>0</v>
      </c>
      <c r="AH72" s="15">
        <f>IF(ISTEXT(AE72),AH71,0)</f>
        <v>0</v>
      </c>
      <c r="AI72" s="6"/>
      <c r="AJ72" s="11" t="str">
        <f>+V25</f>
        <v>B4</v>
      </c>
      <c r="AK72" s="14">
        <f>IF(ISTEXT(AJ72),AK71,0)</f>
        <v>0</v>
      </c>
      <c r="AL72" s="14">
        <f>IF(ISTEXT(AJ72),AL71,0)</f>
        <v>0</v>
      </c>
      <c r="AM72" s="15">
        <f>IF(ISTEXT(AJ72),AM71,0)</f>
        <v>0</v>
      </c>
      <c r="AN72" s="18"/>
      <c r="AO72" s="18"/>
      <c r="AP72" s="321" t="e">
        <v>#N/A</v>
      </c>
      <c r="AQ72" s="323">
        <f>COUNTIF(AQ9:AQ63,#N/A)</f>
        <v>0</v>
      </c>
      <c r="AR72" s="324"/>
      <c r="AS72" s="324"/>
      <c r="AT72" s="323">
        <f>COUNTIF(AT9:AT63,#N/A)</f>
        <v>0</v>
      </c>
      <c r="AU72" s="324"/>
      <c r="AV72" s="324"/>
      <c r="AW72" s="323">
        <f>COUNTIF(AW9:AW63,#N/A)</f>
        <v>0</v>
      </c>
      <c r="AX72" s="324"/>
      <c r="AY72" s="324"/>
      <c r="AZ72" s="323">
        <f>COUNTIF(AZ9:AZ62,#N/A)</f>
        <v>0</v>
      </c>
      <c r="BA72" s="325"/>
      <c r="BB72" s="325"/>
      <c r="BC72" s="323">
        <f>SUM(BC67:BC71)</f>
        <v>36</v>
      </c>
      <c r="BD72" s="322"/>
      <c r="BE72" s="319"/>
      <c r="BF72" s="21">
        <f>SUM(BF67:BF71)</f>
        <v>0</v>
      </c>
      <c r="BG72" s="18"/>
      <c r="BH72" s="18"/>
      <c r="BI72" s="18"/>
      <c r="BJ72" s="18"/>
      <c r="BK72" s="18"/>
      <c r="BL72" s="18"/>
    </row>
    <row r="73" spans="25:64" ht="16.2" thickBot="1" x14ac:dyDescent="0.35">
      <c r="Y73" s="384"/>
      <c r="Z73" s="13" t="str">
        <f>+Q25</f>
        <v>C16</v>
      </c>
      <c r="AA73" s="14">
        <f>IF(ISTEXT(Z73),AA71,0)</f>
        <v>0</v>
      </c>
      <c r="AB73" s="14">
        <f>IF(ISTEXT(Z73),AB71,0)</f>
        <v>0</v>
      </c>
      <c r="AC73" s="15">
        <f>IF(ISTEXT(Z73),AC71,0)</f>
        <v>0</v>
      </c>
      <c r="AD73" s="6"/>
      <c r="AE73" s="13" t="str">
        <f>+T25</f>
        <v>C3</v>
      </c>
      <c r="AF73" s="14">
        <f>IF(ISTEXT(AE73),AF71,0)</f>
        <v>0</v>
      </c>
      <c r="AG73" s="14">
        <f>IF(ISTEXT(AE73),AG71,0)</f>
        <v>0</v>
      </c>
      <c r="AH73" s="15">
        <f>IF(ISTEXT(AE73),AH71,0)</f>
        <v>0</v>
      </c>
      <c r="AI73" s="6"/>
      <c r="AJ73" s="13" t="str">
        <f>+W25</f>
        <v>C6</v>
      </c>
      <c r="AK73" s="14">
        <f>IF(ISTEXT(AJ73),AK71,0)</f>
        <v>0</v>
      </c>
      <c r="AL73" s="14">
        <f>IF(ISTEXT(AJ73),AL71,0)</f>
        <v>0</v>
      </c>
      <c r="AM73" s="15">
        <f>IF(ISTEXT(AJ73),AM71,0)</f>
        <v>0</v>
      </c>
      <c r="AN73" s="18"/>
      <c r="AO73" s="18"/>
      <c r="AP73" s="321"/>
      <c r="AQ73" s="323">
        <f>SUM(AQ67:AQ72)</f>
        <v>44</v>
      </c>
      <c r="AR73" s="323"/>
      <c r="AS73" s="323"/>
      <c r="AT73" s="323">
        <f>SUM(AT67:AT72)</f>
        <v>44</v>
      </c>
      <c r="AU73" s="323"/>
      <c r="AV73" s="323"/>
      <c r="AW73" s="323">
        <f>SUM(AW67:AW72)</f>
        <v>44</v>
      </c>
      <c r="AX73" s="324"/>
      <c r="AY73" s="324"/>
      <c r="AZ73" s="323">
        <f>SUM(AZ67:AZ72)</f>
        <v>11</v>
      </c>
      <c r="BA73" s="324"/>
      <c r="BB73" s="324"/>
      <c r="BC73" s="324"/>
      <c r="BD73" s="315"/>
      <c r="BE73" s="18"/>
      <c r="BF73" s="18"/>
      <c r="BG73" s="18"/>
      <c r="BH73" s="18"/>
      <c r="BI73" s="18"/>
    </row>
    <row r="74" spans="25:64" ht="16.2" thickBot="1" x14ac:dyDescent="0.35">
      <c r="Y74" s="20"/>
      <c r="Z74" s="58"/>
      <c r="AA74" s="196"/>
      <c r="AB74" s="58"/>
      <c r="AC74" s="58"/>
      <c r="AD74" s="196"/>
      <c r="AE74" s="58"/>
      <c r="AF74" s="196"/>
      <c r="AG74" s="58"/>
      <c r="AH74" s="58"/>
      <c r="AI74" s="196"/>
      <c r="AJ74" s="58"/>
      <c r="AK74" s="196"/>
      <c r="AL74" s="58"/>
      <c r="AM74" s="5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</row>
    <row r="75" spans="25:64" x14ac:dyDescent="0.3">
      <c r="Y75" s="382">
        <v>9</v>
      </c>
      <c r="Z75" s="9">
        <f>+O26</f>
        <v>0</v>
      </c>
      <c r="AA75" s="25">
        <v>0</v>
      </c>
      <c r="AB75" s="38">
        <f>IF(AA75+AA79=0,0,IF(AA75=AA79,2,IF(AA75&gt;AA79,3,1)))</f>
        <v>0</v>
      </c>
      <c r="AC75" s="10">
        <f>AA75-AA79</f>
        <v>0</v>
      </c>
      <c r="AD75" s="19"/>
      <c r="AE75" s="9">
        <f>+R26</f>
        <v>0</v>
      </c>
      <c r="AF75" s="107">
        <v>0</v>
      </c>
      <c r="AG75" s="38">
        <f>IF(AF75+AF79=0,0,IF(AF75=AF79,2,IF(AF75&gt;AF79,3,1)))</f>
        <v>0</v>
      </c>
      <c r="AH75" s="10">
        <f>AF75-AF79</f>
        <v>0</v>
      </c>
      <c r="AI75" s="19"/>
      <c r="AJ75" s="9">
        <f>+U26</f>
        <v>0</v>
      </c>
      <c r="AK75" s="28">
        <v>0</v>
      </c>
      <c r="AL75" s="38">
        <f>IF(AK75+AK79=0,0,IF(AK75=AK79,2,IF(AK75&gt;AK79,3,1)))</f>
        <v>0</v>
      </c>
      <c r="AM75" s="10">
        <f>AK75-AK79</f>
        <v>0</v>
      </c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</row>
    <row r="76" spans="25:64" ht="16.2" thickBot="1" x14ac:dyDescent="0.35">
      <c r="Y76" s="383"/>
      <c r="Z76" s="11">
        <f>+P26</f>
        <v>0</v>
      </c>
      <c r="AA76" s="14">
        <f>IF(ISTEXT(Z76),AA75,0)</f>
        <v>0</v>
      </c>
      <c r="AB76" s="14">
        <f>IF(ISTEXT(Z76),AB75,0)</f>
        <v>0</v>
      </c>
      <c r="AC76" s="15">
        <f>IF(ISTEXT(Z76),AC75,0)</f>
        <v>0</v>
      </c>
      <c r="AD76" s="6"/>
      <c r="AE76" s="11">
        <f>+S26</f>
        <v>0</v>
      </c>
      <c r="AF76" s="14">
        <f>IF(ISTEXT(AE76),AF75,0)</f>
        <v>0</v>
      </c>
      <c r="AG76" s="48">
        <f>IF(ISTEXT(AE76),AG75,0)</f>
        <v>0</v>
      </c>
      <c r="AH76" s="15">
        <f>IF(ISTEXT(AE76),AH75,0)</f>
        <v>0</v>
      </c>
      <c r="AI76" s="6"/>
      <c r="AJ76" s="11">
        <f>+V26</f>
        <v>0</v>
      </c>
      <c r="AK76" s="14">
        <f>IF(ISTEXT(AJ76),AK75,0)</f>
        <v>0</v>
      </c>
      <c r="AL76" s="48">
        <f>IF(ISTEXT(AJ76),AL75,0)</f>
        <v>0</v>
      </c>
      <c r="AM76" s="15">
        <f>IF(ISTEXT(AJ76),AM75,0)</f>
        <v>0</v>
      </c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</row>
    <row r="77" spans="25:64" x14ac:dyDescent="0.3">
      <c r="Y77" s="383"/>
      <c r="Z77" s="11">
        <f>+Q26</f>
        <v>0</v>
      </c>
      <c r="AA77" s="55">
        <f>IF(ISTEXT(Z77),AA75,0)</f>
        <v>0</v>
      </c>
      <c r="AB77" s="55">
        <f>IF(ISTEXT(Z77),AB75,0)</f>
        <v>0</v>
      </c>
      <c r="AC77" s="56">
        <f>IF(ISTEXT(Z77),AC75,0)</f>
        <v>0</v>
      </c>
      <c r="AD77" s="6"/>
      <c r="AE77" s="11">
        <f>+T26</f>
        <v>0</v>
      </c>
      <c r="AF77" s="55">
        <f>IF(ISTEXT(AE77),AF75,0)</f>
        <v>0</v>
      </c>
      <c r="AG77" s="52">
        <f>IF(ISTEXT(AE77),AG75,0)</f>
        <v>0</v>
      </c>
      <c r="AH77" s="56">
        <f>IF(ISTEXT(AE77),AH75,0)</f>
        <v>0</v>
      </c>
      <c r="AI77" s="6"/>
      <c r="AJ77" s="11">
        <f>+W26</f>
        <v>0</v>
      </c>
      <c r="AK77" s="55">
        <f>IF(ISTEXT(AJ77),AK75,0)</f>
        <v>0</v>
      </c>
      <c r="AL77" s="52">
        <f>IF(ISTEXT(AJ77),AL75,0)</f>
        <v>0</v>
      </c>
      <c r="AM77" s="56">
        <f>IF(ISTEXT(AJ77),AM75,0)</f>
        <v>0</v>
      </c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</row>
    <row r="78" spans="25:64" x14ac:dyDescent="0.3">
      <c r="Y78" s="383"/>
      <c r="Z78" s="24"/>
      <c r="AA78" s="195" t="s">
        <v>5</v>
      </c>
      <c r="AB78" s="16"/>
      <c r="AC78" s="17"/>
      <c r="AD78" s="20"/>
      <c r="AE78" s="24"/>
      <c r="AF78" s="195" t="s">
        <v>5</v>
      </c>
      <c r="AG78" s="16"/>
      <c r="AH78" s="17"/>
      <c r="AI78" s="20"/>
      <c r="AJ78" s="24"/>
      <c r="AK78" s="195" t="s">
        <v>5</v>
      </c>
      <c r="AL78" s="16"/>
      <c r="AM78" s="17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</row>
    <row r="79" spans="25:64" x14ac:dyDescent="0.3">
      <c r="Y79" s="383"/>
      <c r="Z79" s="11">
        <f>+O27</f>
        <v>0</v>
      </c>
      <c r="AA79" s="27">
        <v>0</v>
      </c>
      <c r="AB79" s="23">
        <f>IF(AA75+AA79=0,0,IF(AA75=AA79,2,IF(AA75&lt;AA79,3,1)))</f>
        <v>0</v>
      </c>
      <c r="AC79" s="12">
        <f>AA79-AA75</f>
        <v>0</v>
      </c>
      <c r="AD79" s="19"/>
      <c r="AE79" s="11">
        <f>+R27</f>
        <v>0</v>
      </c>
      <c r="AF79" s="108">
        <v>0</v>
      </c>
      <c r="AG79" s="23">
        <f>IF(AF75+AF79=0,0,IF(AF75=AF79,2,IF(AF75&lt;AF79,3,1)))</f>
        <v>0</v>
      </c>
      <c r="AH79" s="12">
        <f>AF79-AF75</f>
        <v>0</v>
      </c>
      <c r="AI79" s="19"/>
      <c r="AJ79" s="11">
        <f>+U27</f>
        <v>0</v>
      </c>
      <c r="AK79" s="29">
        <v>0</v>
      </c>
      <c r="AL79" s="23">
        <f>IF(AK75+AK79=0,0,IF(AK75=AK79,2,IF(AK75&lt;AK79,3,1)))</f>
        <v>0</v>
      </c>
      <c r="AM79" s="12">
        <f>AK79-AK75</f>
        <v>0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</row>
    <row r="80" spans="25:64" ht="16.2" thickBot="1" x14ac:dyDescent="0.35">
      <c r="Y80" s="383"/>
      <c r="Z80" s="11">
        <f>+P27</f>
        <v>0</v>
      </c>
      <c r="AA80" s="14">
        <f>IF(ISTEXT(Z80),AA79,0)</f>
        <v>0</v>
      </c>
      <c r="AB80" s="14">
        <f>IF(ISTEXT(Z80),AB79,0)</f>
        <v>0</v>
      </c>
      <c r="AC80" s="15">
        <f>IF(ISTEXT(Z80),AC79,0)</f>
        <v>0</v>
      </c>
      <c r="AD80" s="6"/>
      <c r="AE80" s="11">
        <f>+S27</f>
        <v>0</v>
      </c>
      <c r="AF80" s="14">
        <f>IF(ISTEXT(AE80),AF79,0)</f>
        <v>0</v>
      </c>
      <c r="AG80" s="14">
        <f>IF(ISTEXT(AE80),AG79,0)</f>
        <v>0</v>
      </c>
      <c r="AH80" s="15">
        <f>IF(ISTEXT(AE80),AH79,0)</f>
        <v>0</v>
      </c>
      <c r="AI80" s="6"/>
      <c r="AJ80" s="11">
        <f>+V27</f>
        <v>0</v>
      </c>
      <c r="AK80" s="14">
        <f>IF(ISTEXT(AJ80),AK79,0)</f>
        <v>0</v>
      </c>
      <c r="AL80" s="14">
        <f>IF(ISTEXT(AJ80),AL79,0)</f>
        <v>0</v>
      </c>
      <c r="AM80" s="15">
        <f>IF(ISTEXT(AJ80),AM79,0)</f>
        <v>0</v>
      </c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</row>
    <row r="81" spans="25:61" ht="16.2" thickBot="1" x14ac:dyDescent="0.35">
      <c r="Y81" s="384"/>
      <c r="Z81" s="13">
        <f>+Q27</f>
        <v>0</v>
      </c>
      <c r="AA81" s="14">
        <f>IF(ISTEXT(Z81),AA79,0)</f>
        <v>0</v>
      </c>
      <c r="AB81" s="14">
        <f>IF(ISTEXT(Z81),AB79,0)</f>
        <v>0</v>
      </c>
      <c r="AC81" s="15">
        <f>IF(ISTEXT(Z81),AC79,0)</f>
        <v>0</v>
      </c>
      <c r="AD81" s="6"/>
      <c r="AE81" s="13">
        <f>+T27</f>
        <v>0</v>
      </c>
      <c r="AF81" s="14">
        <f>IF(ISTEXT(AE81),AF79,0)</f>
        <v>0</v>
      </c>
      <c r="AG81" s="14">
        <f>IF(ISTEXT(AE81),AG79,0)</f>
        <v>0</v>
      </c>
      <c r="AH81" s="15">
        <f>IF(ISTEXT(AE81),AH79,0)</f>
        <v>0</v>
      </c>
      <c r="AI81" s="6"/>
      <c r="AJ81" s="13">
        <f>+W27</f>
        <v>0</v>
      </c>
      <c r="AK81" s="14">
        <f>IF(ISTEXT(AJ81),AK79,0)</f>
        <v>0</v>
      </c>
      <c r="AL81" s="14">
        <f>IF(ISTEXT(AJ81),AL79,0)</f>
        <v>0</v>
      </c>
      <c r="AM81" s="15">
        <f>IF(ISTEXT(AJ81),AM79,0)</f>
        <v>0</v>
      </c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</row>
    <row r="82" spans="25:61" x14ac:dyDescent="0.3">
      <c r="Y82" s="20"/>
      <c r="Z82" s="196"/>
      <c r="AA82" s="196"/>
      <c r="AB82" s="196"/>
      <c r="AC82" s="196"/>
      <c r="AD82" s="196"/>
      <c r="AE82" s="196"/>
      <c r="AF82" s="196"/>
      <c r="AG82" s="58"/>
      <c r="AH82" s="58"/>
      <c r="AI82" s="196"/>
      <c r="AJ82" s="196"/>
      <c r="AK82" s="196"/>
      <c r="AL82" s="58"/>
      <c r="AM82" s="5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H82" s="18"/>
      <c r="BI82" s="18"/>
    </row>
    <row r="83" spans="25:61" x14ac:dyDescent="0.3">
      <c r="Y83" s="20"/>
      <c r="AB83" s="1">
        <f t="array" ref="AB83">SUM(AB11:AB81)</f>
        <v>24</v>
      </c>
      <c r="AC83" s="1">
        <f t="array" ref="AC83">SUM(AC11:AC81)</f>
        <v>0</v>
      </c>
      <c r="AD83" s="18"/>
      <c r="AE83" s="18"/>
      <c r="AF83" s="18"/>
      <c r="AG83" s="1">
        <f t="array" ref="AG83">SUM(AG11:AG81)</f>
        <v>24</v>
      </c>
      <c r="AH83" s="1">
        <f t="array" ref="AH83">SUM(AH11:AH81)</f>
        <v>0</v>
      </c>
      <c r="AI83" s="18"/>
      <c r="AJ83" s="18"/>
      <c r="AK83" s="18"/>
      <c r="AL83" s="1">
        <f t="array" ref="AL83">SUM(AL11:AL81)</f>
        <v>24</v>
      </c>
      <c r="AM83" s="1">
        <f t="array" ref="AM83">SUM(AM11:AM81)</f>
        <v>0</v>
      </c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H83" s="18"/>
      <c r="BI83" s="18"/>
    </row>
    <row r="84" spans="25:61" x14ac:dyDescent="0.3">
      <c r="Y84" s="20"/>
      <c r="AB84" s="4"/>
      <c r="AC84" s="1" t="str">
        <f>IF(AC83=0,"OK","ERREUR")</f>
        <v>OK</v>
      </c>
      <c r="AD84" s="18"/>
      <c r="AE84" s="18"/>
      <c r="AF84" s="18"/>
      <c r="AG84" s="4"/>
      <c r="AH84" s="1" t="str">
        <f>IF(AH83=0,"OK","ERREUR")</f>
        <v>OK</v>
      </c>
      <c r="AI84" s="18"/>
      <c r="AJ84" s="18"/>
      <c r="AK84" s="18"/>
      <c r="AL84" s="4"/>
      <c r="AM84" s="1" t="str">
        <f>IF(AM83=0,"OK","ERREUR")</f>
        <v>OK</v>
      </c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H84" s="18"/>
      <c r="BI84" s="18"/>
    </row>
    <row r="85" spans="25:61" x14ac:dyDescent="0.3">
      <c r="Y85" s="20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spans="25:61" x14ac:dyDescent="0.3">
      <c r="Y86" s="20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O86" s="18"/>
    </row>
    <row r="87" spans="25:61" x14ac:dyDescent="0.3">
      <c r="Y87" s="20"/>
    </row>
  </sheetData>
  <sheetProtection sheet="1" objects="1" scenarios="1" formatCells="0" formatColumns="0" formatRows="0" insertColumns="0" insertRows="0" insertHyperlinks="0" deleteColumns="0" deleteRows="0" sort="0"/>
  <sortState xmlns:xlrd2="http://schemas.microsoft.com/office/spreadsheetml/2017/richdata2" ref="BM9:BM29">
    <sortCondition descending="1" ref="BM8"/>
  </sortState>
  <mergeCells count="35">
    <mergeCell ref="BK3:BK4"/>
    <mergeCell ref="O9:Q9"/>
    <mergeCell ref="P5:P6"/>
    <mergeCell ref="D8:E8"/>
    <mergeCell ref="B9:C9"/>
    <mergeCell ref="D9:E9"/>
    <mergeCell ref="F9:G9"/>
    <mergeCell ref="J9:L9"/>
    <mergeCell ref="BH7:BL7"/>
    <mergeCell ref="AZ7:BB7"/>
    <mergeCell ref="R9:T9"/>
    <mergeCell ref="AT7:AV7"/>
    <mergeCell ref="AW7:AY7"/>
    <mergeCell ref="O8:W8"/>
    <mergeCell ref="U9:W9"/>
    <mergeCell ref="Y67:Y73"/>
    <mergeCell ref="Y75:Y81"/>
    <mergeCell ref="Y11:Y17"/>
    <mergeCell ref="Y19:Y25"/>
    <mergeCell ref="Y27:Y33"/>
    <mergeCell ref="Y35:Y41"/>
    <mergeCell ref="Y43:Y49"/>
    <mergeCell ref="Y51:Y57"/>
    <mergeCell ref="Y59:Y65"/>
    <mergeCell ref="B1:D1"/>
    <mergeCell ref="AQ7:AS7"/>
    <mergeCell ref="B5:D5"/>
    <mergeCell ref="Z7:AC7"/>
    <mergeCell ref="AE7:AH7"/>
    <mergeCell ref="AJ7:AM7"/>
    <mergeCell ref="S5:S6"/>
    <mergeCell ref="R5:R6"/>
    <mergeCell ref="D7:E7"/>
    <mergeCell ref="Q3:R3"/>
    <mergeCell ref="N1:P1"/>
  </mergeCells>
  <phoneticPr fontId="1" type="noConversion"/>
  <conditionalFormatting sqref="C10:C27 G10:G27">
    <cfRule type="cellIs" dxfId="123" priority="61" operator="equal">
      <formula>0</formula>
    </cfRule>
  </conditionalFormatting>
  <conditionalFormatting sqref="E10:E27">
    <cfRule type="cellIs" dxfId="122" priority="63" operator="equal">
      <formula>6.5</formula>
    </cfRule>
    <cfRule type="top10" dxfId="121" priority="51" rank="1"/>
    <cfRule type="cellIs" dxfId="120" priority="52" operator="equal">
      <formula>0</formula>
    </cfRule>
  </conditionalFormatting>
  <conditionalFormatting sqref="J10:L27">
    <cfRule type="duplicateValues" dxfId="119" priority="169"/>
  </conditionalFormatting>
  <conditionalFormatting sqref="O10:Q27">
    <cfRule type="duplicateValues" dxfId="118" priority="87"/>
  </conditionalFormatting>
  <conditionalFormatting sqref="O10:W27">
    <cfRule type="cellIs" dxfId="117" priority="46" operator="equal">
      <formula>0</formula>
    </cfRule>
    <cfRule type="cellIs" dxfId="116" priority="82" operator="equal">
      <formula>0</formula>
    </cfRule>
  </conditionalFormatting>
  <conditionalFormatting sqref="R10:T27">
    <cfRule type="duplicateValues" dxfId="115" priority="86"/>
  </conditionalFormatting>
  <conditionalFormatting sqref="U10:W27">
    <cfRule type="duplicateValues" dxfId="114" priority="85"/>
  </conditionalFormatting>
  <conditionalFormatting sqref="AC83 AM83">
    <cfRule type="colorScale" priority="37">
      <colorScale>
        <cfvo type="num" val="-1"/>
        <cfvo type="num" val="0"/>
        <cfvo type="num" val="1"/>
        <color rgb="FFFFC000"/>
        <color rgb="FFFFC000"/>
        <color rgb="FFFFC000"/>
      </colorScale>
    </cfRule>
  </conditionalFormatting>
  <conditionalFormatting sqref="AC83">
    <cfRule type="colorScale" priority="25">
      <colorScale>
        <cfvo type="num" val="-1"/>
        <cfvo type="num" val="0"/>
        <cfvo type="num" val="1"/>
        <color rgb="FFFFC000"/>
        <color rgb="FF66FF33"/>
        <color rgb="FFFFC000"/>
      </colorScale>
    </cfRule>
    <cfRule type="colorScale" priority="26">
      <colorScale>
        <cfvo type="num" val="-1"/>
        <cfvo type="num" val="0"/>
        <cfvo type="num" val="1"/>
        <color rgb="FFFFC000"/>
        <color rgb="FFFFC000"/>
        <color rgb="FFFFC000"/>
      </colorScale>
    </cfRule>
  </conditionalFormatting>
  <conditionalFormatting sqref="AH83">
    <cfRule type="colorScale" priority="35">
      <colorScale>
        <cfvo type="num" val="-1"/>
        <cfvo type="percentile" val="0"/>
        <cfvo type="num" val="1"/>
        <color rgb="FFFFC000"/>
        <color rgb="FF66FF33"/>
        <color rgb="FFFFC000"/>
      </colorScale>
    </cfRule>
    <cfRule type="colorScale" priority="45">
      <colorScale>
        <cfvo type="num" val="-10"/>
        <cfvo type="percentile" val="0"/>
        <cfvo type="num" val="10"/>
        <color rgb="FFFFC000"/>
        <color rgb="FFFFC000"/>
        <color rgb="FFFFC000"/>
      </colorScale>
    </cfRule>
  </conditionalFormatting>
  <conditionalFormatting sqref="AH84 AM84 AC84">
    <cfRule type="colorScale" priority="80">
      <colorScale>
        <cfvo type="num" val="-1"/>
        <cfvo type="percentile" val="0"/>
        <cfvo type="num" val="1"/>
        <color rgb="FFE20000"/>
        <color rgb="FF00FF00"/>
        <color rgb="FFFF0000"/>
      </colorScale>
    </cfRule>
  </conditionalFormatting>
  <conditionalFormatting sqref="AM83 AH83 AC83">
    <cfRule type="colorScale" priority="77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AM83 BA63 AR63 AU63 AX63 BJ63">
    <cfRule type="colorScale" priority="27">
      <colorScale>
        <cfvo type="num" val="-1"/>
        <cfvo type="num" val="0"/>
        <cfvo type="num" val="1"/>
        <color rgb="FFFFC000"/>
        <color rgb="FF66FF33"/>
        <color rgb="FFFFC000"/>
      </colorScale>
    </cfRule>
  </conditionalFormatting>
  <conditionalFormatting sqref="AM84">
    <cfRule type="containsText" dxfId="113" priority="73" operator="containsText" text="ERREUR">
      <formula>NOT(ISERROR(SEARCH("ERREUR",AM84)))</formula>
    </cfRule>
    <cfRule type="containsText" dxfId="112" priority="74" operator="containsText" text="OK">
      <formula>NOT(ISERROR(SEARCH("OK",AM84)))</formula>
    </cfRule>
  </conditionalFormatting>
  <conditionalFormatting sqref="AR64 AU64 AX64 BA64 BJ64 AC84 AH84 AM84">
    <cfRule type="containsText" dxfId="111" priority="43" operator="containsText" text="ERREUR">
      <formula>NOT(ISERROR(SEARCH("ERREUR",AC64)))</formula>
    </cfRule>
    <cfRule type="containsText" dxfId="110" priority="44" operator="containsText" text="OK">
      <formula>NOT(ISERROR(SEARCH("OK",AC64)))</formula>
    </cfRule>
  </conditionalFormatting>
  <conditionalFormatting sqref="AR64:AS65 AU64:AV65 AX64:AY65 BA64:BB65 BJ64:BK65">
    <cfRule type="containsText" dxfId="109" priority="67" stopIfTrue="1" operator="containsText" text="ERREUR">
      <formula>NOT(ISERROR(SEARCH("ERREUR",AR64)))</formula>
    </cfRule>
    <cfRule type="containsText" dxfId="108" priority="68" operator="containsText" text="OK">
      <formula>NOT(ISERROR(SEARCH("OK",AR64)))</formula>
    </cfRule>
  </conditionalFormatting>
  <conditionalFormatting sqref="BA63:BB63 BJ63:BK63">
    <cfRule type="colorScale" priority="69">
      <colorScale>
        <cfvo type="num" val="-1"/>
        <cfvo type="num" val="0"/>
        <cfvo type="num" val="1"/>
        <color rgb="FFFF0000"/>
        <color rgb="FF00FF00"/>
        <color rgb="FFFF0000"/>
      </colorScale>
    </cfRule>
  </conditionalFormatting>
  <conditionalFormatting sqref="BC9:BD62 AC11:AC12 AH11:AH12 AM11:AM13 AC15:AC17 AH15:AH17 AM15:AM17 AC19:AC21 AH19:AH21 AM19:AM21 AC23:AC25 AH23:AH25 AM23:AM25 AC27:AC29 AH27:AH29 AM27:AM29 AC31:AC37 AH31:AH37 AM31:AM37 AC39:AC45 AH39:AH45 AM39:AM45 AC47:AC53 AH47:AH53 AM47:AM53 AC55:AC57 AH55:AH57 AM55:AM57 AC59:AC61 AH59:AH61 AM59:AM61 AC63:AC69 AH63:AH69 AM63:AM69 AC71:AC81 AH71:AH81 AM71:AM81">
    <cfRule type="cellIs" dxfId="107" priority="81" stopIfTrue="1" operator="lessThan">
      <formula>0</formula>
    </cfRule>
  </conditionalFormatting>
  <conditionalFormatting sqref="BL9:BL62">
    <cfRule type="duplicateValues" dxfId="106" priority="4"/>
  </conditionalFormatting>
  <conditionalFormatting sqref="BN9:BN18">
    <cfRule type="duplicateValues" dxfId="105" priority="49"/>
  </conditionalFormatting>
  <conditionalFormatting sqref="BN9:BN28">
    <cfRule type="duplicateValues" dxfId="104" priority="48"/>
  </conditionalFormatting>
  <conditionalFormatting sqref="BO9:BO62">
    <cfRule type="duplicateValues" dxfId="103" priority="2"/>
  </conditionalFormatting>
  <pageMargins left="0.17" right="0.16" top="0.21" bottom="0.4" header="0.1" footer="0.25"/>
  <pageSetup paperSize="9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16</xdr:col>
                    <xdr:colOff>236220</xdr:colOff>
                    <xdr:row>3</xdr:row>
                    <xdr:rowOff>121920</xdr:rowOff>
                  </from>
                  <to>
                    <xdr:col>16</xdr:col>
                    <xdr:colOff>579120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63</xdr:col>
                    <xdr:colOff>121920</xdr:colOff>
                    <xdr:row>1</xdr:row>
                    <xdr:rowOff>121920</xdr:rowOff>
                  </from>
                  <to>
                    <xdr:col>63</xdr:col>
                    <xdr:colOff>464820</xdr:colOff>
                    <xdr:row>4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BN89"/>
  <sheetViews>
    <sheetView zoomScale="70" zoomScaleNormal="70" workbookViewId="0">
      <selection activeCell="P33" sqref="P33"/>
    </sheetView>
  </sheetViews>
  <sheetFormatPr baseColWidth="10" defaultColWidth="11.44140625" defaultRowHeight="13.2" x14ac:dyDescent="0.25"/>
  <cols>
    <col min="1" max="1" width="7.33203125" style="69" customWidth="1"/>
    <col min="2" max="2" width="22.6640625" style="69" customWidth="1"/>
    <col min="3" max="3" width="6.33203125" style="69" customWidth="1"/>
    <col min="4" max="4" width="24.33203125" style="69" customWidth="1"/>
    <col min="5" max="5" width="6.6640625" style="69" customWidth="1"/>
    <col min="6" max="6" width="25" style="69" customWidth="1"/>
    <col min="7" max="7" width="7" style="69" customWidth="1"/>
    <col min="8" max="8" width="5.5546875" style="69" hidden="1" customWidth="1"/>
    <col min="9" max="9" width="7" style="69" hidden="1" customWidth="1"/>
    <col min="10" max="12" width="11.44140625" style="69" hidden="1" customWidth="1"/>
    <col min="13" max="13" width="5.109375" style="69" customWidth="1"/>
    <col min="14" max="14" width="11.44140625" style="69"/>
    <col min="15" max="15" width="22.44140625" style="69" customWidth="1"/>
    <col min="16" max="16" width="23.33203125" style="69" customWidth="1"/>
    <col min="17" max="17" width="23.5546875" style="69" customWidth="1"/>
    <col min="18" max="18" width="22.88671875" style="69" customWidth="1"/>
    <col min="19" max="19" width="23.109375" style="69" customWidth="1"/>
    <col min="20" max="20" width="20.109375" style="69" customWidth="1"/>
    <col min="21" max="21" width="21.44140625" style="69" customWidth="1"/>
    <col min="22" max="22" width="20.109375" style="69" customWidth="1"/>
    <col min="23" max="23" width="21" style="69" customWidth="1"/>
    <col min="24" max="24" width="5.109375" style="69" customWidth="1"/>
    <col min="25" max="25" width="8.5546875" style="69" customWidth="1"/>
    <col min="26" max="26" width="26.6640625" style="69" customWidth="1"/>
    <col min="27" max="27" width="7.5546875" style="69" customWidth="1"/>
    <col min="28" max="28" width="6.6640625" style="69" customWidth="1"/>
    <col min="29" max="29" width="6.5546875" style="69" customWidth="1"/>
    <col min="30" max="30" width="4.44140625" style="69" customWidth="1"/>
    <col min="31" max="31" width="24.88671875" style="69" customWidth="1"/>
    <col min="32" max="32" width="8.44140625" style="69" customWidth="1"/>
    <col min="33" max="33" width="7.33203125" style="69" customWidth="1"/>
    <col min="34" max="34" width="7.5546875" style="69" customWidth="1"/>
    <col min="35" max="35" width="4.88671875" style="69" customWidth="1"/>
    <col min="36" max="36" width="23.88671875" style="69" customWidth="1"/>
    <col min="37" max="37" width="8.5546875" style="69" customWidth="1"/>
    <col min="38" max="38" width="7.33203125" style="69" customWidth="1"/>
    <col min="39" max="39" width="8.109375" style="69" customWidth="1"/>
    <col min="40" max="40" width="4.6640625" style="69" customWidth="1"/>
    <col min="41" max="41" width="8.109375" style="69" customWidth="1"/>
    <col min="42" max="42" width="24.5546875" style="69" customWidth="1"/>
    <col min="43" max="43" width="9.109375" style="69" customWidth="1"/>
    <col min="44" max="44" width="7.109375" style="69" customWidth="1"/>
    <col min="45" max="45" width="7.5546875" style="69" customWidth="1"/>
    <col min="46" max="46" width="8" style="69" customWidth="1"/>
    <col min="47" max="47" width="7.6640625" style="69" customWidth="1"/>
    <col min="48" max="48" width="8.5546875" style="69" customWidth="1"/>
    <col min="49" max="49" width="7.5546875" style="69" customWidth="1"/>
    <col min="50" max="50" width="7.33203125" style="69" customWidth="1"/>
    <col min="51" max="51" width="8.109375" style="69" customWidth="1"/>
    <col min="52" max="52" width="9.5546875" style="69" customWidth="1"/>
    <col min="53" max="53" width="7.5546875" style="69" customWidth="1"/>
    <col min="54" max="54" width="9.44140625" style="69" customWidth="1"/>
    <col min="55" max="55" width="8" style="69" hidden="1" customWidth="1"/>
    <col min="56" max="56" width="8.6640625" style="69" hidden="1" customWidth="1"/>
    <col min="57" max="57" width="16.109375" style="69" hidden="1" customWidth="1"/>
    <col min="58" max="58" width="11" style="69" hidden="1" customWidth="1"/>
    <col min="59" max="59" width="5.109375" style="69" customWidth="1"/>
    <col min="60" max="60" width="22.109375" style="69" customWidth="1"/>
    <col min="61" max="61" width="11" style="69" customWidth="1"/>
    <col min="62" max="62" width="8.6640625" style="69" customWidth="1"/>
    <col min="63" max="63" width="9.5546875" style="69" customWidth="1"/>
    <col min="64" max="64" width="10.44140625" style="69" customWidth="1"/>
    <col min="65" max="65" width="11.44140625" style="69"/>
    <col min="66" max="66" width="0" style="69" hidden="1" customWidth="1"/>
    <col min="67" max="16384" width="11.44140625" style="69"/>
  </cols>
  <sheetData>
    <row r="1" spans="1:66" ht="25.8" thickBot="1" x14ac:dyDescent="0.45">
      <c r="A1" s="20"/>
      <c r="B1" s="356" t="s">
        <v>36</v>
      </c>
      <c r="C1" s="356"/>
      <c r="D1" s="356"/>
      <c r="E1" s="112"/>
      <c r="F1" s="112"/>
      <c r="G1" s="112"/>
      <c r="H1" s="112"/>
      <c r="I1" s="112"/>
      <c r="L1" s="113" t="s">
        <v>37</v>
      </c>
      <c r="M1"/>
      <c r="N1" s="379" t="s">
        <v>121</v>
      </c>
      <c r="O1" s="380"/>
      <c r="P1" s="381"/>
      <c r="Q1"/>
      <c r="T1" s="112"/>
      <c r="U1"/>
      <c r="V1"/>
      <c r="W1"/>
      <c r="Y1" s="114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</row>
    <row r="2" spans="1:66" ht="18" x14ac:dyDescent="0.35">
      <c r="A2" s="20"/>
      <c r="B2" s="22"/>
      <c r="C2" s="22"/>
      <c r="D2" s="65"/>
      <c r="E2" s="65"/>
      <c r="F2" s="20"/>
      <c r="G2" s="20"/>
      <c r="H2" s="18"/>
      <c r="I2" s="20"/>
      <c r="J2" s="20"/>
      <c r="K2" s="20"/>
      <c r="L2" s="20"/>
      <c r="P2" s="18"/>
      <c r="Q2" s="20"/>
      <c r="R2" s="22"/>
      <c r="S2" s="22"/>
      <c r="T2" s="22"/>
      <c r="U2" s="22"/>
      <c r="V2" s="20"/>
      <c r="W2" s="18"/>
      <c r="X2" s="18"/>
      <c r="Y2" s="34"/>
      <c r="Z2" s="18"/>
      <c r="AA2" s="36"/>
      <c r="AB2" s="36"/>
      <c r="AC2" s="36" t="s">
        <v>8</v>
      </c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353" t="s">
        <v>42</v>
      </c>
      <c r="BA2" s="18"/>
      <c r="BB2" s="18"/>
      <c r="BC2" s="18"/>
      <c r="BD2" s="18"/>
      <c r="BE2" s="18"/>
      <c r="BF2" s="18"/>
      <c r="BG2" s="18"/>
      <c r="BH2" s="18"/>
      <c r="BI2" s="18"/>
      <c r="BJ2" s="22"/>
      <c r="BK2" s="22"/>
      <c r="BL2" s="22"/>
      <c r="BM2" s="22"/>
    </row>
    <row r="3" spans="1:66" ht="22.8" x14ac:dyDescent="0.4">
      <c r="A3" s="114"/>
      <c r="B3" s="240" t="s">
        <v>62</v>
      </c>
      <c r="C3" s="22"/>
      <c r="D3" s="239" t="s">
        <v>49</v>
      </c>
      <c r="E3" s="65"/>
      <c r="G3" s="20"/>
      <c r="H3" s="18"/>
      <c r="I3" s="20"/>
      <c r="J3" s="20"/>
      <c r="K3" s="20"/>
      <c r="L3" s="20"/>
      <c r="P3" s="18"/>
      <c r="Q3" s="378" t="s">
        <v>38</v>
      </c>
      <c r="R3" s="378"/>
      <c r="S3" s="113"/>
      <c r="T3" s="22"/>
      <c r="U3" s="114"/>
      <c r="V3" s="114"/>
      <c r="W3" s="114"/>
      <c r="X3" s="114"/>
      <c r="Y3" s="20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22"/>
      <c r="BK3" s="22"/>
      <c r="BL3" s="22"/>
      <c r="BM3" s="22"/>
    </row>
    <row r="4" spans="1:66" ht="23.4" thickBot="1" x14ac:dyDescent="0.4">
      <c r="A4" s="114"/>
      <c r="B4" s="114"/>
      <c r="C4" s="22"/>
      <c r="D4" s="65"/>
      <c r="E4" s="65"/>
      <c r="F4" s="20"/>
      <c r="G4" s="20"/>
      <c r="H4" s="18"/>
      <c r="I4" s="20"/>
      <c r="J4" s="20"/>
      <c r="K4" s="20"/>
      <c r="L4" s="20"/>
      <c r="P4" s="18"/>
      <c r="Q4" s="20"/>
      <c r="R4" s="131"/>
      <c r="S4" s="131"/>
      <c r="V4" s="114"/>
      <c r="W4" s="114"/>
      <c r="Y4" s="35" t="s">
        <v>22</v>
      </c>
      <c r="Z4" s="36"/>
      <c r="AA4" s="36"/>
      <c r="AB4" s="37"/>
      <c r="AC4" s="34"/>
      <c r="AD4" s="37"/>
      <c r="AE4" s="37"/>
      <c r="AF4" s="36"/>
      <c r="AG4" s="36"/>
      <c r="AH4" s="36"/>
      <c r="AI4" s="36"/>
      <c r="AJ4" s="36"/>
      <c r="AK4" s="36"/>
      <c r="AL4" s="36"/>
      <c r="AM4" s="36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22"/>
      <c r="BI4" s="22"/>
      <c r="BJ4" s="22"/>
      <c r="BK4" s="22"/>
      <c r="BL4" s="22"/>
      <c r="BM4" s="22"/>
    </row>
    <row r="5" spans="1:66" ht="25.2" thickBot="1" x14ac:dyDescent="0.4">
      <c r="A5" s="201">
        <f>+Q5</f>
        <v>30</v>
      </c>
      <c r="B5" s="360" t="s">
        <v>120</v>
      </c>
      <c r="C5" s="361"/>
      <c r="D5" s="362"/>
      <c r="F5" s="318"/>
      <c r="Q5" s="387">
        <v>30</v>
      </c>
      <c r="S5" s="374">
        <f>IF(Q5=8,2,IF($Q$5=9,2,IF($Q$5=10,2,IF($Q$5=11,2,IF($Q$5=12,2,IF($Q$5=13,3,IF(Q5=14,3,IF($Q$5=15,3,IF(Q5=16,3,IF($Q$5=17,3,IF(Q5=18,3,IF($Q$5=19,4,IF(Q5=20,4,IF($Q$5=21,4,IF(Q5=22,4,IF($Q$5=23,4,IF(Q5=24,4,IF($Q$5=25,5,IF(Q5=26,5,IF($Q$5=27,5,IF(Q5=28,5,IF($Q$5=29,5,IF(Q5=30,5,IF($Q$5=31,6,IF(Q5=32,6,IF($Q$5=33,6,IF($Q$5=34,6,IF($Q$5=35,6,IF($Q$5=36,6,IF($Q$5=37,7,IF($Q$5=38,7,IF($Q$5=39,7,IF($Q$5=40,7,IF($Q$5=41,7,IF($Q$5=42,7,IF($Q$5=43,8,IF($Q$5=44,8,IF($Q$5=45,8,IF($Q$5=46,8,IF($Q$5=47,8,IF($Q$5=48,8,IF($Q$5=49,9,IF($Q$5=50,9,IF($Q$5=51,9,IF($Q$5=52,9,IF($Q$5=53,9,IF($Q$5=54,9,0)))))))))))))))))))))))))))))))))))))))))))))))</f>
        <v>5</v>
      </c>
      <c r="T5" s="372" t="s">
        <v>39</v>
      </c>
      <c r="Y5" s="20"/>
      <c r="Z5" s="18"/>
      <c r="AA5" s="18"/>
      <c r="AB5" s="18"/>
      <c r="AC5" s="18"/>
      <c r="AD5" s="18"/>
      <c r="AE5" s="36" t="s">
        <v>23</v>
      </c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22"/>
      <c r="BI5" s="22"/>
      <c r="BJ5" s="22"/>
      <c r="BK5" s="22"/>
      <c r="BL5" s="22"/>
      <c r="BM5" s="22"/>
    </row>
    <row r="6" spans="1:66" ht="21" customHeight="1" thickBot="1" x14ac:dyDescent="0.35">
      <c r="Q6" s="388"/>
      <c r="S6" s="375"/>
      <c r="T6" s="373"/>
      <c r="Y6" s="20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40"/>
      <c r="BI6" s="40"/>
      <c r="BJ6" s="40"/>
      <c r="BK6" s="40"/>
      <c r="BL6" s="40"/>
      <c r="BM6" s="40"/>
    </row>
    <row r="7" spans="1:66" ht="21.75" customHeight="1" thickTop="1" thickBot="1" x14ac:dyDescent="0.35">
      <c r="A7"/>
      <c r="B7"/>
      <c r="C7"/>
      <c r="D7" s="376" t="s">
        <v>60</v>
      </c>
      <c r="E7" s="37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Y7" s="20"/>
      <c r="Z7" s="363" t="s">
        <v>1</v>
      </c>
      <c r="AA7" s="364"/>
      <c r="AB7" s="364"/>
      <c r="AC7" s="365"/>
      <c r="AD7" s="20"/>
      <c r="AE7" s="366" t="s">
        <v>2</v>
      </c>
      <c r="AF7" s="367"/>
      <c r="AG7" s="367"/>
      <c r="AH7" s="368"/>
      <c r="AI7" s="20"/>
      <c r="AJ7" s="369" t="s">
        <v>3</v>
      </c>
      <c r="AK7" s="370"/>
      <c r="AL7" s="370"/>
      <c r="AM7" s="371"/>
      <c r="AO7" s="20"/>
      <c r="AP7" s="316" t="s">
        <v>0</v>
      </c>
      <c r="AQ7" s="357" t="s">
        <v>1</v>
      </c>
      <c r="AR7" s="358"/>
      <c r="AS7" s="359"/>
      <c r="AT7" s="401" t="s">
        <v>2</v>
      </c>
      <c r="AU7" s="402"/>
      <c r="AV7" s="412"/>
      <c r="AW7" s="406" t="s">
        <v>3</v>
      </c>
      <c r="AX7" s="407"/>
      <c r="AY7" s="408"/>
      <c r="AZ7" s="398" t="s">
        <v>7</v>
      </c>
      <c r="BA7" s="399"/>
      <c r="BB7" s="400"/>
      <c r="BC7" s="41"/>
      <c r="BD7" s="33"/>
      <c r="BE7" s="20"/>
      <c r="BF7" s="20"/>
      <c r="BH7" s="398" t="s">
        <v>21</v>
      </c>
      <c r="BI7" s="399"/>
      <c r="BJ7" s="399"/>
      <c r="BK7" s="399"/>
      <c r="BL7" s="400"/>
    </row>
    <row r="8" spans="1:66" ht="22.2" thickTop="1" thickBot="1" x14ac:dyDescent="0.45">
      <c r="A8" s="163"/>
      <c r="B8"/>
      <c r="C8"/>
      <c r="D8" s="389" t="s">
        <v>61</v>
      </c>
      <c r="E8" s="390"/>
      <c r="F8"/>
      <c r="G8" s="164"/>
      <c r="H8" s="109"/>
      <c r="I8" s="164"/>
      <c r="J8" s="164"/>
      <c r="K8" s="164"/>
      <c r="L8" s="164"/>
      <c r="M8" s="164"/>
      <c r="N8" s="163"/>
      <c r="O8" s="409" t="s">
        <v>9</v>
      </c>
      <c r="P8" s="410"/>
      <c r="Q8" s="410"/>
      <c r="R8" s="410"/>
      <c r="S8" s="410"/>
      <c r="T8" s="410"/>
      <c r="U8" s="410"/>
      <c r="V8" s="410"/>
      <c r="W8" s="411"/>
      <c r="X8" s="109"/>
      <c r="Y8" s="20"/>
      <c r="Z8" s="19"/>
      <c r="AA8" s="19"/>
      <c r="AB8" s="19"/>
      <c r="AC8" s="19"/>
      <c r="AD8" s="20"/>
      <c r="AE8" s="19"/>
      <c r="AF8" s="19"/>
      <c r="AG8" s="19"/>
      <c r="AH8" s="18"/>
      <c r="AI8" s="19"/>
      <c r="AJ8" s="19"/>
      <c r="AK8" s="20"/>
      <c r="AL8" s="20"/>
      <c r="AM8" s="19"/>
      <c r="AN8" s="109"/>
      <c r="AO8" s="20"/>
      <c r="AP8" s="87" t="s">
        <v>6</v>
      </c>
      <c r="AQ8" s="88" t="s">
        <v>10</v>
      </c>
      <c r="AR8" s="89" t="s">
        <v>11</v>
      </c>
      <c r="AS8" s="92" t="s">
        <v>12</v>
      </c>
      <c r="AT8" s="94" t="s">
        <v>10</v>
      </c>
      <c r="AU8" s="92" t="s">
        <v>11</v>
      </c>
      <c r="AV8" s="187" t="s">
        <v>12</v>
      </c>
      <c r="AW8" s="91" t="s">
        <v>10</v>
      </c>
      <c r="AX8" s="92" t="s">
        <v>11</v>
      </c>
      <c r="AY8" s="187" t="s">
        <v>12</v>
      </c>
      <c r="AZ8" s="105" t="s">
        <v>16</v>
      </c>
      <c r="BA8" s="95" t="s">
        <v>11</v>
      </c>
      <c r="BB8" s="188" t="s">
        <v>12</v>
      </c>
      <c r="BC8" s="84" t="s">
        <v>19</v>
      </c>
      <c r="BD8" s="186" t="s">
        <v>20</v>
      </c>
      <c r="BE8" s="185" t="s">
        <v>14</v>
      </c>
      <c r="BF8" s="99" t="s">
        <v>15</v>
      </c>
      <c r="BH8" s="312" t="s">
        <v>6</v>
      </c>
      <c r="BI8" s="313" t="s">
        <v>16</v>
      </c>
      <c r="BJ8" s="314" t="s">
        <v>17</v>
      </c>
      <c r="BK8" s="103" t="s">
        <v>12</v>
      </c>
      <c r="BL8" s="233" t="s">
        <v>18</v>
      </c>
      <c r="BM8" s="164"/>
      <c r="BN8" s="224" t="s">
        <v>16</v>
      </c>
    </row>
    <row r="9" spans="1:66" ht="21.6" thickBot="1" x14ac:dyDescent="0.45">
      <c r="A9" s="109"/>
      <c r="B9" s="391" t="s">
        <v>33</v>
      </c>
      <c r="C9" s="392"/>
      <c r="D9" s="393" t="s">
        <v>34</v>
      </c>
      <c r="E9" s="392"/>
      <c r="F9" s="394" t="s">
        <v>35</v>
      </c>
      <c r="G9" s="392"/>
      <c r="H9" s="18"/>
      <c r="I9" s="116"/>
      <c r="J9" s="395" t="s">
        <v>40</v>
      </c>
      <c r="K9" s="396"/>
      <c r="L9" s="397"/>
      <c r="M9" s="129"/>
      <c r="N9" s="66"/>
      <c r="O9" s="386" t="s">
        <v>1</v>
      </c>
      <c r="P9" s="386"/>
      <c r="Q9" s="386"/>
      <c r="R9" s="401" t="s">
        <v>2</v>
      </c>
      <c r="S9" s="402"/>
      <c r="T9" s="402"/>
      <c r="U9" s="406" t="s">
        <v>3</v>
      </c>
      <c r="V9" s="407"/>
      <c r="W9" s="408"/>
      <c r="X9" s="18"/>
      <c r="Y9" s="31" t="s">
        <v>30</v>
      </c>
      <c r="Z9" s="21" t="s">
        <v>4</v>
      </c>
      <c r="AA9" s="21" t="s">
        <v>12</v>
      </c>
      <c r="AB9" s="21" t="s">
        <v>10</v>
      </c>
      <c r="AC9" s="21" t="s">
        <v>11</v>
      </c>
      <c r="AD9" s="19"/>
      <c r="AE9" s="21" t="s">
        <v>4</v>
      </c>
      <c r="AF9" s="21" t="s">
        <v>12</v>
      </c>
      <c r="AG9" s="21" t="s">
        <v>10</v>
      </c>
      <c r="AH9" s="21" t="s">
        <v>11</v>
      </c>
      <c r="AI9" s="19"/>
      <c r="AJ9" s="21" t="s">
        <v>4</v>
      </c>
      <c r="AK9" s="21" t="s">
        <v>12</v>
      </c>
      <c r="AL9" s="21" t="s">
        <v>10</v>
      </c>
      <c r="AM9" s="21" t="s">
        <v>11</v>
      </c>
      <c r="AN9" s="18"/>
      <c r="AO9" s="43">
        <v>1</v>
      </c>
      <c r="AP9" s="277" t="str">
        <f>+Inscrits!B3</f>
        <v>A1</v>
      </c>
      <c r="AQ9" s="246">
        <f>IF(ISNA(VLOOKUP(AP9,$Z$11:$AC$81,3,0))," ",IF(VLOOKUP(AP9,$Z$11:$AC$81,3,0)=0,"0",VLOOKUP(AP9,$Z$11:$AC$81,3,0)))</f>
        <v>1</v>
      </c>
      <c r="AR9" s="30">
        <f>IF(ISNA(VLOOKUP(AP9,$Z$11:$AC$81,4,0))," ",IF(VLOOKUP(AP9,$Z$11:$AC$81,4,0)=0,"0",VLOOKUP(AP9,$Z$11:$AC$81,4,0)))</f>
        <v>-2</v>
      </c>
      <c r="AS9" s="77">
        <f>IF(ISNA(VLOOKUP(AP9,$Z$11:$AC$81,2,0))," ",IF(VLOOKUP(AP9,$Z$11:$AC$81,2,0)=0,"0",VLOOKUP(AP9,$Z$11:$AC$81,2,0)))</f>
        <v>8</v>
      </c>
      <c r="AT9" s="74" t="str">
        <f>IF(ISNA(VLOOKUP(AP9,$AE$11:$AH$81,3,0))," ",IF(VLOOKUP(AP9,$AE$11:$AH$81,3,0)=0,"0",VLOOKUP(AP9,$AE$11:$AH$81,3,0)))</f>
        <v>0</v>
      </c>
      <c r="AU9" s="30" t="str">
        <f>IF(ISNA(VLOOKUP(AP9,$AE$11:$AH$81,4,0))," ",IF(VLOOKUP(AP9,$AE$11:$AH$81,4,0)=0,"0",VLOOKUP(AP9,$AE$11:$AH$81,4,0)))</f>
        <v>0</v>
      </c>
      <c r="AV9" s="249" t="str">
        <f>IF(ISNA(VLOOKUP(AP9,$AE$11:$AH$81,2,0))," ",IF(VLOOKUP(AP9,$AE$11:$AH$81,2,0)=0,"0",VLOOKUP(AP9,$AE$11:$AH$81,2,0)))</f>
        <v>0</v>
      </c>
      <c r="AW9" s="246">
        <f>IF(ISNA(VLOOKUP(AP9,$AJ$11:$AM$81,3,0))," ",IF(VLOOKUP(AP9,$AJ$11:$AM$81,3,0)=0,"0",VLOOKUP(AP9,$AJ$11:$AM$81,3,0)))</f>
        <v>3</v>
      </c>
      <c r="AX9" s="30">
        <f>IF(ISNA(VLOOKUP(AP9,$AJ$11:$AM$81,4,0))," ",IF(VLOOKUP(AP9,$AJ$11:$AM$81,4,0)=0,"0",VLOOKUP(AP9,$AJ$11:$AM$81,4,0)))</f>
        <v>11</v>
      </c>
      <c r="AY9" s="249">
        <f>IF(ISNA(VLOOKUP(AP9,$AJ$11:$AM$81,2,0))," ",IF(VLOOKUP(AP9,$AJ$11:$AM$81,2,0)=0,"0",VLOOKUP(AP9,$AJ$11:$AM$81,2,0)))</f>
        <v>13</v>
      </c>
      <c r="AZ9" s="246">
        <f>SUMIFS(AQ9:AW9,$AQ$8:$AW$8,"Pts",AQ9:AW9,"&lt;&gt;#N/A")</f>
        <v>4</v>
      </c>
      <c r="BA9" s="30">
        <f>SUMIFS(AQ9:AX9,$AQ$8:$AX$8,"GA",AQ9:AX9,"&lt;&gt;#N/A")</f>
        <v>9</v>
      </c>
      <c r="BB9" s="249">
        <f>SUMIFS(AQ9:AY9,$AQ$8:$AY$8,"Score",AQ9:AY9,"&lt;&gt;#N/A")</f>
        <v>21</v>
      </c>
      <c r="BC9" s="254">
        <f>IF(BA9="","",IF(BA9&lt;0,BA9,0))</f>
        <v>0</v>
      </c>
      <c r="BD9" s="182">
        <f>IF(BA9="","",IF(BA9&gt;0,BA9,0))</f>
        <v>9</v>
      </c>
      <c r="BE9" s="183">
        <f>IF(OR(AP9="",AZ9="",BA9="",BB9=""),"",RANK(AZ9,$AZ$9:$AZ$62)+SUM(-BA9/100)-(+BB9/10000)+COUNTIF(AP$9:AP$62,"&lt;="&amp;AP9+1)/1000000+ROW()/100000000)</f>
        <v>11.90790009</v>
      </c>
      <c r="BF9" s="82">
        <f>IF(AP9="","",SMALL(BE$9:BE$62,ROWS(AZ$9:AZ9)))</f>
        <v>0.74680049000000004</v>
      </c>
      <c r="BG9"/>
      <c r="BH9" s="310" t="str">
        <f>IF(OR(AP9="",AZ9=""),"",INDEX($AP$9:$AP$63,MATCH(BF9,$BE$9:BE$62,0)))</f>
        <v>C5</v>
      </c>
      <c r="BI9" s="311">
        <f t="shared" ref="BI9:BI40" si="0">IF(AP9="","",INDEX($AZ$9:$AZ$63,MATCH(BF9,$BE$9:$BE$62,0)))</f>
        <v>9</v>
      </c>
      <c r="BJ9" s="81">
        <f t="shared" ref="BJ9:BJ40" si="1">IF(AP9="","",INDEX($BA$9:$BA$63,MATCH(BF9,$BE$9:$BE$62,0)))</f>
        <v>25</v>
      </c>
      <c r="BK9" s="81">
        <f t="shared" ref="BK9:BK40" si="2">IF(AP9="","",INDEX($BB$9:$BB$63,MATCH(BF9,$BE$9:$BE$62,0)))</f>
        <v>32</v>
      </c>
      <c r="BL9" s="241">
        <f>IF(BF9="","",1)</f>
        <v>1</v>
      </c>
      <c r="BM9" s="22"/>
      <c r="BN9" s="67"/>
    </row>
    <row r="10" spans="1:66" ht="21.6" thickBot="1" x14ac:dyDescent="0.35">
      <c r="A10" s="110">
        <v>1</v>
      </c>
      <c r="B10" s="329" t="s">
        <v>66</v>
      </c>
      <c r="C10" s="234">
        <f>IF($Q$5&gt;7,1,0)</f>
        <v>1</v>
      </c>
      <c r="D10" s="332" t="s">
        <v>84</v>
      </c>
      <c r="E10" s="234">
        <f>IF($Q$5&gt;7,1,0)</f>
        <v>1</v>
      </c>
      <c r="F10" s="336" t="s">
        <v>102</v>
      </c>
      <c r="G10" s="234">
        <f>IF($Q$5&gt;7,1,0)</f>
        <v>1</v>
      </c>
      <c r="H10" s="18"/>
      <c r="I10" s="170">
        <v>1</v>
      </c>
      <c r="J10" s="171" t="str">
        <f>IF(ISNA(MATCH(I10,$C$10:$C$27,0)),"",INDEX(B$10:$B$27,MATCH(I10,$C$10:$C$27,0)))</f>
        <v>A1</v>
      </c>
      <c r="K10" s="158" t="str">
        <f>IF(ISNA(MATCH(I10,$E$10:$E$27,0)),"",INDEX($D$10:D$27,MATCH(I10,$E$10:$E$27,0)))</f>
        <v>B1</v>
      </c>
      <c r="L10" s="159" t="str">
        <f>IF(ISNA(MATCH(I10,$G$10:$G$27,0)),"",INDEX($F$10:F$27,MATCH(I10,$G$10:$G$27,0)))</f>
        <v>C1</v>
      </c>
      <c r="M10" s="130"/>
      <c r="N10" s="67">
        <v>1</v>
      </c>
      <c r="O10" s="118" t="str">
        <f>IF($Q$5&lt;55&gt;7,J10,0)</f>
        <v>A1</v>
      </c>
      <c r="P10" s="119" t="str">
        <f>IF($Q$5&gt;=8,K10,0)</f>
        <v>B1</v>
      </c>
      <c r="Q10" s="120" t="str">
        <f>IF($Q$5&gt;9,L10,IF($Q$5=9,L10,0))</f>
        <v>C1</v>
      </c>
      <c r="R10" s="150" t="str">
        <f>IF($Q$5=8,K12,IF($Q$5=9,O13,IF($Q$5=10,J12,IF($Q$5=11,J10,IF($Q$5=12,J10,IF($Q$5=13,J11,IF($Q$5=14,J11,IF($Q$5=15,J11,IF($Q$5=16,J11,IF($Q$5=17,J10,IF($Q$5=18,J10,IF($Q$5=19,J11,IF($Q$5=20,J10,IF($Q$5=21,J10,IF($Q$5=22,J11,IF($Q$5=23,J11,IF($Q$5=24,J11,IF($Q$5=25,J11,IF($Q$5=26,J11,IF($Q$5=27,J11,IF($Q$5=28,J11,IF($Q$5=29,J11,IF($Q$5=30,J11,IF($Q$5=31,J11,IF($Q$5=32,J11,IF($Q$5=33,J11,IF($Q$5=34,J11,IF($Q$5=35,J11,IF($Q$5=36,J11,IF($Q$5=37,J11,IF($Q$5=38,J11,IF($Q$5=39,J11,IF($Q$5=40,J11,IF($Q$5=41,J11,IF($Q$5=42,J11,IF($Q$5=43,J11,IF($Q$5=44,J11,IF($Q$5=45,J11,IF($Q$5=46,J11,IF($Q$5=47,J11,IF($Q$5=48,J11,IF($Q$5=49,J11,IF($Q$5=50,J11,IF($Q$5=51,J11,IF($Q$5=52,J11,IF($Q$5=53,J11,IF($Q$5=54,J11,0)))))))))))))))))))))))))))))))))))))))))))))))</f>
        <v>A2</v>
      </c>
      <c r="S10" s="132" t="str">
        <f>IF($Q$5=8,L11,IF($Q$5=9,L11,IF($Q$5=10,K10,IF($Q$5=11,K13,IF($Q$5=12,K13,IF($Q$5=13,L10,IF($Q$5=14,K12,IF($Q$5=15,K13,IF($Q$5=16,K12,IF($Q$5=17,K13,IF($Q$5=18,K13,IF($Q$5=19,K13,IF($Q$5=20,P17,IF($Q$5=21,K13,IF($Q$5=22,K13,IF($Q$5=23,K13,IF($Q$5=24,K16,IF($Q$5=25,K13,IF($Q$5=26,K16,IF($Q$5=27,K13,IF($Q$5=28,K13,IF($Q$5=29,K13,IF($Q$5=30,K13,IF($Q$5=31,K13,IF($Q$5=32,K13,IF($Q$5=33,K13,IF($Q$5=34,K13,IF($Q$5=35,K13,IF($Q$5=36,K12,IF($Q$5=37,K12,IF($Q$5=38,K12,IF($Q$5=39,K12,IF($Q$5=40,K12,IF($Q$5=41,K12,IF($Q$5=42,K12,IF($Q$5=43,K12,IF($Q$5=44,K12,IF($Q$5=45,K12,IF($Q$5=46,K12,IF($Q$5=47,K12,IF($Q$5=48,K12,IF($Q$5=49,K12,IF($Q$5=50,K12,IF($Q$5=51,K12,IF($Q$5=52,K12,IF($Q$5=53,K12,IF($Q$5=54,K12,0)))))))))))))))))))))))))))))))))))))))))))))))</f>
        <v>B4</v>
      </c>
      <c r="T10" s="151" t="str">
        <f>IF($Q$5=9,P13,IF($Q$5=10,L12,IF($Q$5=11,L11,IF($Q$5=12,L12,IF($Q$5=13,P15,IF($Q$5=14,P15,IF($Q$5=15,P14,IF($Q$5=16,L13,IF($Q$5=17,L12,IF($Q$5=18,L12,IF($Q$5=19,P17,IF($Q$5=20,L12,IF($Q$5=21,P10,IF($Q$5=22,L12,IF($Q$5=23,L12,IF($Q$5=24,L12,IF($Q$5=25,L12,IF($Q$5=26,L12,IF($Q$5=27,L12,IF($Q$5=28,L12,IF($Q$5=29,L12,IF($Q$5=30,L12,IF($Q$5=31,L12,IF($Q$5=32,L12,IF($Q$5=33,L12,IF($Q$5=34,L12,IF($Q$5=35,L12,IF($Q$5=36,L13,IF($Q$5=37,L13,IF($Q$5=38,L13,IF($Q$5=39,L13,IF($Q$5=40,L13,IF($Q$5=41,L13,IF($Q$5=42,L13,IF($Q$5=43,L13,IF($Q$5=44,L13,IF($Q$5=45,L13,IF($Q$5=46,L13,IF($Q$5=47,L13,IF($Q$5=48,L13,IF($Q$5=49,L13,IF($Q$5=50,L13,IF($Q$5=51,L13,IF($Q$5=52,L13,IF($Q$5=53,L13,IF($Q$5=54,L13,0))))))))))))))))))))))))))))))))))))))))))))))</f>
        <v>C3</v>
      </c>
      <c r="U10" s="140" t="str">
        <f>IF($Q$5=8,J11,IF($Q$5=9,R11,IF($Q$5=10,J13,IF($Q$5=11,J13,IF($Q$5=12,J10,IF($Q$5=13,R12,IF($Q$5=14,R11,IF($Q$5=15,R11,IF($Q$5=16,R15,IF($Q$5=17,R10,IF(Q$5=18,R10,IF($Q$5=19,R13,IF($Q$5=20,R10,IF($Q$5=21,O10,IF($Q$5=22,R17,IF($Q$5=23,R11,IF($Q$5=24,R17,IF($Q$5=25,R19,IF($Q$5=26,R19,IF($Q$5=27,R18,IF($Q$5=28,R19,IF($Q$5=29,R19,IF($Q$5=30,R19,IF($Q$5=31,R20,IF($Q$5=32,R21,IF($Q$5=33,O10,IF($Q$5=34,O10,IF($Q$5=35,R21,IF($Q$5=36,O12,IF($Q$5=37,R11,IF($Q$5=38,R11,IF($Q$5=39,R11,IF($Q$5=40,R11,IF($Q$5=41,R11,IF($Q$5=42,R11,IF($Q$5=43,R11,IF($Q$5=44,R11,IF($Q$5=45,R11,IF($Q$5=46,R11,IF($Q$5=47,R11,IF($Q$5=48,R11,IF($Q$5=49,R11,IF($Q$5=50,R11,IF($Q$5=51,R11,IF($Q$5=52,R11,IF($Q$5=53,R11,IF($Q$5=54,R11,0)))))))))))))))))))))))))))))))))))))))))))))))</f>
        <v>A1</v>
      </c>
      <c r="V10" s="132" t="str">
        <f>IF($Q$5=8,L10,IF($Q$5=9,T10,IF($Q$5=10,K12,IF($Q$5=11,S12,IF($Q$5=12,P12,IF($Q$5=13,S13,IF($Q$5=14,S12,IF($Q$5=15,S14,IF($Q$5=16,S10,IF($Q$5=17,S13,IF($Q$5=18,S13,IF($Q$5=19,S14,IF($Q$5=20,S13,IF($Q$5=21,S13,IF($Q$5=22,S13,IF($Q$5=23,S13,IF($Q$5=24,S13,IF($Q$5=25,S10,IF($Q$5=26,S13,IF($Q$5=27,S13,IF($Q$5=28,S10,IF($Q$5=29,S13,IF($Q$5=30,S13,IF($Q$5=31,S13,IF($Q$5=32,S10,IF($Q$5=33,S10,IF($Q$5=34,S10,IF($Q$5=35,S10,IF($Q$5=36,S12,IF($Q$5=37,S12,IF($Q$5=38,S12,IF($Q$5=39,S12,IF($Q$5=40,S12,IF($Q$5=41,S12,IF($Q$5=42,S12,IF($Q$5=43,S12,IF($Q$5=44,S12,IF($Q$5=45,S12,IF($Q$5=46,S12,IF($Q$5=47,S12,IF($Q$5=48,S12,IF($Q$5=49,S12,IF($Q$5=50,S12,IF($Q$5=51,S12,IF($Q$5=52,S12,IF($Q$5=53,S12,IF($Q$5=54,S12,0)))))))))))))))))))))))))))))))))))))))))))))))</f>
        <v>B3</v>
      </c>
      <c r="W10" s="144" t="str">
        <f>IF($Q$5=9,L11,IF($Q$5=10,L11,IF($Q$5=11,T11,IF($Q$5=12,T11,IF($Q$5=13,S11,IF($Q$5=14,S14,IF($Q$5=15,T12,IF($Q$5=16,T11,IF($Q$5=17,T12,IF($Q$5=18,T12,IF($Q$5=19,T12,IF($Q$5=20,T12,IF($Q$5=21,T12,IF($Q$5=22,T12,IF(Q$5=23,T12,IF($Q$5=24,T12,IF($Q$5=25,T12,IF($Q$5=26,T12,IF($Q$5=27,T12,IF($Q$5=28,T12,IF($Q$5=29,T11,IF($Q$5=30,T12,IF($Q$5=31,T12,IF($Q$5=32,T11,IF($Q$5=33,T11,IF($Q$5=34,T11,IF($Q$5=35,T11,IF($Q$5=36,T13,IF($Q$5=37,T13,IF($Q$5=38,T13,IF($Q$5=39,T13,IF($Q$5=40,T13,IF($Q$5=41,T13,IF($Q$5=42,T13,IF($Q$5=43,T13,IF($Q$5=44,T13,IF($Q$5=45,T13,IF($Q$5=46,T13,IF($Q$5=47,T13,IF($Q$5=48,T13,IF($Q$5=49,T13,IF($Q$5=50,T13,IF($Q$5=51,T13,IF($Q$5=52,T13,IF($Q$5=53,T13,IF($Q$5=54,T13,0))))))))))))))))))))))))))))))))))))))))))))))</f>
        <v>C5</v>
      </c>
      <c r="X10" s="18"/>
      <c r="Y10" s="20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8"/>
      <c r="AO10" s="44">
        <v>2</v>
      </c>
      <c r="AP10" s="278" t="str">
        <f>+Inscrits!B4</f>
        <v>A2</v>
      </c>
      <c r="AQ10" s="247">
        <f t="shared" ref="AQ10:AQ62" si="3">IF(ISNA(VLOOKUP(AP10,$Z$11:$AC$81,3,0))," ",IF(VLOOKUP(AP10,$Z$11:$AC$81,3,0)=0,"0",VLOOKUP(AP10,$Z$11:$AC$81,3,0)))</f>
        <v>3</v>
      </c>
      <c r="AR10" s="82">
        <f t="shared" ref="AR10:AR62" si="4">IF(ISNA(VLOOKUP(AP10,$Z$11:$AC$81,4,0))," ",IF(VLOOKUP(AP10,$Z$11:$AC$81,4,0)=0,"0",VLOOKUP(AP10,$Z$11:$AC$81,4,0)))</f>
        <v>2</v>
      </c>
      <c r="AS10" s="184">
        <f t="shared" ref="AS10:AS62" si="5">IF(ISNA(VLOOKUP(AP10,$Z$11:$AC$81,2,0))," ",IF(VLOOKUP(AP10,$Z$11:$AC$81,2,0)=0,"0",VLOOKUP(AP10,$Z$11:$AC$81,2,0)))</f>
        <v>10</v>
      </c>
      <c r="AT10" s="250">
        <f t="shared" ref="AT10:AT62" si="6">IF(ISNA(VLOOKUP(AP10,$AE$11:$AH$81,3,0))," ",IF(VLOOKUP(AP10,$AE$11:$AH$81,3,0)=0,"0",VLOOKUP(AP10,$AE$11:$AH$81,3,0)))</f>
        <v>1</v>
      </c>
      <c r="AU10" s="82">
        <f t="shared" ref="AU10:AU62" si="7">IF(ISNA(VLOOKUP(AP10,$AE$11:$AH$81,4,0))," ",IF(VLOOKUP(AP10,$AE$11:$AH$81,4,0)=0,"0",VLOOKUP(AP10,$AE$11:$AH$81,4,0)))</f>
        <v>-4</v>
      </c>
      <c r="AV10" s="252">
        <f t="shared" ref="AV10:AV62" si="8">IF(ISNA(VLOOKUP(AP10,$AE$11:$AH$81,2,0))," ",IF(VLOOKUP(AP10,$AE$11:$AH$81,2,0)=0,"0",VLOOKUP(AP10,$AE$11:$AH$81,2,0)))</f>
        <v>5</v>
      </c>
      <c r="AW10" s="247">
        <f t="shared" ref="AW10:AW62" si="9">IF(ISNA(VLOOKUP(AP10,$AJ$11:$AM$81,3,0))," ",IF(VLOOKUP(AP10,$AJ$11:$AM$81,3,0)=0,"0",VLOOKUP(AP10,$AJ$11:$AM$81,3,0)))</f>
        <v>1</v>
      </c>
      <c r="AX10" s="82">
        <f t="shared" ref="AX10:AX62" si="10">IF(ISNA(VLOOKUP(AP10,$AJ$11:$AM$81,4,0))," ",IF(VLOOKUP(AP10,$AJ$11:$AM$81,4,0)=0,"0",VLOOKUP(AP10,$AJ$11:$AM$81,4,0)))</f>
        <v>-3</v>
      </c>
      <c r="AY10" s="252">
        <f t="shared" ref="AY10:AY62" si="11">IF(ISNA(VLOOKUP(AP10,$AJ$11:$AM$81,2,0))," ",IF(VLOOKUP(AP10,$AJ$11:$AM$81,2,0)=0,"0",VLOOKUP(AP10,$AJ$11:$AM$81,2,0)))</f>
        <v>6</v>
      </c>
      <c r="AZ10" s="247">
        <f>SUMIFS(AQ10:AW10,$AQ$8:$AW$8,"Pts",AQ10:AW10,"&lt;&gt;#N/A")</f>
        <v>5</v>
      </c>
      <c r="BA10" s="82">
        <f t="shared" ref="BA10:BA62" si="12">SUMIFS(AQ10:AX10,$AQ$8:$AX$8,"GA",AQ10:AX10,"&lt;&gt;#N/A")</f>
        <v>-5</v>
      </c>
      <c r="BB10" s="252">
        <f t="shared" ref="BB10:BB62" si="13">SUMIFS(AQ10:AY10,$AQ$8:$AY$8,"Score",AQ10:AY10,"&lt;&gt;#N/A")</f>
        <v>21</v>
      </c>
      <c r="BC10" s="255">
        <f t="shared" ref="BC10:BC62" si="14">IF(BA10="","",IF(BA10&lt;0,BA10,0))</f>
        <v>-5</v>
      </c>
      <c r="BD10" s="7">
        <f t="shared" ref="BD10:BD62" si="15">IF(BA10="","",IF(BA10&gt;0,BA10,0))</f>
        <v>0</v>
      </c>
      <c r="BE10" s="183">
        <f t="shared" ref="BE10:BE62" si="16">IF(OR(AP10="",AZ10="",BA10="",BB10=""),"",RANK(AZ10,$AZ$9:$AZ$62)+SUM(-BA10/100)-(+BB10/10000)+COUNTIF(AP$9:AP$62,"&lt;="&amp;AP10+1)/1000000+ROW()/100000000)</f>
        <v>9.0479000999999997</v>
      </c>
      <c r="BF10" s="82">
        <f>IF(AP10="","",SMALL(BE$9:BE$62,ROWS(AZ$9:AZ10)))</f>
        <v>1.93730011</v>
      </c>
      <c r="BG10"/>
      <c r="BH10" s="78" t="str">
        <f>IF(OR(AP10="",AZ10=""),"",INDEX($AP$9:$AP$63,MATCH(BF10,$BE$9:BE$62,0)))</f>
        <v>A3</v>
      </c>
      <c r="BI10" s="255">
        <f t="shared" si="0"/>
        <v>7</v>
      </c>
      <c r="BJ10" s="7">
        <f t="shared" si="1"/>
        <v>6</v>
      </c>
      <c r="BK10" s="7">
        <f t="shared" si="2"/>
        <v>27</v>
      </c>
      <c r="BL10" s="242">
        <f>IF(BF10="","",IF(AND(BI9=BI10,BJ9=BJ10,BK9=BK10),BL9,$BL$9+1))</f>
        <v>2</v>
      </c>
      <c r="BM10" s="22"/>
      <c r="BN10" s="3"/>
    </row>
    <row r="11" spans="1:66" ht="21.6" thickBot="1" x14ac:dyDescent="0.35">
      <c r="A11" s="111">
        <v>2</v>
      </c>
      <c r="B11" s="330" t="s">
        <v>67</v>
      </c>
      <c r="C11" s="235">
        <f>IF($Q$5&gt;7,2,0)</f>
        <v>2</v>
      </c>
      <c r="D11" s="332" t="s">
        <v>85</v>
      </c>
      <c r="E11" s="235">
        <f>IF($Q$5&gt;7,2,0)</f>
        <v>2</v>
      </c>
      <c r="F11" s="333" t="s">
        <v>103</v>
      </c>
      <c r="G11" s="235">
        <f>IF($Q$5&gt;7,2,0)</f>
        <v>2</v>
      </c>
      <c r="H11" s="18"/>
      <c r="I11" s="165">
        <v>2</v>
      </c>
      <c r="J11" s="172" t="str">
        <f>IF(ISNA(MATCH(I11,$C$10:$C$27,0)),"",INDEX(B$10:$B$27,MATCH(I11,$C$10:$C$27,0)))</f>
        <v>A2</v>
      </c>
      <c r="K11" s="117" t="str">
        <f>IF(ISNA(MATCH(I11,$E$10:$E$27,0)),"",INDEX($D$10:D$27,MATCH(I11,$E$10:$E$27,0)))</f>
        <v>B2</v>
      </c>
      <c r="L11" s="160" t="str">
        <f>IF(ISNA(MATCH(I11,$G$10:$G$27,0)),"",INDEX($F$10:F$27,MATCH(I11,$G$10:$G$27,0)))</f>
        <v>C2</v>
      </c>
      <c r="M11" s="130"/>
      <c r="N11" s="42" t="s">
        <v>5</v>
      </c>
      <c r="O11" s="121" t="str">
        <f>IF($Q$5&gt;=8,J11,0)</f>
        <v>A2</v>
      </c>
      <c r="P11" s="124" t="str">
        <f>IF($Q$5&gt;=8,K11,0)</f>
        <v>B2</v>
      </c>
      <c r="Q11" s="123" t="str">
        <f>IF($Q$5=10,L11,IF($Q$5=11,L11,IF($Q$5=12,L11,IF($Q$5=14,L11,IF($Q$5=15,L11,IF($Q$5=16,L11,IF($Q$5=17,L11,IF($Q$5=18,L11,IF($Q$5=19,L11,IF($Q$5=20,L11,IF($Q$5=21,L11,IF($Q$5=22,L11,IF($Q$5=23,L11,IF($Q$5=24,L11,IF($Q$5=25,L11,IF($Q$5=26,L11,IF($Q$5=27,L11,IF($Q$5=28,L11,IF($Q$5=29,L11,IF($Q$5=30,L11,IF($Q$5=31,L11,IF($Q$5=32,L11,IF($Q$5=33,L11,IF($Q$5=34,L11,IF($Q$5=35,L11,IF($Q$5=36,L11,IF($Q$5=37,L11,IF($Q$5=38,L11,IF($Q$5=39,L11,IF($Q$5=40,L11,IF($Q$5=41,L11,IF($Q$5=42,L11,IF($Q$5=43,L11,IF($Q$5=44,L11,IF($Q$5=45,L11,IF($Q$5=46,L11,IF($Q$5=47,L11,IF($Q$5=48,L11,IF($Q$5=49,L11,IF($Q$5=50,L11,IF($Q$5=51,L11,IF($Q$5=52,L11,IF($Q$5=53,L11,IF($Q$5=54,L11,0))))))))))))))))))))))))))))))))))))))))))))</f>
        <v>C2</v>
      </c>
      <c r="R11" s="133" t="str">
        <f>IF($Q$5=8,J10,IF($Q$5=9,O10,IF($Q$5=10,J13,IF($Q$5=11,J12,IF($Q$5=12,J13,IF($Q$5=13,J12,IF($Q$5=14,J12,IF($Q$5=15,J12,IF($Q$5=16,J12,IF($Q$5=17,J12,IF($Q$5=18,J12,IF($Q$5=19,J13,IF($Q$5=20,J12,IF($Q$5=21,J12,IF($Q$5=22,J12,IF($Q$5=23,J12,IF($Q$5=24,J12,IF($Q$5=25,J12,IF($Q$5=26,J12,IF($Q$5=27,J12,IF($Q$5=28,J12,IF($Q$5=29,J12,IF($Q$5=30,J12,IF($Q$5=31,J12,IF($Q$5=32,J12,IF($Q$5=33,J12,IF($Q$5=34,J12,IF($Q$5=35,J12,IF($Q$5=36,J12,IF($Q$5=37,J12,IF($Q$5=38,J12,IF($Q$5=39,J12,IF($Q$5=40,J12,IF($Q$5=41,J12,IF($Q$5=42,J12,IF($Q$5=43,J12,IF($Q$5=44,J12,IF($Q$5=45,J12,IF($Q$5=46,J12,IF($Q$5=47,J12,IF($Q$5=48,J12,IF($Q$5=49,J12,IF($Q$5=50,J12,IF($Q$5=51,J12,IF($Q$5=52,J12,IF($Q$5=53,J12,IF($Q$5=54,J12,0)))))))))))))))))))))))))))))))))))))))))))))))</f>
        <v>A3</v>
      </c>
      <c r="S11" s="134" t="str">
        <f>IF($Q$5=8,L10,IF($Q$5=9,K11,IF($Q$5=10,L11,IF($Q$5=11,K10,IF($Q$5=12,K12,IF($Q$5=13,P13,IF($Q$5=14,K13,IF($Q$5=15,K10,IF($Q$5=16,K13,IF($Q$5=17,K14,IF($Q$5=18,K14,IF($Q$5=19,K14,IF($Q$5=20,K14,IF($Q$5=21,K14,IF($Q$5=22,K14,IF($Q$5=23,K14,IF($Q$5=24,K14,IF($Q$5=25,K14,IF($Q$5=26,K14,IF(Q$5=27,K14,IF($Q$5=28,K14,IF($Q$5=29,K14,IF($Q$5=30,K14,IF($Q$5=31,K14,IF($Q$5=32,K14,IF($Q$5=33,K14,IF($Q$5=34,K14,IF($Q$5=35,K14,IF($Q$5=36,K13,IF($Q$5=37,K13,IF($Q$5=38,K13,IF($Q$5=39,K13,IF($Q$5=40,K13,IF($Q$5=41,K13,IF($Q$5=42,K13,IF($Q$5=43,K13,IF($Q$5=44,K13,IF($Q$5=45,K13,IF($Q$5=46,K13,IF($Q$5=47,K13,IF($Q$5=48,K13,IF($Q$5=49,K13,IF($Q$5=50,K13,IF($Q$5=51,K13,IF($Q$5=52,K13,IF($Q$5=53,K13,IF($Q$5=54,K13,0)))))))))))))))))))))))))))))))))))))))))))))))</f>
        <v>B5</v>
      </c>
      <c r="T11" s="152" t="str">
        <f>IF($Q$5=10,L10,IF($Q$5=11,L12,IF($Q$5=12,L11,IF($Q$5=14,L10,IF($Q$5=15,P15,IF($Q$5=16,P15,IF($Q$5=17,L11,IF($Q$5=18,L13,IF($Q$5=19,L10,IF($Q$5=20,L11,IF($Q$5=21,P17,IF($Q$5=22,L13,IF($Q$5=23,L13,IF($Q$5=24,L13,IF($Q$5=25,L13,IF($Q$5=26,L13,IF($Q$5=27,L13,IF($Q$5=28,L13,IF($Q$5=29,L10,IF($Q$5=30,L10,IF($Q$5=31,L13,IF($Q$5=32,L11,IF($Q$5=33,L11,IF($Q$5=34,L11,IF($Q$5=35,L11,IF($Q$5=36,L14,IF($Q$5=37,L14,IF($Q$5=38,L14,IF($Q$5=39,L14,IF($Q$5=40,L14,IF($Q$5=41,L14,IF($Q$5=42,L14,IF($Q$5=43,L14,IF($Q$5=44,L14,IF($Q$5=45,L14,IF($Q$5=46,L14,IF($Q$5=47,L14,IF($Q$5=48,L14,IF($Q$5=49,L14,IF($Q$5=50,L14,IF($Q$5=51,L14,IF($Q$5=52,L14,IF($Q$5=53,L14,IF($Q$5=54,L14,0))))))))))))))))))))))))))))))))))))))))))))</f>
        <v>C1</v>
      </c>
      <c r="U11" s="157" t="str">
        <f>IF($Q$5=8,J12,IF($Q$5=9,R12,IF($Q$5=10,J10,IF($Q$5=11,O11,IF($Q$5=12,O12,IF($Q$5=13,R11,IF($Q$5=14,R12,IF($Q$5=15,O13,IF($Q$5=16,O12,IF($Q$5=17,R12,IF($Q$5=18,R14,IF($Q$5=19,R14,IF($Q$5=20,R13,IF($Q$5=21,O14,IF($Q$5=22,O12,IF(Q$5=23,R13,IF($Q$5=24,O13,IF($Q$5=25,R12,IF($Q$5=26,O13,IF($Q$5=27,O13,IF($Q$5=28,O13,IF($Q$5=29,O13,IF($Q$5=30,O13,IF($Q$5=31,O13,IF($Q$5=32,R12,IF($Q$5=33,O13,IF($Q$5=34,O13,IF($Q$5=35,R12,IF($Q$5=36,O13,IF($Q$5=37,O13,IF($Q$5=38,O13,IF($Q$5=39,O13,IF($Q$5=40,O13,IF($Q$5=41,O13,IF($Q$5=42,R12,IF($Q$5=43,R12,IF($Q$5=44,O13,IF($Q$5=45,O13,IF($Q$5=46,R12,IF($Q$5=47,O13,IF($Q$5=48,O13,IF($Q$5=49,O13,IF($Q$5=50,O13,IF($Q$5=51,O13,IF($Q$5=52,O13,IF($Q$5=53,R12,IF($Q$5=54,O13,0)))))))))))))))))))))))))))))))))))))))))))))))</f>
        <v>A4</v>
      </c>
      <c r="V11" s="138" t="str">
        <f>IF($Q$5=8,K10,IF($Q$5=9,S12,IF($Q$5=10,K10,IF(Q$5=11,S10,IF($Q$5=12,S10,IF($Q$5=13,R15,IF($Q$5=14,S10,IF($Q$5=15,S10,IF($Q$5=16,S11,IF($Q$5=17,S10,IF($Q$5=18,S12,IF($Q$5=19,S10,IF($Q$5=20,S10,IF($Q$5=21,S17,IF($Q$5=22,S10,IF($Q$5=23,S10,IF($Q$5=24,S10,IF($Q$5=25,S13,IF($Q$5=26,S10,IF($Q$5=27,S10,IF($Q$5=28,S13,IF($Q$5=29,S10,IF($Q$5=30,S11,IF($Q$5=31,S10,IF($Q$5=32,S11,IF($Q$5=33,S11,IF($Q$5=34,S11,IF($Q$5=35,S11,IF($Q$5=36,S13,IF($Q$5=37,S13,IF($Q$5=38,S13,IF($Q$5=39,S13,IF($Q$5=40,S13,IF($Q$5=41,S13,IF($Q$5=42,S13,IF($Q$5=43,S13,IF($Q$5=44,S13,IF($Q$5=45,S13,IF($Q$5=46,S13,IF($Q$5=47,S13,IF($Q$5=48,S13,IF($Q$5=49,S13,IF($Q$5=50,S13,IF($Q$5=51,S13,IF($Q$5=52,S13,IF($Q$5=53,S13,IF($Q$5=54,S13,0)))))))))))))))))))))))))))))))))))))))))))))))</f>
        <v>B5</v>
      </c>
      <c r="W11" s="145" t="str">
        <f>IF($Q$5=10,L12,IF($Q$5=11,T10,IF($Q$5=12,Q10,IF(Q$5=14,T11,IF($Q$5=15,T11,IF(Q$5=16,S15,IF($Q$5=17,T13,IF($Q$5=18,T13,IF($Q$5=19,S17,IF($Q$5=20,T11,IF($Q$5=21,T10,IF($Q$5=22,T13,IF($Q$5=23,T13,IF($Q$5=24,T13,IF($Q$5=25,T13,IF($Q$5=26,T13,IF($Q$5=27,T13,IF($Q$5=28,T13,IF($Q$5=29,T13,IF($Q$5=30,T13,IF($Q$5=31,T13,IF($Q$5=32,T10,IF($Q$5=33,T10,IF($Q$5=34,T10,IF($Q$5=35,T10,IF($Q$5=36,T14,IF($Q$5=37,T14,IF($Q$5=38,T14,IF($Q$5=39,T14,IF($Q$5=40,T14,IF($Q$5=41,T14,IF($Q$5=42,T14,IF($Q$5=43,T14,IF($Q$5=44,T14,IF($Q$5=45,T14,IF($Q$5=46,T14,IF($Q$5=47,T14,IF($Q$5=48,T14,IF($Q$5=49,T14,IF($Q$5=50,T14,IF($Q$5=51,T14,IF($Q$5=52,T14,IF($Q$5=53,T14,IF($Q$5=54,T14,0))))))))))))))))))))))))))))))))))))))))))))</f>
        <v>C6</v>
      </c>
      <c r="X11" s="18"/>
      <c r="Y11" s="382">
        <v>1</v>
      </c>
      <c r="Z11" s="9" t="str">
        <f>+O10</f>
        <v>A1</v>
      </c>
      <c r="AA11" s="25">
        <v>8</v>
      </c>
      <c r="AB11" s="38">
        <f>IF(AA11+AA15=0,0,IF(AA11=AA15,2,IF(AA11&gt;AA15,3,1)))</f>
        <v>1</v>
      </c>
      <c r="AC11" s="10">
        <f>AA11-AA15</f>
        <v>-2</v>
      </c>
      <c r="AD11" s="19"/>
      <c r="AE11" s="9" t="str">
        <f>+R10</f>
        <v>A2</v>
      </c>
      <c r="AF11" s="107">
        <v>5</v>
      </c>
      <c r="AG11" s="38">
        <f>IF(AF11+AF15=0,0,IF(AF11=AF15,2,IF(AF11&gt;AF15,3,1)))</f>
        <v>1</v>
      </c>
      <c r="AH11" s="10">
        <f>AF11-AF15</f>
        <v>-4</v>
      </c>
      <c r="AI11" s="19"/>
      <c r="AJ11" s="9" t="str">
        <f>+U10</f>
        <v>A1</v>
      </c>
      <c r="AK11" s="28">
        <v>13</v>
      </c>
      <c r="AL11" s="38">
        <f>IF(AK11+AK15=0,0,IF(AK11=AK15,2,IF(AK11&gt;AK15,3,1)))</f>
        <v>3</v>
      </c>
      <c r="AM11" s="10">
        <f>AK11-AK15</f>
        <v>11</v>
      </c>
      <c r="AN11" s="18"/>
      <c r="AO11" s="44">
        <v>3</v>
      </c>
      <c r="AP11" s="278" t="str">
        <f>+Inscrits!B5</f>
        <v>A3</v>
      </c>
      <c r="AQ11" s="247">
        <f t="shared" si="3"/>
        <v>1</v>
      </c>
      <c r="AR11" s="82">
        <f t="shared" si="4"/>
        <v>-3</v>
      </c>
      <c r="AS11" s="184">
        <f t="shared" si="5"/>
        <v>8</v>
      </c>
      <c r="AT11" s="250">
        <f t="shared" si="6"/>
        <v>3</v>
      </c>
      <c r="AU11" s="82">
        <f t="shared" si="7"/>
        <v>4</v>
      </c>
      <c r="AV11" s="252">
        <f t="shared" si="8"/>
        <v>9</v>
      </c>
      <c r="AW11" s="247">
        <f t="shared" si="9"/>
        <v>3</v>
      </c>
      <c r="AX11" s="82">
        <f t="shared" si="10"/>
        <v>5</v>
      </c>
      <c r="AY11" s="252">
        <f t="shared" si="11"/>
        <v>10</v>
      </c>
      <c r="AZ11" s="247">
        <f t="shared" ref="AZ11:AZ62" si="17">SUMIFS(AQ11:AW11,$AQ$8:$AW$8,"Pts",AQ11:AW11,"&lt;&gt;#N/A")</f>
        <v>7</v>
      </c>
      <c r="BA11" s="82">
        <f t="shared" si="12"/>
        <v>6</v>
      </c>
      <c r="BB11" s="252">
        <f t="shared" si="13"/>
        <v>27</v>
      </c>
      <c r="BC11" s="255">
        <f t="shared" si="14"/>
        <v>0</v>
      </c>
      <c r="BD11" s="7">
        <f t="shared" si="15"/>
        <v>6</v>
      </c>
      <c r="BE11" s="183">
        <f t="shared" si="16"/>
        <v>1.93730011</v>
      </c>
      <c r="BF11" s="82">
        <f>IF(AP11="","",SMALL(BE$9:BE$62,ROWS(AZ$9:AZ11)))</f>
        <v>1.9373004600000001</v>
      </c>
      <c r="BG11"/>
      <c r="BH11" s="78" t="str">
        <f>IF(OR(AP11="",AZ11=""),"",INDEX($AP$9:$AP$63,MATCH(BF11,$BE$9:BE$62,0)))</f>
        <v>C2</v>
      </c>
      <c r="BI11" s="255">
        <f t="shared" si="0"/>
        <v>7</v>
      </c>
      <c r="BJ11" s="7">
        <f t="shared" si="1"/>
        <v>6</v>
      </c>
      <c r="BK11" s="7">
        <f t="shared" si="2"/>
        <v>27</v>
      </c>
      <c r="BL11" s="17">
        <f>IF(BF11="","",IF(AND(BI10=BI11,BJ10=BJ11,BK10=BK11),BL10,$BL$9+2))</f>
        <v>2</v>
      </c>
      <c r="BM11" s="22"/>
      <c r="BN11" s="3"/>
    </row>
    <row r="12" spans="1:66" ht="21.6" thickBot="1" x14ac:dyDescent="0.35">
      <c r="A12" s="111">
        <v>3</v>
      </c>
      <c r="B12" s="330" t="s">
        <v>68</v>
      </c>
      <c r="C12" s="235">
        <f>IF($Q$5&gt;7,3,0)</f>
        <v>3</v>
      </c>
      <c r="D12" s="332" t="s">
        <v>86</v>
      </c>
      <c r="E12" s="235">
        <f>IF($Q$5&gt;7,3,0)</f>
        <v>3</v>
      </c>
      <c r="F12" s="333" t="s">
        <v>104</v>
      </c>
      <c r="G12" s="235">
        <f>IF($Q$5=8,0,3)</f>
        <v>3</v>
      </c>
      <c r="H12" s="18"/>
      <c r="I12" s="165">
        <v>3</v>
      </c>
      <c r="J12" s="172" t="str">
        <f>IF(ISNA(MATCH(I12,$C$10:$C$27,0)),"",INDEX(B$10:$B$27,MATCH(I12,$C$10:$C$27,0)))</f>
        <v>A3</v>
      </c>
      <c r="K12" s="117" t="str">
        <f>IF(ISNA(MATCH(I12,$E$10:$E$27,0)),"",INDEX($D$10:D$27,MATCH(I12,$E$10:$E$27,0)))</f>
        <v>B3</v>
      </c>
      <c r="L12" s="160" t="str">
        <f>IF(ISNA(MATCH(I12,$G$10:$G$27,0)),"",INDEX($F$10:F$27,MATCH(I12,$G$10:$G$27,0)))</f>
        <v>C3</v>
      </c>
      <c r="M12" s="130"/>
      <c r="N12" s="67">
        <v>2</v>
      </c>
      <c r="O12" s="118" t="str">
        <f>IF($Q$5&gt;=8,J12,0)</f>
        <v>A3</v>
      </c>
      <c r="P12" s="119" t="str">
        <f>IF($Q$5&gt;=10,K12,IF($Q$5=8,L10,IF($Q$5=9,L11,0)))</f>
        <v>B3</v>
      </c>
      <c r="Q12" s="120" t="str">
        <f>IF($Q$5=11,L12,IF($Q$5=12,L12,IF($Q$5=15,L14,IF($Q$5=16,L12,IF($Q$5=17,L12,IF($Q$5=18,L12,IF($Q$5=19,L12,IF($Q$5=20,L12,IF($Q$5=21,L12,IF($Q$5=22,L12,IF($Q$5=23,L12,IF($Q$5=24,L12,IF($Q$5=25,L12,IF($Q$5=26,L12,IF($Q$5=27,L12,IF($Q$5=28,L12,IF($Q$5=29,L12,IF($Q$5=30,L12,IF($Q$5=31,L12,IF($Q$5=32,L12,IF($Q$5=33,L12,IF($Q$5=34,L12,IF($Q$5=35,L12,IF($Q$5=36,L12,IF($Q$5=37,L12,IF($Q$5=38,L12,IF($Q$5=39,L12,IF($Q$5=40,L12,IF($Q$5=41,L12,IF($Q$5=42,L12,IF($Q$5=43,L12,IF($Q$5=44,L12,IF($Q$5=45,L12,IF($Q$5=46,L12,IF($Q$5=47,L12,IF($Q$5=48,L12,IF($Q$5=49,L12,IF($Q$5=50,L12,IF($Q$5=51,L12,IF($Q$5=52,L12,IF($Q$5=53,L12,IF($Q$5=54,L12,0))))))))))))))))))))))))))))))))))))))))))</f>
        <v>C3</v>
      </c>
      <c r="R12" s="135" t="str">
        <f>IF($Q$5=8,J11,IF($Q$5=9,O11,IF($Q$5=10,J10,IF($Q$5=11,J11,IF(Q$5=12,J12,IF($Q$5=13,J10,IF($Q$5=14,J13,IF($Q$5=15,J13,IF($Q$5=16,J13,IF($Q$5=17,J14,IF($Q$5=18,J14,IF($Q$5=19,J12,IF($Q$5=20,J11,IF($Q$5=21,J11,IF($Q$5=22,J13,IF($Q$5=23,J13,IF($Q$5=24,J13,IF($Q$5=25,J13,IF($Q$5=26,J13,IF($Q$5=27,J13,IF($Q$5=28,J13,IF($Q$5=29,J13,IF($Q$5=30,J13,IF($Q$5=31,J13,IF($Q$5=32,J13,IF($Q$5=33,J13,IF($Q$5=34,J13,IF($Q$5=35,J13,IF($Q$5=36,J13,IF($Q$5=37,J13,IF($Q$5=38,J13,IF($Q$5=39,J13,IF($Q$5=40,J13,IF($Q$5=41,J13,IF($Q$5=42,J13,IF($Q$5=43,J13,IF($Q$5=44,J13,IF($Q$5=45,J13,IF($Q$5=46,J13,IF($Q$5=47,J13,IF($Q$5=48,J13,IF($Q$5=49,J13,IF($Q$5=50,C13,IF($Q$5=51,C13,IF($Q$5=52,C13,IF($Q$5=53,O13,IF($Q$5=54,O13,0)))))))))))))))))))))))))))))))))))))))))))))))</f>
        <v>A4</v>
      </c>
      <c r="S12" s="132" t="str">
        <f>IF($Q$5=8,K11,IF($Q$5=9,P10,IF($Q$5=10,K11,IF($Q$5=11,K11,IF($Q$5=12,K11,IF($Q$5=13,K11,IF($Q$5=14,K10,IF($Q$5=15,K11,IF($Q$5=16,K14,IF($Q$5=17,K11,IF($Q$5=18,K11,IF($Q$5=19,K11,IF($Q$5=20,K10,IF($Q$5=21,K11,IF($Q$5=22,K11,IF($Q$5=23,K15,IF($Q$5=24,K10,IF($Q$5=25,K11,IF($Q$5=26,K11,IF($Q$5=27,K11,IF($Q$5=28,K11,IF($Q$5=29,K11,IF($Q$5=30,K11,IF($Q$5=31,K10,IF($Q$5=32,K11,IF($Q$5=33,K11,IF($Q$5=34,K11,IF($Q$5=35,K11,IF($Q$5=36,K14,IF($Q$5=37,K14,IF($Q$5=38,K14,IF($Q$5=39,K14,IF($Q$5=40,K14,IF($Q$5=41,K14,IF($Q$5=42,K14,IF($Q$5=43,K14,IF($Q$5=44,K14,IF($Q$5=45,K14,IF($Q$5=46,K14,IF($Q$5=47,K14,IF($Q$5=48,K14,IF($Q$5=49,K14,IF($Q$5=50,K14,IF($Q$5=51,K14,IF($Q$5=52,K14,IF($Q$5=53,K14,IF($Q$5=54,K14,0)))))))))))))))))))))))))))))))))))))))))))))))</f>
        <v>B2</v>
      </c>
      <c r="T12" s="151" t="str">
        <f>IF($Q$5=11,L10,IF($Q$5=12,L10,IF($Q$5=15,Q12,IF($Q$5=16,L10,IF($Q$5=17,L13,IF($Q$5=18,L15,IF($Q$5=19,P15,IF($Q$5=20,L13,IF($Q$5=21,L13,IF($Q$5=22,L14,IF($Q$5=23,L11,IF($Q$5=24,L11,IF($Q$5=25,P19,IF($Q$5=26,P19,IF($Q$5=27,P19,IF($Q$5=28,L10,IF($Q$5=29,L13,IF($Q$5=30,L14,IF($Q$5=31,L14,IF($Q$5=32,L14,IF($Q$5=33,L14,IF($Q$5=34,L14,IF($Q$5=35,L14,IF($Q$5=36,L15,IF($Q$5=37,L15,IF($Q$5=38,L15,IF($Q$5=39,L15,IF($Q$5=40,L15,IF($Q$5=41,L15,IF($Q$5=42,L15,IF($Q$5=43,L15,IF($Q$5=44,L15,IF($Q$5=45,L15,IF($Q$5=46,L15,IF($Q$5=47,L15,IF($Q$5=48,L15,IF($Q$5=49,L15,IF($Q$5=50,L15,IF($Q$5=51,L15,IF($Q$5=52,L15,IF($Q$5=53,L15,IF($Q$5=54,L15,0))))))))))))))))))))))))))))))))))))))))))</f>
        <v>C5</v>
      </c>
      <c r="U12" s="140" t="str">
        <f>IF($Q$5=8,J10,IF($Q$5=9,O12,IF($Q$5=10,J11,IF($Q$5=11,O10,IF($Q$5=12,O11,IF($Q$5=13,R14,IF(Q$5=14,R13,IF($Q$5=15,R13,IF(Q$5=16,O14,IF($Q$5=17,O13,IF($Q$5=18,R11,IF($Q$5=19,R12,IF($Q$5=20,R12,IF($Q$5=21,O13,IF($Q$5=22,R10,IF($Q$5=23,O13,IF($Q$5=24,O12,IF($Q$5=25,O12,IF($Q$5=26,O12,IF($Q$5=27,O12,IF($Q$5=28,O12,IF($Q$5=29,O12,IF($Q$5=30,O12,IF($Q$5=31,O12,IF($Q$5=32,O12,IF($Q$5=33,O12,IF($Q$5=34,O12,IF($Q$5=35,R11,IF($Q$5=36,O14,IF($Q$5=37,O14,IF($Q$5=38,O14,IF($Q$5=39,O14,IF($Q$5=40,O14,IF($Q$5=41,O14,IF($Q$5=42,O14,IF($Q$5=43,O14,IF($Q$5=44,O14,IF($Q$5=45,O14,IF($Q$5=46,O14,IF($Q$5=47,O14,IF($Q$5=48,O14,IF($Q$5=49,R13,IF($Q$5=50,O14,IF($Q$5=51,O14,IF($Q$5=52,O14,IF($Q$5=53,O14,IF($Q$5=54,O14,0)))))))))))))))))))))))))))))))))))))))))))))))</f>
        <v>A3</v>
      </c>
      <c r="V12" s="132" t="str">
        <f>IF($Q$5=8,L11,IF($Q$5=9,Q10,IF($Q$5=10,L10,IF($Q$5=11,S13,IF($Q$5=12,P10,IF($Q$5=13,S10,IF($Q$5=14,S13,IF($Q$5=15,S11,IF($Q$5=16,S14,IF($Q$5=17,S11,IF($Q$5=18,S11,IF($Q$5=19,S11,IF($Q$5=20,S11,IF($Q$5=21,S11,IF($Q$5=22,S11,IF($Q$5=23,S11,IF($Q$5=24,S11,IF($Q$5=25,S11,IF($Q$5=26,S11,IF($Q$5=27,S11,IF($Q$5=28,S11,IF($Q$5=29,S11,IF($Q$5=30,S10,IF($Q$5=31,S11,IF($Q$5=32,S16,IF($Q$5=33,S16,IF($Q$5=34,S16,IF($Q$5=35,S16,IF($Q$5=36,S14,IF($Q$5=37,S14,IF($Q$5=38,S14,IF($Q$5=39,S14,IF($Q$5=40,S14,IF($Q$5=41,S14,IF($Q$5=42,S14,IF($Q$5=43,S14,IF($Q$5=44,S14,IF($Q$5=45,S14,IF($Q$5=46,S14,IF($Q$5=47,S14,IF($Q$5=48,S14,IF($Q$5=49,S14,IF($Q$5=50,S14,IF($Q$5=51,S14,IF($Q$5=52,S14,IF($Q$5=53,S14,IF($Q$5=54,S14,0)))))))))))))))))))))))))))))))))))))))))))))))</f>
        <v>B4</v>
      </c>
      <c r="W12" s="144" t="str">
        <f>IF($Q$5=11,T12,IF($Q$5=12,T13,IF($Q$5=14,T14,IF($Q$5=15,S15,IF(Q$5=16,T10,IF($Q$5=17,T14,IF($Q$5=18,T14,IF($Q$5=19,S16,IF($Q$5=20,S16,IF($Q$5=21,T14,IF($Q$5=22,T14,IF($Q$5=23,T14,IF($Q$5=24,T14,IF($Q$5=25,S19,IF($Q$5=26,T14,IF($Q$5=27,T14,IF($Q$5=28,T14,IF($Q$5=29,T14,IF($Q$5=30,T14,IF($Q$5=31,T14,IF($Q$5=32,T12,IF($Q$5=33,T12,IF($Q$5=34,T12,IF($Q$5=35,T12,IF($Q$5=36,T15,IF($Q$5=37,T15,IF($Q$5=38,T15,IF($Q$5=39,T15,IF($Q$5=40,T15,IF($Q$5=41,T15,IF($Q$5=42,T15,IF($Q$5=43,T15,IF($Q$5=44,T15,IF($Q$5=45,T15,IF($Q$5=46,T15,IF($Q$5=47,T15,IF($Q$5=48,T15,IF($Q$5=49,T15,IF($Q$5=50,T15,IF($Q$5=51,T15,IF($Q$5=52,T15,IF($Q$5=53,T15,IF($Q$5=54,T15,0)))))))))))))))))))))))))))))))))))))))))))</f>
        <v>C2</v>
      </c>
      <c r="X12" s="18"/>
      <c r="Y12" s="383"/>
      <c r="Z12" s="11" t="str">
        <f>+P10</f>
        <v>B1</v>
      </c>
      <c r="AA12" s="48">
        <f>IF(ISTEXT(Z12),AA11,0)</f>
        <v>8</v>
      </c>
      <c r="AB12" s="48">
        <f>IF(ISTEXT(Z12),AB11,0)</f>
        <v>1</v>
      </c>
      <c r="AC12" s="49">
        <f>IF(ISTEXT(Z12),AC11,0)</f>
        <v>-2</v>
      </c>
      <c r="AD12" s="6"/>
      <c r="AE12" s="11" t="str">
        <f>+S10</f>
        <v>B4</v>
      </c>
      <c r="AF12" s="48">
        <f>IF(ISTEXT(AE12),AF11,0)</f>
        <v>5</v>
      </c>
      <c r="AG12" s="48">
        <f>IF(ISTEXT(AE12),AG11,0)</f>
        <v>1</v>
      </c>
      <c r="AH12" s="50">
        <f>IF(ISTEXT(AE12),AH11,0)</f>
        <v>-4</v>
      </c>
      <c r="AI12" s="6"/>
      <c r="AJ12" s="11" t="str">
        <f>+V10</f>
        <v>B3</v>
      </c>
      <c r="AK12" s="14">
        <f>IF(ISTEXT(AJ12),AK11,0)</f>
        <v>13</v>
      </c>
      <c r="AL12" s="48">
        <f>IF(ISTEXT(AJ12),AL11,0)</f>
        <v>3</v>
      </c>
      <c r="AM12" s="15">
        <f>IF(ISTEXT(AJ12),AM11,0)</f>
        <v>11</v>
      </c>
      <c r="AN12" s="18"/>
      <c r="AO12" s="44">
        <v>4</v>
      </c>
      <c r="AP12" s="278" t="str">
        <f>+Inscrits!B6</f>
        <v>A4</v>
      </c>
      <c r="AQ12" s="247">
        <f t="shared" si="3"/>
        <v>3</v>
      </c>
      <c r="AR12" s="82">
        <f t="shared" si="4"/>
        <v>3</v>
      </c>
      <c r="AS12" s="184">
        <f t="shared" si="5"/>
        <v>11</v>
      </c>
      <c r="AT12" s="250">
        <f t="shared" si="6"/>
        <v>3</v>
      </c>
      <c r="AU12" s="82">
        <f t="shared" si="7"/>
        <v>2</v>
      </c>
      <c r="AV12" s="252">
        <f t="shared" si="8"/>
        <v>6</v>
      </c>
      <c r="AW12" s="247">
        <f t="shared" si="9"/>
        <v>1</v>
      </c>
      <c r="AX12" s="82">
        <f t="shared" si="10"/>
        <v>-11</v>
      </c>
      <c r="AY12" s="252">
        <f t="shared" si="11"/>
        <v>2</v>
      </c>
      <c r="AZ12" s="247">
        <f t="shared" si="17"/>
        <v>7</v>
      </c>
      <c r="BA12" s="82">
        <f t="shared" si="12"/>
        <v>-6</v>
      </c>
      <c r="BB12" s="252">
        <f t="shared" si="13"/>
        <v>19</v>
      </c>
      <c r="BC12" s="255">
        <f t="shared" si="14"/>
        <v>-6</v>
      </c>
      <c r="BD12" s="7">
        <f t="shared" si="15"/>
        <v>0</v>
      </c>
      <c r="BE12" s="183">
        <f t="shared" si="16"/>
        <v>2.0581001200000002</v>
      </c>
      <c r="BF12" s="82">
        <f>IF(AP12="","",SMALL(BE$9:BE$62,ROWS(AZ$9:AZ12)))</f>
        <v>1.9476003099999999</v>
      </c>
      <c r="BG12"/>
      <c r="BH12" s="78" t="str">
        <f>IF(OR(AP12="",AZ12=""),"",INDEX($AP$9:$AP$63,MATCH(BF12,$BE$9:BE$62,0)))</f>
        <v>B5</v>
      </c>
      <c r="BI12" s="255">
        <f t="shared" si="0"/>
        <v>7</v>
      </c>
      <c r="BJ12" s="7">
        <f t="shared" si="1"/>
        <v>5</v>
      </c>
      <c r="BK12" s="7">
        <f t="shared" si="2"/>
        <v>24</v>
      </c>
      <c r="BL12" s="17">
        <f>IF(BF12="","",IF(AND(BI11=BI12,BJ11=BJ12,BK11=BK12),BL11,$BL$9+3))</f>
        <v>4</v>
      </c>
      <c r="BM12" s="22"/>
      <c r="BN12" s="3"/>
    </row>
    <row r="13" spans="1:66" ht="21.6" thickBot="1" x14ac:dyDescent="0.35">
      <c r="A13" s="111">
        <v>4</v>
      </c>
      <c r="B13" s="330" t="s">
        <v>69</v>
      </c>
      <c r="C13" s="236">
        <f>IF($Q$5=8,0,IF($Q$5=9,0,4))</f>
        <v>4</v>
      </c>
      <c r="D13" s="332" t="s">
        <v>87</v>
      </c>
      <c r="E13" s="235">
        <f>IF($Q$5&gt;=11,4,0)</f>
        <v>4</v>
      </c>
      <c r="F13" s="333" t="s">
        <v>105</v>
      </c>
      <c r="G13" s="235">
        <f>IF($Q$5&gt;=12,4,0)</f>
        <v>4</v>
      </c>
      <c r="H13" s="18"/>
      <c r="I13" s="165">
        <v>4</v>
      </c>
      <c r="J13" s="172" t="str">
        <f>IF(ISNA(MATCH(I13,$C$10:$C$27,0)),"",INDEX(B$10:$B$27,MATCH(I13,$C$10:$C$27,0)))</f>
        <v>A4</v>
      </c>
      <c r="K13" s="117" t="str">
        <f>IF(ISNA(MATCH(I13,$E$10:$E$27,0)),"",INDEX($D$10:D$27,MATCH(I13,$E$10:$E$27,0)))</f>
        <v>B4</v>
      </c>
      <c r="L13" s="160" t="str">
        <f>IF(ISNA(MATCH(I13,$G$10:$G$27,0)),"",INDEX($F$10:F$27,MATCH(I13,$G$10:$G$27,0)))</f>
        <v>C4</v>
      </c>
      <c r="M13" s="130"/>
      <c r="N13" s="42" t="s">
        <v>5</v>
      </c>
      <c r="O13" s="121" t="str">
        <f>IF($Q$5&gt;=10,J13,IF($Q$5=8,K12,IF($Q$5=9,K12,0)))</f>
        <v>A4</v>
      </c>
      <c r="P13" s="122" t="str">
        <f>IF($Q$5=8,L11,IF($Q$5=9,L12,IF($Q$5=10,L12,IF($Q$5=11,K13,IF($Q$5=12,K13,IF($Q$5=13,L11,IF($Q$5=14,K13,IF($Q$5=15,K13,IF($Q$5=16,K13,IF($Q$5=17,K13,IF($Q$5=18,K13,IF($Q$5=19,K13,IF($Q$5=20,K13,IF($Q$5=21,K13,IF(Q$5=22,K13,IF($Q$5=23,K13,IF($Q$5=24,K13,IF($Q$5=25,K13,IF($Q$5=26,K13,IF($Q$5=27,K13,IF($Q$5=28,K13,IF($Q$5=29,K13,IF($Q$5=30,K13,IF($Q$5=31,K13,IF($Q$5=32,K13,IF($Q$5=33,K13,IF($Q$5=34,K13,IF($Q$5=35,K13,IF($Q$5=36,K13,IF($Q$5=37,K13,IF($Q$5=38,K13,IF($Q$5=39,K13,IF($Q$5=40,K13,IF($Q$5=41,K13,IF($Q$5=42,K13,IF($Q$5=43,K13,IF($Q$5=44,K13,IF($Q$5=45,K13,IF($Q$5=46,K13,IF($Q$5=47,K13,IF($Q$5=48,K13,IF($Q$5=49,K13,IF($Q$5=50,K13,IF($Q$5=51,K13,IF($Q$5=52,K13,IF($Q$5=53,K13,IF($Q$5=54,K13,0)))))))))))))))))))))))))))))))))))))))))))))))</f>
        <v>B4</v>
      </c>
      <c r="Q13" s="123" t="str">
        <f>IF($Q$5=12,L13,IF($Q$5=16,L13,IF($Q$5=17,L13,IF($Q$5=18,L13,IF($Q$5=20,L13,IF($Q$5=21,L13,IF($Q$5=22,L13,IF($Q$5=23,L13,IF($Q$5=24,L13,IF($Q$5=25,L13,IF($Q$5=26,L13,IF($Q$5=27,L13,IF($Q$5=28,L13,IF($Q$5=29,L13,IF($Q$5=30,L13,IF($Q$5=31,L13,IF($Q$5=32,L13,IF($Q$5=33,L13,IF($Q$5=34,L13,IF($Q$5=35,L13,IF($Q$5=36,L13,IF($Q$5=37,L13,IF($Q$5=38,L13,IF($Q$5=39,L13,IF($Q$5=40,L13,IF($Q$5=41,L13,IF($Q$5=42,L13,IF($Q$5=43,L13,IF($Q$5=44,L13,IF($Q$5=45,L13,IF($Q$5=46,L13,IF($Q$5=47,L13,IF($Q$5=48,L13,IF($Q$5=49,L13,IF($Q$5=50,L13,IF($Q$5=51,L13,IF($Q$5=52,L13,IF($Q$5=53,L13,IF($Q$5=54,L13,0)))))))))))))))))))))))))))))))))))))))</f>
        <v>C4</v>
      </c>
      <c r="R13" s="136" t="str">
        <f>IF($Q$5=8,J12,IF($Q$5=9,O12,IF($Q$5=10,J11,IF($Q$5=11,J13,IF($Q$5=12,J11,IF($Q$5=13,J14,IF($Q$5=14,J14,IF($Q$5=15,J14,IF($Q$5=16,J14,IF($Q$5=17,J13,IF($Q$5=18,J11,IF($Q$5=19,J10,IF($Q$5=20,J13,IF($Q$5=21,J14,IF($Q$5=22,J14,IF($Q$5=23,J14,IF($Q$5=24,J14,IF($Q$5=25,J14,IF($Q$5=26,J14,IF($Q$5=27,J14,IF($Q$5=28,J14,IF($Q$5=29,J14,IF($Q$5=30,J14,IF($Q$5=31,J14,IF($Q$5=32,J14,IF($Q$5=33,J14,IF($Q$5=34,J14,IF($Q$5=35,J14,IF($Q$5=36,J14,IF($Q$5=37,J14,IF($Q$5=38,J14,IF($Q$5=39,J14,IF($Q$5=40,J14,IF($Q$5=41,J14,IF($Q$5=42,J14,IF($Q$5=43,J14,IF($Q$5=44,J14,IF($Q$5=45,J14,IF($Q$5=46,J14,IF($Q$5=47,J14,IF($Q$5=48,J14,IF($Q$5=49,J14,IF($Q$5=50,J14,IF($Q$5=51,J14,IF($Q$5=52,J14,IF($Q$5=53,J14,IF($Q$5=54,J14,0)))))))))))))))))))))))))))))))))))))))))))))))</f>
        <v>A5</v>
      </c>
      <c r="S13" s="137" t="str">
        <f>IF($Q$5=8,K10,IF($Q$5=9,Q10,IF($Q$5=10,K12,IF($Q$5=11,K12,IF($Q$5=12,K10,IF($Q$5=13,K12,IF($Q$5=14,K11,IF($Q$5=15,P12,IF($Q$5=16,K10,IF($Q$5=17,K12,IF($Q$5=18,K12,IF($Q$5=19,K12,IF($Q$5=20,K12,IF($Q$5=21,K12,IF($Q$5=22,K12,IF($Q$5=23,K16,IF($Q$5=24,K12,IF($Q$5=25,K12,IF($Q$5=26,K12,IF($Q$5=27,K12,IF($Q$5=28,K12,IF($Q$5=29,K12,IF($Q$5=30,K12,IF($Q$5=31,K12,IF($Q$5=32,K12,IF($Q$5=33,K12,IF($Q$5=34,K12,IF($Q$5=35,K12,IF($Q$5=36,K15,IF($Q$5=37,K15,IF($Q$5=38,K15,IF($Q$5=39,K15,IF($Q$5=40,K15,IF($Q$5=41,K15,IF($Q$5=42,K15,IF($Q$5=43,K15,IF($Q$5=44,K15,IF($Q$5=45,K15,IF($Q$5=46,K15,IF($Q$5=47,K15,IF($Q$5=48,K15,IF($Q$5=49,K15,IF($Q$5=50,K15,IF($Q$5=51,K15,IF($Q$5=52,K15,IF($Q$5=53,K15,IF($Q$5=54,K15,0)))))))))))))))))))))))))))))))))))))))))))))))</f>
        <v>B3</v>
      </c>
      <c r="T13" s="153" t="str">
        <f>IF($Q$5=12,L13,IF($Q$5=16,L11,IF($Q$5=17,L14,IF($Q$5=18,L14,IF($Q$5=19,0,IF($Q$5=20,P16,IF($Q$5=21,L14,IF($Q$5=22,L15,IF($Q$5=23,L16,IF($Q$5=24,L15,IF($Q$5=25,L14,IF($Q$5=26,L14,IF($Q$5=27,L14,IF($Q$5=28,L14,IF($Q$5=29,L14,IF($Q$5=30,L15,IF($Q$5=31,L11,IF($Q$5=32,L13,IF($Q$5=33,L13,IF($Q$5=34,L13,IF($Q$5=35,L13,IF($Q$5=36,L16,IF($Q$5=37,L16,IF($Q$5=38,L16,IF($Q$5=39,L16,IF($Q$5=40,L16,IF($Q$5=41,L16,IF($Q$5=42,L16,IF($Q$5=43,L16,IF($Q$5=44,L16,IF($Q$5=45,L16,IF($Q$5=46,L16,IF($Q$5=47,L16,IF($Q$5=48,L16,IF($Q$5=49,L16,IF($Q$5=50,L16,IF($Q$5=51,L16,IF($Q$5=52,L16,IF($Q$5=53,L16,IF($Q$5=54,L16,0))))))))))))))))))))))))))))))))))))))))</f>
        <v>C6</v>
      </c>
      <c r="U13" s="156" t="str">
        <f>IF($Q$5=8,K12,IF($Q$5=9,R10,IF($Q$5=10,J12,IF($Q$5=11,O12,IF($Q$5=12,O13,IF($Q$5=13,R13,IF($Q$5=14,R14,IF($Q$5=15,R14,IF(Q$5=16,O15,IF($Q$5=17,R11,IF($Q$5=18,O14,IF($Q$5=19,R11,IF($Q$5=20,R11,IF($Q$5=21,R12,IF($Q$5=22,O13,IF($Q$5=23,R14,IF($Q$5=24,O14,IF($Q$5=25,R13,IF($Q$5=26,O14,IF($Q$5=27,O14,IF($Q$5=28,O14,IF($Q$5=29,O14,IF($Q$5=30,O14,IF($Q$5=31,O14,IF($Q$5=32,O14,IF($Q$5=33,O14,IF($Q$5=34,O14,IF($Q$5=35,R13,IF($Q$5=36,O15,IF($Q$5=37,O15,IF($Q$5=38,O15,IF($Q$5=39,O15,IF($Q$5=40,O15,IF($Q$5=41,O15,IF($Q$5=42,O15,IF($Q$5=43,O15,IF($Q$5=44,O15,IF($Q$5=45,O15,IF($Q$5=46,O15,IF($Q$5=47,O15,IF($Q$5=48,O15,IF($Q$5=49,R14,IF($Q$5=50,O15,IF($Q$5=51,O15,IF($Q$5=52,O15,IF($Q$5=53,O15,IF($Q$5=54,O15,0)))))))))))))))))))))))))))))))))))))))))))))))</f>
        <v>A5</v>
      </c>
      <c r="V13" s="137" t="str">
        <f>IF($Q$5=8,K11,IF($Q$5=9,S11,IF($Q$5=10,K11,IF($Q$5=11,S11,IF($Q$5=12,S12,IF($Q$5=13,S14,IF($Q$5=14,S11,IF($Q$5=15,S12,IF($Q$5=16,S13,IF($Q$5=17,S14,IF($Q$5=18,S14,IF($Q$5=19,S12,IF($Q$5=20,S14,IF($Q$5=21,S14,IF($Q$5=22,S14,IF($Q$5=23,S14,IF($Q$5=24,S14,IF($Q$5=25,S14,IF($Q$5=26,S14,IF($Q$5=27,S14,IF($Q$5=28,S14,IF($Q$5=29,S16,IF($Q$5=30,S14,IF($Q$5=31,S14,IF($Q$5=32,S17,IF($Q$5=33,S17,IF($Q$5=34,S17,IF($Q$5=35,S17,IF($Q$5=36,S15,IF($Q$5=37,S15,IF($Q$5=38,S15,IF($Q$5=39,S15,IF($Q$5=40,S15,IF($Q$5=41,S15,IF($Q$5=42,S15,IF($Q$5=43,S15,IF($Q$5=44,S15,IF($Q$5=45,S15,IF($Q$5=46,S15,IF($Q$5=47,S15,IF($Q$5=48,S15,IF($Q$5=49,S15,IF($Q$5=50,S15,IF($Q$5=51,S15,IF($Q$5=52,S15,IF($Q$5=53,S15,IF($Q$5=54,S15,0)))))))))))))))))))))))))))))))))))))))))))))))</f>
        <v>B6</v>
      </c>
      <c r="W13" s="146" t="str">
        <f>IF($Q$5=12,T10,IF($Q$5=16,T13,IF($Q$5=17,T11,IF($Q$5=18,T15,IF($Q$5=20,T13,IF($Q$5=21,T11,IF($Q$5=22,T15,IF($Q$5=23,T15,IF($Q$5=24,T15,IF($Q$5=25,T14,IF($Q$5=26,T15,IF($Q$5=27,T15,IF($Q$5=28,T15,IF($Q$5=29,T15,IF($Q$5=30,T15,IF($Q$5=31,T15,IF($Q$5=32,T14,IF($Q$5=33,T14,IF($Q$5=34,T14,IF($Q$5=35,T14,IF($Q$5=36,T16,IF($Q$5=37,T16,IF($Q$5=38,T16,IF($Q$5=39,T16,IF($Q$5=40,T16,IF($Q$5=41,T16,IF($Q$5=42,T16,IF($Q$5=43,T16,IF($Q$5=44,T16,IF($Q$5=45,T16,IF($Q$5=46,T16,IF($Q$5=47,T16,IF($Q$5=48,T16,IF($Q$5=49,T16,IF($Q$5=50,T16,IF($Q$5=51,T16,IF($Q$5=52,T16,IF($Q$5=53,T16,IF($Q$5=54,T16,0)))))))))))))))))))))))))))))))))))))))</f>
        <v>C7</v>
      </c>
      <c r="X13" s="18"/>
      <c r="Y13" s="383"/>
      <c r="Z13" s="11" t="str">
        <f>+Q10</f>
        <v>C1</v>
      </c>
      <c r="AA13" s="51">
        <f>IF(ISTEXT(Z13),AA11,0)</f>
        <v>8</v>
      </c>
      <c r="AB13" s="52">
        <f>IF(ISTEXT(Z13),AB11,0)</f>
        <v>1</v>
      </c>
      <c r="AC13" s="53">
        <f>IF(ISTEXT(Z13),AC11,0)</f>
        <v>-2</v>
      </c>
      <c r="AD13" s="6"/>
      <c r="AE13" s="11" t="str">
        <f>+T10</f>
        <v>C3</v>
      </c>
      <c r="AF13" s="51">
        <f>IF(ISTEXT(AE13),AF11,0)</f>
        <v>5</v>
      </c>
      <c r="AG13" s="52">
        <f>IF(ISTEXT(AE13),AG11,0)</f>
        <v>1</v>
      </c>
      <c r="AH13" s="54">
        <f>IF(ISTEXT(AE13),AH11,0)</f>
        <v>-4</v>
      </c>
      <c r="AI13" s="6"/>
      <c r="AJ13" s="11" t="str">
        <f>+W10</f>
        <v>C5</v>
      </c>
      <c r="AK13" s="55">
        <f>IF(ISTEXT(AJ13),AK11,0)</f>
        <v>13</v>
      </c>
      <c r="AL13" s="52">
        <f>IF(ISTEXT(AJ13),AL11,0)</f>
        <v>3</v>
      </c>
      <c r="AM13" s="56">
        <f>IF(ISTEXT(AJ13),AM11,0)</f>
        <v>11</v>
      </c>
      <c r="AN13" s="18"/>
      <c r="AO13" s="44">
        <v>5</v>
      </c>
      <c r="AP13" s="278" t="str">
        <f>+Inscrits!B7</f>
        <v>A5</v>
      </c>
      <c r="AQ13" s="247">
        <f t="shared" si="3"/>
        <v>3</v>
      </c>
      <c r="AR13" s="82">
        <f t="shared" si="4"/>
        <v>12</v>
      </c>
      <c r="AS13" s="184">
        <f t="shared" si="5"/>
        <v>13</v>
      </c>
      <c r="AT13" s="250">
        <f t="shared" si="6"/>
        <v>1</v>
      </c>
      <c r="AU13" s="82">
        <f t="shared" si="7"/>
        <v>-2</v>
      </c>
      <c r="AV13" s="252">
        <f t="shared" si="8"/>
        <v>4</v>
      </c>
      <c r="AW13" s="247">
        <f t="shared" si="9"/>
        <v>1</v>
      </c>
      <c r="AX13" s="82">
        <f t="shared" si="10"/>
        <v>-5</v>
      </c>
      <c r="AY13" s="252">
        <f t="shared" si="11"/>
        <v>5</v>
      </c>
      <c r="AZ13" s="247">
        <f t="shared" si="17"/>
        <v>5</v>
      </c>
      <c r="BA13" s="82">
        <f t="shared" si="12"/>
        <v>5</v>
      </c>
      <c r="BB13" s="252">
        <f t="shared" si="13"/>
        <v>22</v>
      </c>
      <c r="BC13" s="255">
        <f t="shared" si="14"/>
        <v>0</v>
      </c>
      <c r="BD13" s="7">
        <f t="shared" si="15"/>
        <v>5</v>
      </c>
      <c r="BE13" s="183">
        <f t="shared" si="16"/>
        <v>8.9478001299999992</v>
      </c>
      <c r="BF13" s="82">
        <f>IF(AP13="","",SMALL(BE$9:BE$62,ROWS(AZ$9:AZ13)))</f>
        <v>1.9574003</v>
      </c>
      <c r="BG13"/>
      <c r="BH13" s="78" t="str">
        <f>IF(OR(AP13="",AZ13=""),"",INDEX($AP$9:$AP$63,MATCH(BF13,$BE$9:BE$62,0)))</f>
        <v>B4</v>
      </c>
      <c r="BI13" s="255">
        <f t="shared" si="0"/>
        <v>7</v>
      </c>
      <c r="BJ13" s="7">
        <f t="shared" si="1"/>
        <v>4</v>
      </c>
      <c r="BK13" s="7">
        <f t="shared" si="2"/>
        <v>26</v>
      </c>
      <c r="BL13" s="17">
        <f>IF(BF13="","",IF(AND(BI12=BI13,BJ12=BJ13,BK12=BK13),BL12,$BL$9+4))</f>
        <v>5</v>
      </c>
      <c r="BM13" s="22"/>
      <c r="BN13" s="3"/>
    </row>
    <row r="14" spans="1:66" ht="21" x14ac:dyDescent="0.3">
      <c r="A14" s="111">
        <v>5</v>
      </c>
      <c r="B14" s="330" t="s">
        <v>70</v>
      </c>
      <c r="C14" s="235">
        <f>IF($Q$5&gt;=13,5,0)</f>
        <v>5</v>
      </c>
      <c r="D14" s="332" t="s">
        <v>88</v>
      </c>
      <c r="E14" s="235">
        <f>IF($Q$5&gt;=14,5,0)</f>
        <v>5</v>
      </c>
      <c r="F14" s="333" t="s">
        <v>106</v>
      </c>
      <c r="G14" s="235">
        <f>IF($Q$5&gt;=15,5,0)</f>
        <v>5</v>
      </c>
      <c r="H14" s="18"/>
      <c r="I14" s="165">
        <v>5</v>
      </c>
      <c r="J14" s="172" t="str">
        <f>IF(ISNA(MATCH(I14,$C$10:$C$27,0)),"",INDEX(B$10:$B$27,MATCH(I14,$C$10:$C$27,0)))</f>
        <v>A5</v>
      </c>
      <c r="K14" s="117" t="str">
        <f>IF(ISNA(MATCH(I14,$E$10:$E$27,0)),"",INDEX($D$10:D$27,MATCH(I14,$E$10:$E$27,0)))</f>
        <v>B5</v>
      </c>
      <c r="L14" s="160" t="str">
        <f>IF(ISNA(MATCH(I14,$G$10:$G$27,0)),"",INDEX($F$10:F$27,MATCH(I14,$G$10:$G$27,0)))</f>
        <v>C5</v>
      </c>
      <c r="M14" s="130"/>
      <c r="N14" s="67">
        <v>3</v>
      </c>
      <c r="O14" s="118" t="str">
        <f>IF($Q$5=13,J14,IF($Q$5=14,J14,IF($Q$5=15,J14,IF($Q$5=16,J14,IF($Q$5=17,J14,IF($Q$5=18,J14,IF($Q$5=19,J14,IF($Q$5=20,J14,IF($Q$5=21,J14,IF($Q$5=22,J14,IF($Q$5=23,J14,IF($Q$5=24,J14,IF($Q$5=25,J14,IF($Q$5=26,J14,IF($Q$5=27,J14,IF($Q$5=28,J14,IF($Q$5=29,J14,IF($Q$5=29,J14,IF($Q$5=30,J14,IF($Q$5=31,J14,IF($Q$5=32,J14,IF($Q$5=33,J14,IF($Q$5=34,J14,IF($Q$5=35,J14,IF($Q$5=36,J14,IF($Q$5=37,J14,IF($Q$5=38,J14,IF($Q$5=39,J14,IF($Q$5=40,J14,IF($Q$5=41,J14,IF($Q$5=42,J14,IF($Q$5=43,J14,IF($Q$5=44,J14,IF($Q$5=45,J14,IF($Q$5=46,J14,IF($Q$5=47,J14,IF($Q$5=48,J14,IF($Q$5=49,J14,IF($Q$5=50,J14,IF($Q$5=51,J14,IF($Q$5=52,J14,IF($Q$5=53,J14,IF($Q$5=54,J14,0)))))))))))))))))))))))))))))))))))))))))))</f>
        <v>A5</v>
      </c>
      <c r="P14" s="119" t="str">
        <f>IF($Q$5=13,L12,IF($Q$5=14,L12,IF($Q$5=15,L12,IF($Q$5=16,K14,IF($Q$5=17,K14,IF($Q$5=18,K14,IF($Q$5=19,K14,IF($Q$5=20,K14,IF($Q$5=21,K14,IF($Q$5=22,K14,IF($Q$5=23,K14,IF($Q$5=24,K14,IF($Q$5=25,K14,IF($Q$5=26,K14,IF($Q$5=27,K14,IF($Q$5=28,K14,IF($Q$5=29,K14,IF($Q$5=30,K14,IF($Q$5=31,K14,IF($Q$5=32,K14,IF($Q$5=33,K14,IF($Q$5=34,K14,IF($Q$5=35,K14,IF($Q$5=36,K14,IF($Q$5=37,K14,IF($Q$5=38,K14,IF($Q$5=39,K14,IF($Q$5=40,K14,IF($Q$5=41,K14,IF($Q$5=42,K14,IF($Q$5=43,K14,IF($Q$5=44,K14,IF($Q$5=45,K14,IF($Q$5=46,K14,IF($Q$5=47,K14,IF($Q$5=48,K14,IF($Q$5=49,K14,IF($Q$5=50,K14,IF($Q$5=51,K14,IF($Q$5=52,K14,IF($Q$5=53,K14,IF($Q$5=54,K14,0))))))))))))))))))))))))))))))))))))))))))</f>
        <v>B5</v>
      </c>
      <c r="Q14" s="120" t="str">
        <f>IF($Q$5=17,L14,IF($Q$5=18,L14,IF($Q$5=21,L14,IF($Q$5=22,L14,IF($Q$5=23,L14,IF($Q$5=24,L14,IF($Q$5=25,L14,IF($Q$5=26,L14,IF($Q$5=27,L14,IF($Q$5=28,L14,IF($Q$5=29,L14,IF($Q$5=30,L14,IF($Q$5=31,L14,IF($Q$5=32,L14,IF($Q$5=33,L14,IF($Q$5=34,L14,IF($Q$5=35,L14,IF($Q$5=36,L14,IF($Q$5=37,L14,IF($Q$5=38,L14,IF($Q$5=39,L14,IF($Q$5=40,L14,IF($Q$5=41,L14,IF($Q$5=42,L14,IF($Q$5=43,L14,IF($Q$5=44,L14,IF($Q$5=45,L14,IF($Q$5=46,L14,IF($Q$5=47,L14,IF($Q$5=48,L14,IF($Q$5=49,L14,IF($Q$5=50,L14,IF($Q$5=51,L14,IF($Q$5=52,L14,IF($Q$5=53,L14,IF($Q$5=54,L14,0))))))))))))))))))))))))))))))))))))</f>
        <v>C5</v>
      </c>
      <c r="R14" s="135" t="str">
        <f>IF($Q$5=13,J13,IF($Q$5=14,J10,IF($Q$5=15,J10,IF($Q$5=16,J15,IF($Q$5=17,J11,IF($Q$5=18,J13,IF($Q$5=19,J14,IF($Q$5=20,J14,IF($Q$5=21,J13,IF($Q$5=22,J15,IF($Q$5=23,J15,IF($Q$5=24,J15,IF($Q$5=25,J15,IF($Q$5=26,J15,IF($Q$5=27,J15,IF($Q$5=28,J15,IF($Q$5=29,J15,IF($Q$5=30,J15,IF($Q$5=31,J15,IF($Q$5=32,J15,IF($Q$5=33,J15,IF($Q$5=34,J15,IF($Q$5=35,J15,IF($Q$5=36,J15,IF($Q$5=37,J15,IF($Q$5=38,J15,IF($Q$5=39,J15,IF($Q$5=40,J15,IF($Q$5=41,J15,IF($Q$5=42,J15,IF($Q$5=43,J15,IF($Q$5=44,J15,IF($Q$5=45,J15,IF($Q$5=46,J15,IF($Q$5=47,J15,IF($Q$5=48,J15,IF($Q$5=49,J15,IF($Q$5=50,J15,IF($Q$5=51,J15,IF($Q$5=52,J15,IF($Q$5=53,J15,IF($Q$5=54,J15,0))))))))))))))))))))))))))))))))))))))))))</f>
        <v>A6</v>
      </c>
      <c r="S14" s="138" t="str">
        <f>IF($Q$5=13,P14,IF($Q$5=14,L11,IF($Q$5=15,L10,IF($Q$5=16,K11,IF($Q$5=17,K15,IF($Q$5=18,K15,IF($Q$5=19,P10,IF($Q$5=20,K11,IF($Q$5=21,K15,IF($Q$5=22,K15,IF($Q$5=23,D17,IF($Q$5=24,K17,IF($Q$5=25,K16,IF($Q$5=26,K17,IF($Q$5=27,K15,IF($Q$5=28,K17,IF($Q$5=29,K15,IF($Q$5=30,K15,IF($Q$5=31,K17,IF($Q$5=32,K17,IF($Q$5=33,K17,IF($Q$5=34,K17,IF($Q$5=35,K17,IF($Q$5=36,K16,IF($Q$5=37,K16,IF($Q$5=38,K16,IF($Q$5=39,K16,IF($Q$5=40,K16,IF($Q$5=41,K16,IF($Q$5=42,K16,IF($Q$5=43,K16,IF($Q$5=44,K16,IF($Q$5=45,K16,IF($Q$5=46,K16,IF($Q$5=47,K16,IF($Q$5=48,K16,IF($Q$5=49,K16,IF($Q$5=50,K16,IF($Q$5=51,K16,IF($Q$5=52,K16,IF($Q$5=53,K16,IF($Q$5=54,K16,0))))))))))))))))))))))))))))))))))))))))))</f>
        <v>B6</v>
      </c>
      <c r="T14" s="154" t="str">
        <f>IF($Q$5=17,L10,IF($Q$5=18,L11,IF($Q$5=20,0,IF($Q$5=21,P16,IF($Q$5=22,P17,IF($Q$5=23,L15,IF($Q$5=24,L14,IF($Q$5=25,P17,IF($Q$5=26,L15,IF($Q$5=27,L15,IF($Q$5=28,L15,IF($Q$5=29,L15,IF($Q$5=30,L11,IF($Q$5=31,L16,IF($Q$5=32,L16,IF($Q$5=33,L16,IF($Q$5=34,L16,IF($Q$5=35,L16,IF($Q$5=36,L17,IF($Q$5=37,L17,IF($Q$5=38,L17,IF($Q$5=39,L17,IF($Q$5=40,L17,IF($Q$5=41,L17,IF($Q$5=42,L17,IF($Q$5=43,L17,IF($Q$5=44,L17,IF($Q$5=45,L17,IF($Q$5=46,L17,IF($Q$5=47,L17,IF($Q$5=48,L17,IF($Q$5=49,L17,IF($Q$5=50,L17,IF($Q$5=51,L17,IF($Q$5=52,L17,IF($Q$5=53,L17,IF($Q$5=54,L17,0)))))))))))))))))))))))))))))))))))))</f>
        <v>C2</v>
      </c>
      <c r="U14" s="135" t="str">
        <f>IF($Q$5=13,R10,IF($Q$5=14,R10,IF($Q$5=15,O11,IF($Q$5=16,O13,IF($Q$5=17,O11,IF($Q$5=18,R13,IF($Q$5=19,R10,IF($Q$5=20,R14,IF($Q$5=21,R11,IF($Q$5=22,O14,IF($Q$5=23,R17,IF($Q$5=24,R10,IF($Q$5=25,R10,IF($Q$5=26,O11,IF($Q$5=27,O11,IF($Q$5=28,R10,IF($Q$5=29,O11,IF($Q$5=30,R10,IF($Q$5=31,O15,IF($Q$5=32,O15,IF($Q$5=33,O15,IF($Q$5=34,O15,IF($Q$5=35,O15,IF($Q$5=36,O16,IF($Q$5=37,O16,IF($Q$5=38,O16,IF($Q$5=39,O16,IF($Q$5=40,O16,IF($Q$5=41,O16,IF($Q$5=42,O16,IF($Q$5=43,O16,IF($Q$5=44,O16,IF($Q$5=45,O16,IF($Q$5=46,O16,IF($Q$5=47,O16,IF($Q$5=48,O16,IF($Q$5=49,R15,IF($Q$5=50,O16,IF($Q$5=51,O16,IF($Q$5=52,O16,IF($Q$5=53,O16,IF($Q$5=54,O16,0))))))))))))))))))))))))))))))))))))))))))</f>
        <v>A2</v>
      </c>
      <c r="V14" s="132" t="str">
        <f>IF($Q$5=13,T10,IF($Q$5=14,P14,IF($Q$5=15,S13,IF($Q$5=16,S12,IF($Q$5=17,S15,IF($Q$5=18,S15,IF($Q$5=19,S13,IF($Q$5=20,S15,IF($Q$5=21,S10,IF($Q$5=22,S15,IF($Q$5=23,S17,IF($Q$5=24,S15,IF($Q$5=25,S15,IF($Q$5=26,S15,IF($Q$5=27,S15,IF($Q$5=28,S15,IF($Q$5=29,S15,IF($Q$5=30,S15,IF($Q$5=31,T11,IF($Q$5=32,S15,IF($Q$5=33,S15,IF($Q$5=34,S15,IF($Q$5=35,S15,IF($Q$5=36,S16,IF($Q$5=37,S16,IF($Q$5=38,S16,IF($Q$5=39,S16,IF($Q$5=40,S16,IF($Q$5=41,S16,IF($Q$5=42,S16,IF($Q$5=43,S16,IF($Q$5=44,S16,IF($Q$5=45,S16,IF($Q$5=46,S16,IF($Q$5=47,S16,IF($Q$5=48,S16,IF($Q$5=49,S16,IF($Q$5=50,S16,IF($Q$5=51,S16,IF($Q$5=52,S16,IF($Q$5=53,S16,IF($Q$5=54,S16,0))))))))))))))))))))))))))))))))))))))))))</f>
        <v>B7</v>
      </c>
      <c r="W14" s="144" t="str">
        <f>IF($Q$5=17,T10,IF($Q$5=18,T11,IF($Q$5=21,T13,IF($Q$5=22,T11,IF($Q$5=23,T11,IF($Q$5=24,T16,IF($Q$5=25,S17,IF($Q$5=26,S17,IF($Q$5=27,T16,IF($Q$5=28,T16,IF($Q$5=29,T16,IF($Q$5=30,T16,IF($Q$5=31,S19,IF($Q$5=32,T15,IF($Q$5=33,T15,IF($Q$5=34,T18,IF($Q$5=35,T20,IF($Q$5=36,T17,IF($Q$5=37,T17,IF($Q$5=38,T17,IF($Q$5=39,T17,IF($Q$5=40,T17,IF($Q$5=41,T17,IF($Q$5=42,T17,IF($Q$5=43,T17,IF($Q$5=44,T17,IF($Q$5=45,T17,IF($Q$5=46,T17,IF($Q$5=47,T17,IF($Q$5=48,T17,IF($Q$5=49,T17,IF($Q$5=50,T17,IF($Q$5=51,T17,IF($Q$5=52,T17,IF($Q$5=53,T17,IF($Q$5=54,T17,0))))))))))))))))))))))))))))))))))))</f>
        <v>C8</v>
      </c>
      <c r="X14" s="18"/>
      <c r="Y14" s="383"/>
      <c r="Z14" s="24"/>
      <c r="AA14" s="195" t="s">
        <v>5</v>
      </c>
      <c r="AB14" s="16"/>
      <c r="AC14" s="17"/>
      <c r="AD14" s="20"/>
      <c r="AE14" s="24"/>
      <c r="AF14" s="195" t="s">
        <v>5</v>
      </c>
      <c r="AG14" s="16"/>
      <c r="AH14" s="17"/>
      <c r="AI14" s="20"/>
      <c r="AJ14" s="24"/>
      <c r="AK14" s="195" t="s">
        <v>5</v>
      </c>
      <c r="AL14" s="16"/>
      <c r="AM14" s="17"/>
      <c r="AN14" s="18"/>
      <c r="AO14" s="44">
        <v>6</v>
      </c>
      <c r="AP14" s="278" t="str">
        <f>+Inscrits!B8</f>
        <v>A6</v>
      </c>
      <c r="AQ14" s="247">
        <f t="shared" si="3"/>
        <v>1</v>
      </c>
      <c r="AR14" s="82">
        <f t="shared" si="4"/>
        <v>-12</v>
      </c>
      <c r="AS14" s="184">
        <f t="shared" si="5"/>
        <v>1</v>
      </c>
      <c r="AT14" s="250">
        <f t="shared" si="6"/>
        <v>1</v>
      </c>
      <c r="AU14" s="82">
        <f t="shared" si="7"/>
        <v>-1</v>
      </c>
      <c r="AV14" s="252">
        <f t="shared" si="8"/>
        <v>7</v>
      </c>
      <c r="AW14" s="247" t="str">
        <f t="shared" si="9"/>
        <v>0</v>
      </c>
      <c r="AX14" s="82" t="str">
        <f t="shared" si="10"/>
        <v>0</v>
      </c>
      <c r="AY14" s="252" t="str">
        <f t="shared" si="11"/>
        <v>0</v>
      </c>
      <c r="AZ14" s="247">
        <f t="shared" si="17"/>
        <v>2</v>
      </c>
      <c r="BA14" s="82">
        <f t="shared" si="12"/>
        <v>-13</v>
      </c>
      <c r="BB14" s="252">
        <f t="shared" si="13"/>
        <v>8</v>
      </c>
      <c r="BC14" s="255">
        <f t="shared" si="14"/>
        <v>-13</v>
      </c>
      <c r="BD14" s="7">
        <f t="shared" si="15"/>
        <v>0</v>
      </c>
      <c r="BE14" s="183">
        <f t="shared" si="16"/>
        <v>21.129200139999998</v>
      </c>
      <c r="BF14" s="82">
        <f>IF(AP14="","",SMALL(BE$9:BE$62,ROWS(AZ$9:AZ14)))</f>
        <v>2.0581001200000002</v>
      </c>
      <c r="BG14"/>
      <c r="BH14" s="78" t="str">
        <f>IF(OR(AP14="",AZ14=""),"",INDEX($AP$9:$AP$63,MATCH(BF14,$BE$9:BE$62,0)))</f>
        <v>A4</v>
      </c>
      <c r="BI14" s="255">
        <f t="shared" si="0"/>
        <v>7</v>
      </c>
      <c r="BJ14" s="7">
        <f t="shared" si="1"/>
        <v>-6</v>
      </c>
      <c r="BK14" s="7">
        <f t="shared" si="2"/>
        <v>19</v>
      </c>
      <c r="BL14" s="17">
        <f>IF(BF14="","",IF(AND(BI13=BI14,BJ13=BJ14,BK13=BK14),BL13,$BL$9+5))</f>
        <v>6</v>
      </c>
      <c r="BM14" s="22"/>
      <c r="BN14" s="3"/>
    </row>
    <row r="15" spans="1:66" ht="21.6" thickBot="1" x14ac:dyDescent="0.35">
      <c r="A15" s="111">
        <v>6</v>
      </c>
      <c r="B15" s="330" t="s">
        <v>71</v>
      </c>
      <c r="C15" s="235">
        <f>IF($Q$5&gt;=16,6,0)</f>
        <v>6</v>
      </c>
      <c r="D15" s="332" t="s">
        <v>89</v>
      </c>
      <c r="E15" s="235">
        <f>IF($Q$5&gt;=17,6,0)</f>
        <v>6</v>
      </c>
      <c r="F15" s="333" t="s">
        <v>107</v>
      </c>
      <c r="G15" s="235">
        <f>IF($Q$5&gt;=18,6,0)</f>
        <v>6</v>
      </c>
      <c r="H15" s="18"/>
      <c r="I15" s="165">
        <v>6</v>
      </c>
      <c r="J15" s="172" t="str">
        <f>IF(ISNA(MATCH(I15,$C$10:$C$27,0)),"",INDEX(B$10:$B$27,MATCH(I15,$C$10:$C$27,0)))</f>
        <v>A6</v>
      </c>
      <c r="K15" s="117" t="str">
        <f>IF(ISNA(MATCH(I15,$E$10:$E$27,0)),"",INDEX($D$10:D$27,MATCH(I15,$E$10:$E$27,0)))</f>
        <v>B6</v>
      </c>
      <c r="L15" s="160" t="str">
        <f>IF(ISNA(MATCH(I15,$G$10:$G$27,0)),"",INDEX($F$10:F$27,MATCH(I15,$G$10:$G$27,0)))</f>
        <v>C6</v>
      </c>
      <c r="M15" s="130"/>
      <c r="N15" s="42" t="s">
        <v>5</v>
      </c>
      <c r="O15" s="121" t="str">
        <f>IF($Q$5=13,K13,IF($Q$5=14,K14,IF($Q$5=15,K14,IF($Q$5=16,J15,IF($Q$5=17,J15,IF($Q5=18,J15,IF($Q$5=19,J15,IF($Q$5=20,J15,IF($Q$5=21,J15,IF($Q$5=22,J15,IF($Q$5=23,J15,IF($Q$5=24,J15,IF($Q$5=25,J15,IF($Q$5=26,J15,IF($Q$5=27,J15,IF($Q$5=28,J15,IF($Q$5=29,J15,IF($Q$5=30,J15,IF($Q$5=31,J15,IF($Q$5=32,J15,IF($Q$5=33,J15,IF($Q$5=34,J15,IF($Q$5=35,J15,IF($Q$5=36,J15,IF($Q$5=37,J15,IF($Q$5=38,J15,IF($Q$5=39,J15,IF($Q$5=40,J15,IF($Q$5=41,J15,IF($Q$5=42,J15,IF($Q$5=43,J15,IF($Q$5=44,J15,IF($Q$5=45,J15,IF($Q$5=46,J15,IF($Q$5=47,J15,IF($Q$5=48,J15,IF($Q$5=49,J15,IF($Q$5=50,J15,IF($Q$5=51,J15,IF($Q$5=52,J15,IF($Q$5=53,J15,IF($Q$5=54,J15,0))))))))))))))))))))))))))))))))))))))))))</f>
        <v>A6</v>
      </c>
      <c r="P15" s="122" t="str">
        <f>IF($Q$5=13,L13,IF($Q$5=14,L13,IF($Q$5=15,L13,IF($Q$5=16,L14,IF($Q$5=17,K15,IF($Q$5=18,K15,IF($Q$5=19,L13,IF($Q$5=20,K15,IF($Q$5=21,K15,IF($Q$5=22,K15,IF($Q$5=23,K15,IF($Q$5=24,K15,IF($Q$5=25,K15,IF($Q$5=26,K15,IF($Q$5=27,K15,IF($Q$5=28,K15,IF($Q$5=29,K15,IF($Q$5=30,K15,IF($Q$5=31,K15,IF($Q$5=32,K15,IF($Q$5=33,K15,IF($Q$5=34,K15,IF($Q$5=35,K15,IF($Q$5=36,K15,IF($Q$5=37,K15,IF($Q$5=38,K15,IF($Q$5=39,K15,IF($Q$5=40,K15,IF($Q$5=41,K15,IF($Q$5=42,K15,IF($Q$5=43,K15,IF($Q$5=44,K15,IF($Q$5=45,K15,IF($Q$5=46,K15,IF($Q$5=47,K15,IF($Q$5=48,K15,IF($Q$5=49,K15,IF($Q$5=50,K15,IF($Q$5=51,K15,IF($Q$5=52,K15,IF($Q$5=53,K15,IF($Q$5=54,K15,0))))))))))))))))))))))))))))))))))))))))))</f>
        <v>B6</v>
      </c>
      <c r="Q15" s="123" t="str">
        <f>IF($Q$5=18,L15,IF($Q$5=22,L15,IF($Q$5=23,L15,IF(Q$5=24,L15,IF($Q$5=26,L15,IF($Q$5=27,L15,IF($Q$5=28,L15,IF($Q$5=29,L15,IF($Q$5=30,L15,IF($Q$5=31,L15,IF($Q$5=32,L15,IF($Q$5=33,L15,IF($Q$5=34,L15,IF($Q$5=35,L15,IF($Q$5=36,L15,IF($Q$5=37,L15,IF($Q$5=38,L15,IF($Q$5=39,L15,IF($Q$5=40,L15,IF($Q$5=41,L15,IF($Q$5=42,L15,IF($Q$5=43,L15,IF($Q$5=44,L15,IF($Q$5=45,L15,IF($Q$5=46,L15,IF($Q$5=47,L15,IF($Q$5=48,L15,IF($Q$5=49,L15,IF($Q$5=50,L15,IF($Q$5=51,L15,IF($Q$5=52,L15,IF($Q$5=53,L15,IF($Q$5=54,L15,0)))))))))))))))))))))))))))))))))</f>
        <v>C6</v>
      </c>
      <c r="R15" s="139" t="str">
        <f>IF($Q$5=13,K10,IF($Q$5=14,O15,IF($Q$5=15,O15,IF($Q$5=16,J10,IF($Q$5=17,J15,IF($Q$5=18,J15,IF($Q$5=19,J15,IF($Q$5=20,J15,IF($Q$5=21,J15,IF($Q$5=22,J16,IF($Q$5=23,J16,IF($Q$5=24,J16,IF($Q$5=25,J16,IF($Q$5=26,J16,IF($Q$5=27,J16,IF($Q$5=28,J16,IF($Q$5=29,O16,IF($Q$5=30,J16,IF($Q$5=31,J16,IF($Q$5=32,J16,IF($Q$5=33,J16,IF($Q$5=34,J16,IF($Q$5=35,J16,IF($Q$5=36,J16,IF($Q$5=37,J16,IF($Q$5=38,J16,IF($Q$5=39,J16,IF($Q$5=40,J16,IF($Q$5=41,J16,IF($Q$5=42,J16,IF($Q$5=43,J16,IF($Q$5=44,J16,IF($Q$5=45,J16,IF($Q$5=46,J16,IF($Q$5=47,J16,IF($Q$5=48,J16,IF($Q$5=49,J16,IF($Q$5=50,J16,IF($Q$5=51,J16,IF($Q$5=52,J16,IF($Q$5=53,J16,IF($Q$5=54,J16,0))))))))))))))))))))))))))))))))))))))))))</f>
        <v>A7</v>
      </c>
      <c r="S15" s="134" t="str">
        <f>IF($Q$5=13,O15,IF($Q$5=14,P14,IF($Q$5=15,L11,IF($Q$5=16,L12,IF(Q$5=17,P10,IF($Q$5=18,K10,IF($Q$5=19,L11,IF($Q$5=20,K13,IF($Q$5=21,L10,IF($Q$5=22,K16,IF($Q$5=23,D10,IF($Q$5=24,K13,IF($Q$5=25,K15,IF($Q$5=26,K13,IF($Q$5=27,K16,IF($Q$5=28,K16,IF($Q$5=29,K16,IF($Q$5=30,K16,IF($Q$5=31,K15,IF($Q$5=32,K18,IF($Q$5=33,K18,IF($Q$5=34,K18,IF($Q$5=35,K18,IF($Q$5=36,K17,IF($Q$5=37,K17,IF($Q$5=38,K17,IF($Q$5=39,K17,IF($Q$5=40,K17,IF($Q$5=41,K17,IF($Q$5=42,K17,IF($Q$5=43,K17,IF($Q$5=44,K17,IF($Q$5=45,K17,IF($Q$5=46,K17,IF($Q$5=47,K17,IF($Q$5=48,K17,IF($Q$5=49,K17,IF($Q$5=50,K17,IF($Q$5=51,K17,IF($Q$5=52,K17,IF($Q$5=53,K17,IF($Q$5=54,K17,0))))))))))))))))))))))))))))))))))))))))))</f>
        <v>B7</v>
      </c>
      <c r="T15" s="155" t="str">
        <f>IF($Q$5=17,0,IF($Q$5=18,L10,IF($Q$5=21,0,IF($Q$5=22,L10,IF($Q$5=23,L14,IF($Q$5=24,L16,IF($Q$5=25,0,IF($Q$5=26,P18,IF($Q$5=27,L16,IF($Q$5=28,L16,IF($Q$5=29,L16,IF($Q$5=30,L16,IF($Q$5=31,L10,IF($Q$5=32,L15,IF($Q$5=33,L15,IF($Q$5=34,L15,IF($Q$5=35,L15,IF($Q$5=36,L18,IF($Q$5=37,L18,IF($Q$5=38,L18,IF($Q$5=39,L18,IF($Q$5=40,L18,IF($Q$5=41,L18,IF($Q$5=42,L18,IF($Q$5=43,L18,IF($Q$5=44,L18,IF($Q$5=45,L18,IF($Q$5=46,L18,IF($Q$5=47,L18,IF($Q$5=48,L18,IF($Q$5=49,L18,IF($Q$5=50,L18,IF($Q$5=51,L18,IF($Q$5=52,L18,IF($Q$5=53,L18,IF($Q$5=54,L18,0))))))))))))))))))))))))))))))))))))</f>
        <v>C7</v>
      </c>
      <c r="U15" s="157" t="str">
        <f>IF($Q$5=13,O15,IF($Q$5=14,R15,IF($Q$5=15,R15,IF($Q$5=16,R10,IF($Q$5=17,R15,IF($Q$5=18,R15,IF($Q$5=19,R15,IF($Q$5=20,R15,IF($Q$5=21,R15,IF($Q$5=22,R15,IF($Q$5=23,R15,IF($Q$5=24,O16,IF($Q$5=25,R15,IF($Q$5=26,R15,IF($Q$5=27,O16,IF($Q$5=28,O16,IF($Q$5=29,O16,IF($Q$5=30,O16,IF($Q$5=31,R15,IF($Q$5=32,O17,IF($Q$5=33,O17,IF($Q$5=34,R16,IF($Q$5=35,R16,IF($Q$5=36,O17,IF($Q$5=37,O17,IF($Q$5=38,O17,IF($Q$5=39,O17,IF($Q$5=40,O17,IF($Q$5=41,O17,IF($Q$5=42,O17,IF($Q$5=43,O17,IF($Q$5=44,O17,IF($Q$5=45,O17,IF($Q$5=46,O17,IF($Q$5=47,O17,IF($Q$5=48,O17,IF($Q$5=49,R16,IF($Q$5=50,O17,IF($Q$5=51,O17,IF($Q$5=52,O17,IF($Q$5=53,O17,IF($Q$5=54,O17,0))))))))))))))))))))))))))))))))))))))))))</f>
        <v>A7</v>
      </c>
      <c r="V15" s="137" t="str">
        <f>IF($Q$5=13,S12,IF($Q$5=14,L13,IF($Q$5=15,T10,IF($Q$5=16,T12,IF($Q$5=17,S12,IF($Q$5=18,S10,IF($Q$5=19,T11,IF($Q$5=20,S12,IF($Q$5=21,S12,IF($Q$5=22,S16,IF($Q$5=23,S16,IF($Q$5=24,S16,IF($Q$5=25,S18,IF($Q$5=26,S16,IF($Q$5=27,S16,IF($Q$5=28,S16,IF($Q$5=29,S14,IF($Q$5=30,S16,IF($Q$5=31,S16,IF($Q$5=32,S21,IF($Q$5=33,S19,IF($Q$5=34,S19,IF($Q$5=35,S19,IF($Q$5=36,S17,IF($Q$5=37,S17,IF($Q$5=38,S17,IF($Q$5=39,S17,IF($Q$5=40,S17,IF($Q$5=41,S17,IF($Q$5=42,S17,IF($Q$5=43,S17,IF($Q$5=44,S17,IF($Q$5=45,S17,IF($Q$5=46,S17,IF($Q$5=47,S17,IF($Q$5=48,S17,IF($Q$5=49,S17,IF($Q$5=50,S17,IF($Q$5=51,S17,IF($Q$5=52,S17,IF($Q$5=53,S17,IF($Q$5=54,S17,0))))))))))))))))))))))))))))))))))))))))))</f>
        <v>B8</v>
      </c>
      <c r="W15" s="146" t="str">
        <f>IF($Q$5=18,T10,IF($Q$5=22,S17,IF($Q$5=23,T16,IF($Q$5=24,T17,IF($Q$5=25,0,IF($Q$5=26,T11,IF($Q$5=27,S17,IF($Q$5=28,T17,IF($Q$5=29,T17,IF($Q$5=30,T17,IF($Q$5=31,S20,IF($Q$5=32,T13,IF($Q$5=33,T13,IF($Q$5=34,T13,IF($Q$5=35,T13,IF($Q$5=36,T18,IF($Q$5=37,T18,IF($Q$5=38,T18,IF($Q$5=39,S23,IF($Q$5=40,T18,IF($Q$5=41,T18,IF($Q$5=42,T18,IF($Q$5=43,T18,IF($Q$5=44,T18,IF($Q$5=45,T18,IF($Q$5=46,T18,IF($Q$5=47,T18,IF($Q$5=48,T18,IF($Q$5=49,T18,IF($Q$5=50,T18,IF($Q$5=51,T18,IF($Q$5=52,T18,IF($Q$5=53,T18,IF($Q$5=54,T18,0))))))))))))))))))))))))))))))))))</f>
        <v>C9</v>
      </c>
      <c r="X15" s="18"/>
      <c r="Y15" s="383"/>
      <c r="Z15" s="11" t="str">
        <f>+O11</f>
        <v>A2</v>
      </c>
      <c r="AA15" s="26">
        <v>10</v>
      </c>
      <c r="AB15" s="23">
        <f>IF(AA11+AA15=0,0,IF(AA11=AA15,2,IF(AA11&lt;AA15,3,1)))</f>
        <v>3</v>
      </c>
      <c r="AC15" s="12">
        <f>AA15-AA11</f>
        <v>2</v>
      </c>
      <c r="AD15" s="19"/>
      <c r="AE15" s="11" t="str">
        <f>+R11</f>
        <v>A3</v>
      </c>
      <c r="AF15" s="108">
        <v>9</v>
      </c>
      <c r="AG15" s="23">
        <f>IF(AF11+AF15=0,0,IF(AF11=AF15,2,IF(AF11&lt;AF15,3,1)))</f>
        <v>3</v>
      </c>
      <c r="AH15" s="12">
        <f>AF15-AF11</f>
        <v>4</v>
      </c>
      <c r="AI15" s="19"/>
      <c r="AJ15" s="11" t="str">
        <f>+U11</f>
        <v>A4</v>
      </c>
      <c r="AK15" s="29">
        <v>2</v>
      </c>
      <c r="AL15" s="23">
        <f>IF(AK11+AK15=0,0,IF(AK11=AK15,2,IF(AK11&lt;AK15,3,1)))</f>
        <v>1</v>
      </c>
      <c r="AM15" s="12">
        <f>AK15-AK11</f>
        <v>-11</v>
      </c>
      <c r="AN15" s="18"/>
      <c r="AO15" s="44">
        <v>7</v>
      </c>
      <c r="AP15" s="278" t="str">
        <f>+Inscrits!B9</f>
        <v>A7</v>
      </c>
      <c r="AQ15" s="247" t="str">
        <f t="shared" si="3"/>
        <v>0</v>
      </c>
      <c r="AR15" s="82" t="str">
        <f t="shared" si="4"/>
        <v>0</v>
      </c>
      <c r="AS15" s="184" t="str">
        <f t="shared" si="5"/>
        <v>0</v>
      </c>
      <c r="AT15" s="250">
        <f t="shared" si="6"/>
        <v>3</v>
      </c>
      <c r="AU15" s="82">
        <f t="shared" si="7"/>
        <v>1</v>
      </c>
      <c r="AV15" s="252">
        <f t="shared" si="8"/>
        <v>8</v>
      </c>
      <c r="AW15" s="247">
        <f t="shared" si="9"/>
        <v>3</v>
      </c>
      <c r="AX15" s="82">
        <f t="shared" si="10"/>
        <v>3</v>
      </c>
      <c r="AY15" s="252">
        <f t="shared" si="11"/>
        <v>9</v>
      </c>
      <c r="AZ15" s="247">
        <f t="shared" si="17"/>
        <v>6</v>
      </c>
      <c r="BA15" s="82">
        <f t="shared" si="12"/>
        <v>4</v>
      </c>
      <c r="BB15" s="252">
        <f t="shared" si="13"/>
        <v>17</v>
      </c>
      <c r="BC15" s="255">
        <f t="shared" si="14"/>
        <v>0</v>
      </c>
      <c r="BD15" s="7">
        <f t="shared" si="15"/>
        <v>4</v>
      </c>
      <c r="BE15" s="183">
        <f t="shared" si="16"/>
        <v>6.9583001500000004</v>
      </c>
      <c r="BF15" s="82">
        <f>IF(AP15="","",SMALL(BE$9:BE$62,ROWS(AZ$9:AZ15)))</f>
        <v>6.9583001500000004</v>
      </c>
      <c r="BG15"/>
      <c r="BH15" s="78" t="str">
        <f>IF(OR(AP15="",AZ15=""),"",INDEX($AP$9:$AP$63,MATCH(BF15,$BE$9:BE$62,0)))</f>
        <v>A7</v>
      </c>
      <c r="BI15" s="255">
        <f t="shared" si="0"/>
        <v>6</v>
      </c>
      <c r="BJ15" s="7">
        <f t="shared" si="1"/>
        <v>4</v>
      </c>
      <c r="BK15" s="7">
        <f t="shared" si="2"/>
        <v>17</v>
      </c>
      <c r="BL15" s="17">
        <f>IF(BF15="","",IF(AND(BI14=BI15,BJ14=BJ15,BK14=BK15),BL14,$BL$9+6))</f>
        <v>7</v>
      </c>
      <c r="BM15" s="22"/>
      <c r="BN15" s="3"/>
    </row>
    <row r="16" spans="1:66" ht="21.6" thickBot="1" x14ac:dyDescent="0.35">
      <c r="A16" s="111">
        <v>7</v>
      </c>
      <c r="B16" s="330" t="s">
        <v>72</v>
      </c>
      <c r="C16" s="235">
        <f>IF($Q$5&gt;=19,7,0)</f>
        <v>7</v>
      </c>
      <c r="D16" s="332" t="s">
        <v>90</v>
      </c>
      <c r="E16" s="235">
        <f>IF($Q$5&gt;=20,7,0)</f>
        <v>7</v>
      </c>
      <c r="F16" s="333" t="s">
        <v>108</v>
      </c>
      <c r="G16" s="235">
        <f>IF($Q$5&gt;=21,7,0)</f>
        <v>7</v>
      </c>
      <c r="H16" s="18"/>
      <c r="I16" s="165">
        <v>7</v>
      </c>
      <c r="J16" s="172" t="str">
        <f>IF(ISNA(MATCH(I16,$C$10:$C$27,0)),"",INDEX(B$10:$B$27,MATCH(I16,$C$10:$C$27,0)))</f>
        <v>A7</v>
      </c>
      <c r="K16" s="117" t="str">
        <f>IF(ISNA(MATCH(I16,$E$10:$E$27,0)),"",INDEX($D$10:D$27,MATCH(I16,$E$10:$E$27,0)))</f>
        <v>B7</v>
      </c>
      <c r="L16" s="160" t="str">
        <f>IF(ISNA(MATCH(I16,$G$10:$G$27,0)),"",INDEX($F$10:F$27,MATCH(I16,$G$10:$G$27,0)))</f>
        <v>C7</v>
      </c>
      <c r="M16" s="130"/>
      <c r="N16" s="67">
        <v>4</v>
      </c>
      <c r="O16" s="118" t="str">
        <f>IF($Q$5=19,J16,IF($Q$5=20,J16,IF($Q$5=21,J16,IF($Q$5=22,J16,IF($Q$5=23,J16,IF(Q$5=24,J16,IF($Q$5=25,J16,IF($Q$5=26,J16,IF(Q$5=27,J16,IF($Q$5=28,J16,IF($Q$5=29,J16,IF($Q$5=30,J16,IF($Q$5=31,J16,IF($Q$5=32,J16,IF($Q$5=33,J16,IF($Q$5=34,J16,IF($Q$5=35,J16,IF($Q$5=36,J16,IF($Q$5=37,J16,IF($Q$5=38,J16,IF($Q$5=39,J16,IF($Q$5=40,J16,IF($Q$5=41,J16,IF($Q$5=42,J16,IF($Q$5=43,J16,IF($Q$5=44,J16,IF($Q$5=45,J16,IF($Q$5=46,J16,IF($Q$5=47,J16,IF($Q$5=48,J16,IF($Q$5=49,J16,IF($Q$5=50,J16,IF($Q$5=51,J16,IF($Q$5=52,J16,IF($Q$5=53,J16,IF($Q$5=54,J16,0))))))))))))))))))))))))))))))))))))</f>
        <v>A7</v>
      </c>
      <c r="P16" s="119" t="str">
        <f>IF($Q$5=19,L15,IF($Q$5=20,L14,IF($Q$5=21,L15,IF($Q$5=22,K16,IF($Q$5=23,K16,IF($Q$5=24,K16,IF($Q$5=25,K16,IF($Q$5=26,K16,IF($Q$5=27,K16,IF($Q$5=28,K16,IF($Q$5=29,K16,IF($Q$5=30,K16,IF($Q$5=31,K16,IF($Q$5=32,K16,IF($Q$5=33,K16,IF($Q$5=34,K16,IF($Q$5=35,K16,IF($Q$5=36,K16,IF($Q$5=37,K16,IF($Q$5=38,K16,IF($Q$5=39,K16,IF($Q$5=40,K16,IF($Q$5=41,K16,IF($Q$5=42,K16,IF($Q$5=43,K16,IF($Q$5=44,K16,IF($Q$5=45,K16,IF($Q$5=46,K16,IF($Q$5=47,K16,IF($Q$5=48,K16,IF($Q$5=49,K16,IF($Q$5=50,K16,IF($Q$5=51,K16,IF($Q$5=52,I16,IF($Q$5=53,K16,IF($Q$5=54,K16,0))))))))))))))))))))))))))))))))))))</f>
        <v>B7</v>
      </c>
      <c r="Q16" s="120" t="str">
        <f>IF($Q$5=23,L16,IF($Q$5=24,L16,IF($Q$5=27,L16,IF($Q$5=28,L16,IF($Q$5=29,L16,IF($Q$5=30,L16,IF($Q$5=31,L16,IF($Q$5=32,L16,IF($Q$5=33,L16,IF($Q$5=34,L16,IF($Q$5=35,L16,IF($Q$5=36,L16,IF($Q$5=37,L16,IF($Q$5=38,L16,IF($Q$5=39,L16,IF($Q$5=40,L16,IF($Q$5=41,L16,IF($Q$5=42,L16,IF($Q$5=43,L16,IF($Q$5=44,L16,IF($Q$5=45,L16,IF($Q$5=46,L16,IF($Q$5=47,L16,IF($Q$5=48,L16,IF($Q$5=49,L16,IF($Q$5=50,L16,IF($Q$5=51,L16,IF($Q$5=52,L16,IF($Q$5=53,L16,IF($Q$5=54,L16,0))))))))))))))))))))))))))))))</f>
        <v>C7</v>
      </c>
      <c r="R16" s="140" t="str">
        <f>IF($Q$5=19,J16,IF($Q$5=20,J16,IF($Q$5=21,J16,IF($Q$5=22,J17,IF($Q$5=23,J17,IF($Q$5=24,J17,IF($Q$5=25,J17,IF($Q$5=26,J17,IF($Q$5=27,J17,IF($Q$5=28,J17,IF($Q$5=29,J17,IF($Q$5=30,J17,IF($Q$5=31,J17,IF($Q$5=32,J17,IF($Q$5=33,J17,IF($Q$5=34,J17,IF($Q$5=35,J17,IF($Q$5=36,J17,IF($Q$5=37,J17,IF($Q$5=38,J17,IF($Q$5=39,J17,IF($Q$5=40,J17,IF($Q$5=41,J17,IF($Q$5=42,J17,IF($Q$5=43,J17,IF($Q$5=44,J17,IF($Q$5=45,J17,IF($Q$5=46,J17,IF($Q$5=47,J17,IF($Q$5=48,J17,IF($Q$5=49,J17,IF($Q$5=50,J17,IF($Q$5=51,J17,IF($Q$5=52,J17,IF($Q$5=53,J17,IF($Q$5=54,J17,0))))))))))))))))))))))))))))))))))))</f>
        <v>A8</v>
      </c>
      <c r="S16" s="132" t="str">
        <f>IF($Q$5=19,P16,IF($Q$5=20,L10,IF($Q$5=21,L11,IF($Q$5=22,K10,IF($Q$5=23,D11,IF($Q$5=24,K15,IF($Q$5=25,K10,IF($Q$5=26,K15,IF($Q$5=27,K17,IF(Q$5=28,K15,IF($Q$5=29,K17,IF($Q$5=30,K17,IF($Q$5=31,P18,IF($Q$5=32,K15,IF($Q$5=33,K15,IF($Q$5=34,K15,IF($Q$5=35,K15,IF($Q$5=36,K18,IF($Q$5=37,K18,IF($Q$5=38,K18,IF($Q$5=39,K18,IF($Q$5=40,K18,IF($Q$5=41,K18,IF($Q$5=42,K18,IF($Q$5=43,K18,IF($Q$5=44,K18,IF($Q$5=45,K18,IF($Q$5=46,K18,IF($Q$5=47,K18,IF($Q$5=48,K18,IF($Q$5=49,K18,IF($Q$5=50,K18,IF($Q$5=51,K18,IF($Q$5=52,K18,IF($Q$5=53,K18,IF($Q$5=54,K18,0))))))))))))))))))))))))))))))))))))</f>
        <v>B8</v>
      </c>
      <c r="T16" s="151" t="str">
        <f>IF($Q$5=22,0,IF($Q$5=23,L10,IF($Q$5=24,L10,IF($Q$5=26,0,IF($Q$5=27,P18,IF($Q$5=28,L17,IF($Q$5=29,L17,IF($Q$5=30,L17,IF($Q$5=31,L15,IF($Q$5=32,L10,IF($Q$5=33,L10,IF($Q$5=34,L10,IF($Q$5=35,L10,IF($Q$5=36,L19,IF($Q$5=37,P23,IF($Q$5=38,L19,IF($Q$5=39,L19,IF($Q$5=40,L19,IF($Q$5=41,L19,IF($Q$5=42,L19,IF($Q$5=43,L19,IF($Q$5=44,L19,IF($Q$5=45,L19,IF($Q$5=46,L19,IF($Q$5=47,L19,IF($Q$5=48,L19,IF($Q$5=49,L19,IF($Q$5=50,L19,IF($Q$5=51,L19,IF($Q$5=52,L19,IF($Q$5=53,L19,IF($Q$5=54,L19,0))))))))))))))))))))))))))))))))</f>
        <v>C8</v>
      </c>
      <c r="U16" s="140" t="str">
        <f>IF($Q$5=19,R16,IF($Q$5=20,R16,IF($Q$5=21,R16,IF($Q$5=22,R14,IF($Q$5=23,R16,IF($Q$5=24,R14,IF($Q$5=25,R14,IF($Q$5=26,R14,IF($Q$5=27,R14,IF($Q$5=28,R14,IF($Q$5=29,O15,IF($Q$5=30,O15,IF($Q$5=31,R16,IF($Q$5=32,R15,IF($Q$5=33,O16,IF($Q$5=34,O16,IF($Q$5=35,R15,IF($Q$5=36,O18,IF($Q$5=37,O18,IF($Q$5=38,O18,IF($Q$5=39,R17,IF($Q$5=40,O18,IF($Q$5=41,O18,IF($Q$5=42,O18,IF($Q$5=43,O18,IF($Q$5=44,O18,IF($Q$5=45,O18,IF($Q$5=46,O18,IF($Q$5=47,O18,IF($Q$5=48,O18,IF($Q$5=49,R17,IF($Q$5=50,O18,IF($Q$5=51,O18,IF($Q$5=52,O18,IF($Q$5=53,O18,IF($Q$5=54,O18,0))))))))))))))))))))))))))))))))))))</f>
        <v>A6</v>
      </c>
      <c r="V16" s="138" t="str">
        <f>IF($Q$5=19,S15,IF($Q$5=20,S17,IF($Q$5=21,S15,IF($Q$5=22,S12,IF($Q$5=23,S15,IF($Q$5=24,S12,IF($Q$5=25,S16,IF($Q$5=26,S19,IF($Q$5=27,T11,IF($Q$5=28,S19,IF($Q$5=29,S19,IF($Q$5=30,S19,IF($Q$5=31,R21,IF($Q$5=32,S20,IF($Q$5=33,S18,IF($Q$5=34,S18,IF($Q$5=35,S18,IF($Q$5=36,S18,IF($Q$5=37,S18,IF($Q$5=38,S18,IF($Q$5=39,S18,IF($Q$5=40,S18,IF($Q$5=41,S18,IF($Q$5=42,S18,IF($Q$5=43,S18,IF($Q$5=44,S18,IF($Q$5=45,S18,IF($Q$5=46,S18,IF($Q$5=47,S18,IF($Q$5=48,S18,IF($Q$5=49,S18,IF($Q$5=50,S18,IF($Q$5=51,S18,IF($Q$5=52,S18,IF($Q$5=53,S18,IF($Q$5=54,S18,0))))))))))))))))))))))))))))))))))))</f>
        <v>B9</v>
      </c>
      <c r="W16" s="145" t="str">
        <f>IF($Q$5=23,T10,IF($Q$5=24,T11,IF($Q$5=27,S18,IF($Q$5=28,T11,IF($Q$5=29,T12,IF($Q$5=30,T11,IF($Q$5=31,S18,IF($Q$5=32,T16,IF($Q$5=33,T16,IF($Q$5=34,T16,IF($Q$5=35,T19,IF($Q$5=36,T19,IF($Q$5=37,S21,IF($Q$5=38,T19,IF($Q$5=39,S22,IF($Q$5=40,T19,IF($Q$5=41,T19,IF($Q$5=42,T19,IF($Q$5=43,T19,IF($Q$5=44,T19,IF($Q$5=45,T19,IF($Q$5=46,T19,IF($Q$5=47,T19,IF($Q$5=48,T19,IF($Q$5=49,T19,IF($Q$5=50,T19,IF($Q$5=51,T19,IF($Q$5=52,T19,IF($Q$5=53,T19,IF($Q$5=54,T19,0))))))))))))))))))))))))))))))</f>
        <v>C1</v>
      </c>
      <c r="X16" s="18"/>
      <c r="Y16" s="383"/>
      <c r="Z16" s="11" t="str">
        <f>+P11</f>
        <v>B2</v>
      </c>
      <c r="AA16" s="57">
        <f>IF(ISTEXT(Z16),AA15,0)</f>
        <v>10</v>
      </c>
      <c r="AB16" s="14">
        <f>IF(ISTEXT(Z16),AB15,0)</f>
        <v>3</v>
      </c>
      <c r="AC16" s="15">
        <f>IF(ISTEXT(Z16),AC15,0)</f>
        <v>2</v>
      </c>
      <c r="AD16" s="6"/>
      <c r="AE16" s="11" t="str">
        <f>+S11</f>
        <v>B5</v>
      </c>
      <c r="AF16" s="14">
        <f>IF(ISTEXT(AE16),AF15,0)</f>
        <v>9</v>
      </c>
      <c r="AG16" s="14">
        <f>IF(ISTEXT(AE16),AG15,0)</f>
        <v>3</v>
      </c>
      <c r="AH16" s="15">
        <f>IF(ISTEXT(AE16),AH15,0)</f>
        <v>4</v>
      </c>
      <c r="AI16" s="6"/>
      <c r="AJ16" s="11" t="str">
        <f>+V11</f>
        <v>B5</v>
      </c>
      <c r="AK16" s="14">
        <f>IF(ISTEXT(AJ16),AK15,0)</f>
        <v>2</v>
      </c>
      <c r="AL16" s="14">
        <f>IF(ISTEXT(AJ16),AL15,0)</f>
        <v>1</v>
      </c>
      <c r="AM16" s="15">
        <f>IF(ISTEXT(AJ16),AM15,0)</f>
        <v>-11</v>
      </c>
      <c r="AN16" s="18"/>
      <c r="AO16" s="44">
        <v>8</v>
      </c>
      <c r="AP16" s="278" t="str">
        <f>+Inscrits!B10</f>
        <v>A8</v>
      </c>
      <c r="AQ16" s="247" t="str">
        <f t="shared" si="3"/>
        <v>0</v>
      </c>
      <c r="AR16" s="82" t="str">
        <f t="shared" si="4"/>
        <v>0</v>
      </c>
      <c r="AS16" s="184" t="str">
        <f t="shared" si="5"/>
        <v>0</v>
      </c>
      <c r="AT16" s="250" t="str">
        <f t="shared" si="6"/>
        <v>0</v>
      </c>
      <c r="AU16" s="82" t="str">
        <f t="shared" si="7"/>
        <v>0</v>
      </c>
      <c r="AV16" s="252" t="str">
        <f t="shared" si="8"/>
        <v>0</v>
      </c>
      <c r="AW16" s="247" t="str">
        <f t="shared" si="9"/>
        <v>0</v>
      </c>
      <c r="AX16" s="82" t="str">
        <f t="shared" si="10"/>
        <v>0</v>
      </c>
      <c r="AY16" s="252" t="str">
        <f t="shared" si="11"/>
        <v>0</v>
      </c>
      <c r="AZ16" s="247">
        <f t="shared" si="17"/>
        <v>0</v>
      </c>
      <c r="BA16" s="82">
        <f t="shared" si="12"/>
        <v>0</v>
      </c>
      <c r="BB16" s="252">
        <f t="shared" si="13"/>
        <v>0</v>
      </c>
      <c r="BC16" s="255">
        <f t="shared" si="14"/>
        <v>0</v>
      </c>
      <c r="BD16" s="7">
        <f t="shared" si="15"/>
        <v>0</v>
      </c>
      <c r="BE16" s="183">
        <f t="shared" si="16"/>
        <v>25.000000159999999</v>
      </c>
      <c r="BF16" s="82">
        <f>IF(AP16="","",SMALL(BE$9:BE$62,ROWS(AZ$9:AZ16)))</f>
        <v>6.9584002800000002</v>
      </c>
      <c r="BG16"/>
      <c r="BH16" s="78" t="str">
        <f>IF(OR(AP16="",AZ16=""),"",INDEX($AP$9:$AP$63,MATCH(BF16,$BE$9:BE$62,0)))</f>
        <v>B2</v>
      </c>
      <c r="BI16" s="255">
        <f t="shared" si="0"/>
        <v>6</v>
      </c>
      <c r="BJ16" s="7">
        <f t="shared" si="1"/>
        <v>4</v>
      </c>
      <c r="BK16" s="7">
        <f t="shared" si="2"/>
        <v>16</v>
      </c>
      <c r="BL16" s="17">
        <f>IF(BF16="","",IF(AND(BI15=BI16,BJ15=BJ16,BK15=BK16),BL15,$BL$9+7))</f>
        <v>8</v>
      </c>
      <c r="BM16" s="22"/>
      <c r="BN16" s="3"/>
    </row>
    <row r="17" spans="1:66" ht="21.6" thickBot="1" x14ac:dyDescent="0.35">
      <c r="A17" s="111">
        <v>8</v>
      </c>
      <c r="B17" s="330" t="s">
        <v>73</v>
      </c>
      <c r="C17" s="235">
        <f>IF($Q$5&gt;=22,8,0)</f>
        <v>8</v>
      </c>
      <c r="D17" s="332" t="s">
        <v>91</v>
      </c>
      <c r="E17" s="235">
        <f>IF($Q$5&gt;=23,8,0)</f>
        <v>8</v>
      </c>
      <c r="F17" s="333" t="s">
        <v>109</v>
      </c>
      <c r="G17" s="235">
        <f>IF($Q$5&gt;=24,8,0)</f>
        <v>8</v>
      </c>
      <c r="H17" s="18"/>
      <c r="I17" s="165">
        <v>8</v>
      </c>
      <c r="J17" s="172" t="str">
        <f>IF(ISNA(MATCH(I17,$C$10:$C$27,0)),"",INDEX(B$10:$B$27,MATCH(I17,$C$10:$C$27,0)))</f>
        <v>A8</v>
      </c>
      <c r="K17" s="117" t="str">
        <f>IF(ISNA(MATCH(I17,$E$10:$E$27,0)),"",INDEX($D$10:D$27,MATCH(I17,$E$10:$E$27,0)))</f>
        <v>B8</v>
      </c>
      <c r="L17" s="160" t="str">
        <f>IF(ISNA(MATCH(I17,$G$10:$G$27,0)),"",INDEX($F$10:F$27,MATCH(I17,$G$10:$G$27,0)))</f>
        <v>C8</v>
      </c>
      <c r="M17" s="130"/>
      <c r="N17" s="42" t="s">
        <v>5</v>
      </c>
      <c r="O17" s="125" t="str">
        <f>IF($Q$5=19,K15,IF($Q$5=20,K16,IF($Q$5=21,K16,IF($Q$5=22,J17,IF($Q$5=23,J17,IF(Q$5=24,J17,IF($Q$5=25,J17,IF($Q$5=26,J17,IF($Q$5=27,J17,IF($Q$5=28,J17,IF($Q$5=29,J17,IF($Q$5=30,J17,IF($Q$5=31,J17,IF($Q$5=32,J17,IF($Q$5=33,J17,IF($Q$5=34,J17,IF($Q$5=35,J17,IF($Q$5=36,J17,IF($Q$5=37,J17,IF($Q$5=38,J17,IF($Q$5=39,J17,IF($Q$5=40,J17,IF($Q$5=41,J17,IF($Q$5=42,J17,IF($Q$5=43,J17,IF($Q$5=44,J17,IF($Q$5=45,J17,IF($Q$5=46,J17,IF($Q$5=47,J17,IF($Q$5=48,J17,IF($Q$5=49,J17,IF($Q$5=50,J17,IF($Q$5=51,J17,IF($Q$5=52,J17,IF($Q$5=53,J17,IF($Q$5=54,J17,0))))))))))))))))))))))))))))))))))))</f>
        <v>A8</v>
      </c>
      <c r="P17" s="126" t="str">
        <f>IF($Q$5=19,L14,IF($Q$5=20,L15,IF($Q$5=21,L16,IF(Q$5=22,L16,IF($Q$5=23,K17,IF($Q$5=24,K17,IF($Q$5=25,L15,IF($Q$5=26,K17,IF($Q$5=27,K17,IF($Q$5=28,K17,IF($Q$5=29,K17,IF($Q$5=30,K17,IF($Q$5=31,K17,IF($Q$5=32,K17,IF($Q$5=33,K17,IF($Q$5=34,K17,IF($Q$5=35,K17,IF($Q$5=36,K17,IF($Q$5=37,K17,IF($Q$5=38,K17,IF($Q$5=39,K17,IF($Q$5=40,K17,IF($Q$5=41,K17,IF($Q$5=42,K17,IF($Q$5=43,K17,IF($Q$5=44,K17,IF($Q$5=45,K17,IF($Q$5=46,K17,IF($Q$5=47,K17,IF($Q$5=48,K17,IF($Q$5=49,K17,IF($Q$5=50,K17,IF($Q$5=51,K17,IF($Q$5=52,K17,IF($Q$5=53,K17,IF($Q$5=54,K17,0))))))))))))))))))))))))))))))))))))</f>
        <v>B8</v>
      </c>
      <c r="Q17" s="123" t="str">
        <f>IF($Q$5=24,L17,IF($Q$5=28,L17,IF($Q$5=29,L17,IF($Q$5=30,L17,IF($Q$5=31,0,IF($Q$5=32,L17,IF($Q$5=33,L17,IF($Q$5=34,L17,IF($Q$5=35,L17,IF($Q$5=36,L17,IF($Q$5=37,L17,IF($Q$5=38,L17,IF($Q$5=39,L17,IF(Q$5=40,L17,IF($Q$5=41,L17,IF($Q$5=42,L17,IF($Q$5=43,L17,IF($Q$5=44,L17,IF($Q$5=45,L17,IF($Q$5=46,L17,IF($Q$5=47,L17,IF($Q$5=48,L17,IF($Q$5=49,L17,IF($Q$5=50,L17,IF($Q$5=51,L17,IF($Q$5=52,L17,IF($Q$5=53,L17,IF($Q$5=54,L17,0))))))))))))))))))))))))))))</f>
        <v>C8</v>
      </c>
      <c r="R17" s="136" t="str">
        <f>IF($Q$5=19,K15,IF($Q$5=20,O17,IF($Q$5=21,O17,IF($Q$5=22,J10,IF($Q$5=23,J10,IF($Q$5=24,J10,IF($Q$5=25,J18,IF($Q$5=26,J18,IF($Q$5=27,J18,IF($Q$5=28,J18,IF($Q$5=29,J18,IF($Q$5=30,J18,IF($Q$5=31,J18,IF($Q$5=32,J18,IF($Q$5=33,J18,IF($Q$5=34,J18,IF($Q$5=35,J18,IF($Q$5=36,J18,IF($Q$5=37,J18,IF($Q$5=38,J18,IF($Q$5=39,J18,IF($Q$5=40,J18,IF($Q$5=41,J18,IF($Q$5=42,J18,IF($Q$5=43,J18,IF($Q$5=44,J18,IF($Q$5=45,J18,IF($Q$5=46,J18,IF($Q$5=47,J18,IF($Q$5=48,J18,IF($Q$5=49,J18,IF($Q$5=50,J18,IF($Q$5=51,J18,IF($Q$5=52,J18,IF($Q$5=53,J18,IF($Q$5=54,J18,0))))))))))))))))))))))))))))))))))))</f>
        <v>A9</v>
      </c>
      <c r="S17" s="137" t="str">
        <f>IF($Q$5=19,L12,IF($Q$5=20,K15,IF($Q$5=21,L12,IF($Q$5=22,L11,IF($Q$5=23,K12,IF($Q$5=24,K11,IF($Q$5=25,L10,IF($Q$5=26,L10,IF($Q$5=27,L10,IF($Q$5=28,K10,IF($Q$5=29,K19,IF($Q$5=30,K19,IF(Q$5=31,P16,IF($Q$5=32,K16,IF($Q$5=33,K16,IF($Q$5=34,K16,IF($Q$5=35,K16,IF($Q$5=36,K19,IF($Q$5=37,K19,IF($Q$5=38,K19,IF($Q$5=39,K19,IF($Q$5=40,K19,IF($Q$5=41,K19,IF($Q$5=42,K19,IF($Q$5=43,K19,IF($Q$5=44,K19,IF($Q$5=45,K19,IF($Q$5=46,K19,IF($Q$5=47,K19,IF($Q$5=48,K19,IF($Q$5=49,K19,IF($Q$5=50,K19,IF($Q$5=51,K19,IF($Q$5=52,K19,IF($Q$5=53,K19,IF($Q$5=54,K19,0))))))))))))))))))))))))))))))))))))</f>
        <v>B10</v>
      </c>
      <c r="T17" s="153" t="str">
        <f>IF($Q$5=24,L17,IF($Q$5=27,0,IF($Q$5=28,P19,IF($Q$6=29,L18,IF($Q$5=29,L18,IF($Q$5=30,L18,IF($Q$5=32,L17,IF($Q$5=33,L17,IF($Q$5=34,L17,IF($Q$5=35,L17,IF($Q$5=36,L20,IF($Q$5=37,P22,IF($Q$5=38,P22,IF($Q$5=39,L20,IF($Q$5=40,L20,IF($Q$5=41,L20,IF($Q$5=42,L20,IF($Q$5=43,L20,IF($Q$5=44,L20,IF($Q$5=45,L20,IF($Q$5=46,L20,IF($Q$5=47,L20,IF($Q$5=48,L20,IF($Q$5=49,L20,IF($Q$5=50,L20,IF($Q$5=51,L20,IF($Q$5=52,L20,IF($Q$5=53,L20,IF($Q$5=54,L20,0)))))))))))))))))))))))))))))</f>
        <v>C9</v>
      </c>
      <c r="U17" s="156" t="str">
        <f>IF($Q$5=19,R17,IF($Q$5=20,R17,IF($Q$5=21,K16,IF($Q$5=22,R16,IF($Q$5=23,R10,IF($Q$5=24,R16,IF($Q$5=25,R16,IF($Q$5=26,R16,IF($Q$5=27,R16,IF($Q$5=28,R17,IF($Q$5=29,O18,IF($Q$5=30,O18,IF($Q$5=31,R17,IF($Q$5=32,O18,IF($Q$5=33,R17,IF($Q$5=34,O18,IF($Q$5=35,R17,IF($Q$5=36,R18,IF($Q$5=37,O19,IF($Q$5=38,O19,IF($Q$5=39,O19,IF($Q$5=40,R18,IF($Q$5=41,O19,IF($Q$5=42,R18,IF($Q$5=43,R18,IF($Q$5=44,O19,IF($Q$5=45,R18,IF($Q$5=46,R18,IF($Q$5=47,R18,IF($Q$5=48,R18,IF($Q$5=49,R18,IF($Q$5=50,R18,IF($Q$5=51,R18:R18,IF($Q$5=52,R18,IF($Q$5=53,R18,IF($Q$5=54,O19,0))))))))))))))))))))))))))))))))))))</f>
        <v>A9</v>
      </c>
      <c r="V17" s="134" t="str">
        <f>IF($Q$5=19,T10,IF($Q$5=20,T10,IF($Q$5=21,S16,IF($Q$5=22,T10,IF($Q$5=23,S12,IF($Q$5=24,S17,IF($Q$5=25,T10,IF($Q$5=26,S12,IF($Q$5=27,S12,IF($Q$5=28,S17,IF($Q$5=29,S18,IF($Q$5=30,S17,IF($Q$5=31,S17,IF($Q$5=32,S12,IF($Q$5=33,S12,IF($Q$5=34,S12,IF($Q$5=35,S12,IF($Q$5=36,S19,IF($Q$5=37,S19,IF($Q$5=38,S19,IF($Q$5=39,S19,IF($Q$5=40,S19,IF($Q$5=41,S19,IF($Q$5=42,S19,IF($Q$5=43,S19,IF($Q$5=44,S19,IF($Q$5=45,S19,IF($Q$5=46,S19,IF($Q$5=47,S19,IF($Q$5=48,S19,IF($Q$5=49,S19,IF($Q$5=50,S19,IF($Q$5=51,S19,IF($Q$5=52,S19,IF($Q$5=53,S19,IF($Q$5=54,S19,0))))))))))))))))))))))))))))))))))))</f>
        <v>B10</v>
      </c>
      <c r="W17" s="147" t="str">
        <f>IF($Q$5=24,T10,IF($Q$5=27,0,IF($Q$5=28,S18,IF($Q$5=29,T18,IF($Q$5=30,T18,IF($Q$5=32,T17,IF($Q$5=33,T17,IF($Q$5=34,T17,IF($Q$5=35,T17,IF($Q$5=36,T20,IF($Q$5=37,S22,IF($Q$5=38,S22,IF($Q$5=39,T18,IF($Q$5=40,T20,IF($Q$5=41,T20,IF($Q$5=42,T20,IF($Q$5=43,T20,IF($Q$5=44,T20,IF($Q$5=45,T20,IF($Q$5=46,T20,IF($Q$5=47,T20,IF($Q$5=48,T20,IF($Q$5=49,T20,IF($Q$5=50,T20,IF($Q$5=51,T20,IF($Q$5=52,T20,IF($Q$5=53,T20,IF($Q$5=54,T20,0))))))))))))))))))))))))))))</f>
        <v>C4</v>
      </c>
      <c r="X17" s="18"/>
      <c r="Y17" s="384"/>
      <c r="Z17" s="13" t="str">
        <f>+Q11</f>
        <v>C2</v>
      </c>
      <c r="AA17" s="57">
        <f>IF(ISTEXT(Z17),AA15,0)</f>
        <v>10</v>
      </c>
      <c r="AB17" s="14">
        <f>IF(ISTEXT(Z17),AB15,0)</f>
        <v>3</v>
      </c>
      <c r="AC17" s="15">
        <f>IF(ISTEXT(Z17),AC15,0)</f>
        <v>2</v>
      </c>
      <c r="AD17" s="6"/>
      <c r="AE17" s="13" t="str">
        <f>+T11</f>
        <v>C1</v>
      </c>
      <c r="AF17" s="14">
        <f>IF(ISTEXT(AE17),AF15,0)</f>
        <v>9</v>
      </c>
      <c r="AG17" s="14">
        <f>IF(ISTEXT(AE17),AG15,0)</f>
        <v>3</v>
      </c>
      <c r="AH17" s="15">
        <f>IF(ISTEXT(AE17),AH15,0)</f>
        <v>4</v>
      </c>
      <c r="AI17" s="6"/>
      <c r="AJ17" s="13" t="str">
        <f>+W11</f>
        <v>C6</v>
      </c>
      <c r="AK17" s="14">
        <f>IF(ISTEXT(AJ17),AK15,0)</f>
        <v>2</v>
      </c>
      <c r="AL17" s="14">
        <f>IF(ISTEXT(AJ17),AL15,0)</f>
        <v>1</v>
      </c>
      <c r="AM17" s="15">
        <f>IF(ISTEXT(AJ17),AM15,0)</f>
        <v>-11</v>
      </c>
      <c r="AN17" s="18"/>
      <c r="AO17" s="44">
        <v>9</v>
      </c>
      <c r="AP17" s="278" t="str">
        <f>+Inscrits!B11</f>
        <v>A9</v>
      </c>
      <c r="AQ17" s="247" t="str">
        <f t="shared" si="3"/>
        <v>0</v>
      </c>
      <c r="AR17" s="82" t="str">
        <f t="shared" si="4"/>
        <v>0</v>
      </c>
      <c r="AS17" s="184" t="str">
        <f t="shared" si="5"/>
        <v>0</v>
      </c>
      <c r="AT17" s="250" t="str">
        <f t="shared" si="6"/>
        <v>0</v>
      </c>
      <c r="AU17" s="82" t="str">
        <f t="shared" si="7"/>
        <v>0</v>
      </c>
      <c r="AV17" s="252" t="str">
        <f t="shared" si="8"/>
        <v>0</v>
      </c>
      <c r="AW17" s="247" t="str">
        <f t="shared" si="9"/>
        <v>0</v>
      </c>
      <c r="AX17" s="82" t="str">
        <f t="shared" si="10"/>
        <v>0</v>
      </c>
      <c r="AY17" s="252" t="str">
        <f t="shared" si="11"/>
        <v>0</v>
      </c>
      <c r="AZ17" s="247">
        <f t="shared" si="17"/>
        <v>0</v>
      </c>
      <c r="BA17" s="82">
        <f t="shared" si="12"/>
        <v>0</v>
      </c>
      <c r="BB17" s="252">
        <f t="shared" si="13"/>
        <v>0</v>
      </c>
      <c r="BC17" s="255">
        <f t="shared" si="14"/>
        <v>0</v>
      </c>
      <c r="BD17" s="7">
        <f t="shared" si="15"/>
        <v>0</v>
      </c>
      <c r="BE17" s="183">
        <f t="shared" si="16"/>
        <v>25.00000017</v>
      </c>
      <c r="BF17" s="82">
        <f>IF(AP17="","",SMALL(BE$9:BE$62,ROWS(AZ$9:AZ17)))</f>
        <v>8.9375002899999991</v>
      </c>
      <c r="BG17"/>
      <c r="BH17" s="78" t="str">
        <f>IF(OR(AP17="",AZ17=""),"",INDEX($AP$9:$AP$63,MATCH(BF17,$BE$9:BE$62,0)))</f>
        <v>B3</v>
      </c>
      <c r="BI17" s="255">
        <f t="shared" si="0"/>
        <v>5</v>
      </c>
      <c r="BJ17" s="7">
        <f t="shared" si="1"/>
        <v>6</v>
      </c>
      <c r="BK17" s="7">
        <f t="shared" si="2"/>
        <v>25</v>
      </c>
      <c r="BL17" s="17">
        <f>IF(BF17="","",IF(AND(BI16=BI17,BJ16=BJ17,BK16=BK17),BL16,$BL$9+8))</f>
        <v>9</v>
      </c>
      <c r="BM17" s="22"/>
      <c r="BN17" s="3"/>
    </row>
    <row r="18" spans="1:66" ht="21.6" thickBot="1" x14ac:dyDescent="0.35">
      <c r="A18" s="111">
        <v>9</v>
      </c>
      <c r="B18" s="330" t="s">
        <v>74</v>
      </c>
      <c r="C18" s="235">
        <f>IF($Q$5&gt;=25,9,0)</f>
        <v>9</v>
      </c>
      <c r="D18" s="332" t="s">
        <v>92</v>
      </c>
      <c r="E18" s="235">
        <f>IF($Q$5&gt;=26,9,0)</f>
        <v>9</v>
      </c>
      <c r="F18" s="333" t="s">
        <v>110</v>
      </c>
      <c r="G18" s="235">
        <f>IF($Q$5&gt;=27,9,0)</f>
        <v>9</v>
      </c>
      <c r="H18" s="18"/>
      <c r="I18" s="165">
        <v>9</v>
      </c>
      <c r="J18" s="172" t="str">
        <f>IF(ISNA(MATCH(I18,$C$10:$C$27,0)),"",INDEX(B$10:$B$27,MATCH(I18,$C$10:$C$27,0)))</f>
        <v>A9</v>
      </c>
      <c r="K18" s="117" t="str">
        <f>IF(ISNA(MATCH(I18,$E$10:$E$27,0)),"",INDEX($D$10:D$27,MATCH(I18,$E$10:$E$27,0)))</f>
        <v>B9</v>
      </c>
      <c r="L18" s="160" t="str">
        <f>IF(ISNA(MATCH(I18,$G$10:$G$27,0)),"",INDEX($F$10:F$27,MATCH(I18,$G$10:$G$27,0)))</f>
        <v>C9</v>
      </c>
      <c r="M18" s="130"/>
      <c r="N18" s="67">
        <v>5</v>
      </c>
      <c r="O18" s="118" t="str">
        <f>IF($Q$5=25,J18,IF($Q$5=26,J18,IF($Q$5=27,J18,IF(Q$5=28,J18,IF($Q$5=29,J18,IF($Q$5=30,J18,IF($Q$5=31,J18,IF($Q$5=32,J18,IF($Q$5=33,J18,IF($Q$5=34,J18,IF($Q$5=35,J18,IF($Q$5=36,J18,IF($Q$5=37,J18,IF($Q$5=38,J18,IF($Q$5=39,J18,IF($Q$5=40,J18,IF($Q$5=41,J18,IF($Q$5=42,J18,IF($Q$5=43,J18,IF($Q$5=44,J18,IF($Q$5=45,J18,IF($Q$5=46,J18,IF($Q$5=47,J18,IF($Q$5=48,J18,IF($Q$5=49,J18,IF($Q$5=50,J18,IF($Q$5=51,J18,IF($Q$5=52,J18,IF($Q$5=53,J18,IF($Q$5=54,J18,0))))))))))))))))))))))))))))))</f>
        <v>A9</v>
      </c>
      <c r="P18" s="119" t="str">
        <f>IF($Q$5=25,L16,IF($Q$5=26,L16,IF($Q$5=27,L17,IF($Q$5=28,K18,IF($Q$5=29,K18,IF($Q$5=30,K18,IF($Q$5=31,K18,IF($Q$5=32,K19,IF($Q$5=33,K18,IF($Q$5=34,K18,IF($Q$5=35,K18,IF($Q$5=36,K18,IF($Q$5=37,K18,IF($Q$5=38,K18,IF($Q$5=39,K18,IF($Q$5=40,K18,IF($Q$5=41,K18,IF($Q$5=42,K18,IF($Q$5=43,K18,IF($Q$5=44,K18,IF($Q$5=45,K18,IF($Q$5=46,K18,IF($Q$5=47,K18,IF($Q$5=48,K18,IF($Q$5=49,K18,IF($Q$5=50,K18,IF($Q$5=51,K18,IF($Q$5=52,K18,IF($Q$5=53,K18,IF($Q$5=54,K18,0))))))))))))))))))))))))))))))</f>
        <v>B9</v>
      </c>
      <c r="Q18" s="120" t="str">
        <f>IF($Q$5=29,L18,IF($Q$5=30,L18,IF($Q$5=33,L18,IF($Q$5=34,L18,IF($Q$5=35,L18,IF($Q$5=36,L18,IF($Q$5=37,L18,IF($Q$5=38,L18,IF($Q$5=39,L18,IF($Q$5=40,L18,IF($Q$5=41,L18,IF($Q$5=42,L18,IF($Q$5=43,L18,IF($Q$5=44,L18,IF($Q$5=45,L18,IF($Q$5=46,L18,IF($Q$5=47,L18,IF($Q$5=48,L18,IF($Q$5=49,L18,IF($Q$5=50,L18,IF($Q$5=51,L18,IF($Q$5=52,L18,IF($Q$5=53,L18,IF($Q$5=54,L18,0))))))))))))))))))))))))</f>
        <v>C9</v>
      </c>
      <c r="R18" s="135" t="str">
        <f>IF($Q$5=25,O19,IF($Q$5=26,O19,IF($Q$5=27,J10,IF($Q$5=28,J19,IF($Q$5=29,J19,IF($Q$5=30,J19,IF($Q$5=31,J19,IF($Q$5=32,J19,IF($Q$5=33,J19,IF($Q$5=34,J19,IF($Q$5=35,J19,IF($Q$5=36,J19,IF($Q$5=37,J19,IF($Q$5=38,J19,IF($Q$5=39,J19,IF($Q$5=40,J19,IF($Q$5=41,J19,IF($Q$5=42,J19,IF($Q$5=43,J19,IF($Q$5=44,J19,IF($Q$5=45,J19,IF($Q$5=46,J19,IF($Q$5=47,J19,IF($Q$5=48,J19,IF($Q$5=49,J19,IF($Q$5=50,J19,IF($Q$5=51,J19,IF($Q$5=52,J19,IF($Q$5=53,J19,IF($Q$5=54,J19,0))))))))))))))))))))))))))))))</f>
        <v>A10</v>
      </c>
      <c r="S18" s="138" t="str">
        <f>IF($Q$5=25,L11,IF($Q$5=26,L11,IF(Q$5=27,Q11,IF($Q$5=28,L11,IF($Q$5=29,K10,IF($Q$5=30,K10,IF($Q$5=31,P21,IF($Q$5=32,P20,IF($Q$5=33,K10,IF($Q$5=34,K10,IF($Q$5=35,K10,IF($Q$5=36,K20,IF($Q$5=37,K20,IF($Q$5=38,K20,IF($Q$5=39,K20,IF($Q$5=40,K20,IF($Q$5=41,K20,IF($Q$5=42,K20,IF($Q$5=43,K20,IF($Q$5=44,K20,IF($Q$5=45,K20,IF($Q$5=46,K20,IF($Q$5=47,K20,IF($Q$5=48,K20,IF($Q$5=49,K20,IF($Q$5=50,K20,IF($Q$5=51,K20,IF($Q$5=52,K20,IF($Q$5=53,K20,IF($Q$5=54,K20,0))))))))))))))))))))))))))))))</f>
        <v>B1</v>
      </c>
      <c r="T18" s="154" t="str">
        <f>IF($Q$5=27,0,IF($Q$5=29,L11,IF($Q$5=30,L13,IF(J$5=32,0,IF($Q$5=33,L18,IF($Q$5=34,P21,IF($Q$5=35,L20,IF($Q$5=36,L21,IF($Q$5=37,P21,IF($Q$5=38,P23,IF($Q$5=39,L10,IF($Q$5=40,L21,IF($Q$5=41,L21,IF($Q$5=42,L21,IF($Q$5=43,P25,IF($Q$5=44,L21,IF($Q$5=45,L21,IF($Q$5=46,L21,IF($Q$5=47,L21,IF($Q$5=48,L21,IF($Q$5=49,L21,IF($Q$5=50,L21,IF($Q$5=51,L21,IF($Q$5=52,L21,IF($Q$5=53,L21,IF($Q$5=54,L21,0))))))))))))))))))))))))))</f>
        <v>C4</v>
      </c>
      <c r="U18" s="135" t="str">
        <f>IF($Q$5=25,R17,IF($Q$5=26,R17,IF($Q$5=27,R17,IF($Q$5=28,O17,IF($Q$5=29,O17,IF($Q$5=30,O17,IF($Q$5=31,R10,IF($Q$5=32,O19,IF($Q$5=33,O19,IF($Q$5=34,O20,IF($Q$5=35,R19,IF($Q$5=36,O20,IF($Q$5=37,R19,IF($Q$5=38,R19,IF($Q$5=39,O20,IF($Q$5=40,O20,IF($Q$5=41,O20,IF($Q$5=42,O20,IF($Q$5=43,O20,IF($Q$5=44,O20,IF($Q$5=45,O20,IF($Q$5=46,O20,IF($Q$5=47,O20,IF($Q$5=48,O20,IF($Q$5=49,O20,IF($Q$5=50,O20,IF($Q$5=51,O20,IF($Q$5=52,O20,IF($Q$5=53,O20,IF($Q$5=54,O20,0))))))))))))))))))))))))))))))</f>
        <v>A8</v>
      </c>
      <c r="V18" s="132" t="str">
        <f>IF($Q$5=25,T11,IF($Q$5=26,S18,IF($Q$5=27,R19,IF($Q$5=28,S12,IF($Q$5=29,S17,IF($Q$5=30,S18,IF($Q$5=31,S12,IF($Q$5=32,S13,IF($Q$5=33,S13,IF($Q$5=34,S13,IF($Q$5=35,S13,IF($Q$5=36,S20,IF($Q$5=37,S20,IF($Q$5=38,S20,IF($Q$5=39,S11,IF($Q$5=40,S20,IF($Q$5=41,S20,IF($Q$5=42,S20,IF($Q$5=43,S20,IF($Q$5=44,S20,IF($Q$5=45,S20,IF($Q$5=46,S20,IF($Q$5=47,S20,IF($Q$5=48,S20,IF($Q$5=49,S20,IF($Q$5=50,S20,IF($Q$5=51,S20,IF($Q$5=52,S20,IF($Q$5=53,S20,IF($Q$5=54,S20,0))))))))))))))))))))))))))))))</f>
        <v>B1</v>
      </c>
      <c r="W18" s="144" t="str">
        <f>IF($Q$5=29,T10,IF($Q$5=30,Q19,IF($Q$5=32,0,IF($Q$5=33,S20,IF($Q$5=34,T15,IF($Q$5=35,T15,IF($Q$5=36,T21,IF($Q$5=37,S23,IF($Q$5=38,S23,IF($Q$5=39,T19,IF($Q$5=40,T21,IF($Q$5=41,T21,IF($Q$5=42,T21,IF($Q$5=43,S25,IF($Q$5=44,T21,IF($Q$5=45,T21,IF($Q$5=46,T21,IF($Q$5=47,T21,IF($Q$5=48,T21,IF($Q$5=49,T21,IF($Q$5=50,T21,IF($Q$5=51,T21,IF($Q$5=52,T21,IF($Q$5=53,T21,IF($Q$5=54,T21,0)))))))))))))))))))))))))</f>
        <v>C10</v>
      </c>
      <c r="X18" s="18"/>
      <c r="Y18" s="20"/>
      <c r="Z18" s="58"/>
      <c r="AA18" s="196"/>
      <c r="AB18" s="58"/>
      <c r="AC18" s="58"/>
      <c r="AD18" s="196"/>
      <c r="AE18" s="58"/>
      <c r="AF18" s="196"/>
      <c r="AG18" s="58"/>
      <c r="AH18" s="58"/>
      <c r="AI18" s="196"/>
      <c r="AJ18" s="58"/>
      <c r="AK18" s="196"/>
      <c r="AL18" s="58"/>
      <c r="AM18" s="58"/>
      <c r="AN18" s="18"/>
      <c r="AO18" s="44">
        <v>10</v>
      </c>
      <c r="AP18" s="278" t="str">
        <f>+Inscrits!B12</f>
        <v>A10</v>
      </c>
      <c r="AQ18" s="247" t="str">
        <f t="shared" si="3"/>
        <v>0</v>
      </c>
      <c r="AR18" s="82" t="str">
        <f t="shared" si="4"/>
        <v>0</v>
      </c>
      <c r="AS18" s="184" t="str">
        <f t="shared" si="5"/>
        <v>0</v>
      </c>
      <c r="AT18" s="250" t="str">
        <f t="shared" si="6"/>
        <v>0</v>
      </c>
      <c r="AU18" s="82" t="str">
        <f t="shared" si="7"/>
        <v>0</v>
      </c>
      <c r="AV18" s="252" t="str">
        <f t="shared" si="8"/>
        <v>0</v>
      </c>
      <c r="AW18" s="247" t="str">
        <f t="shared" si="9"/>
        <v>0</v>
      </c>
      <c r="AX18" s="82" t="str">
        <f t="shared" si="10"/>
        <v>0</v>
      </c>
      <c r="AY18" s="252" t="str">
        <f t="shared" si="11"/>
        <v>0</v>
      </c>
      <c r="AZ18" s="247">
        <f t="shared" si="17"/>
        <v>0</v>
      </c>
      <c r="BA18" s="82">
        <f t="shared" si="12"/>
        <v>0</v>
      </c>
      <c r="BB18" s="252">
        <f t="shared" si="13"/>
        <v>0</v>
      </c>
      <c r="BC18" s="255">
        <f t="shared" si="14"/>
        <v>0</v>
      </c>
      <c r="BD18" s="7">
        <f t="shared" si="15"/>
        <v>0</v>
      </c>
      <c r="BE18" s="183">
        <f t="shared" si="16"/>
        <v>25.000000180000001</v>
      </c>
      <c r="BF18" s="82">
        <f>IF(AP18="","",SMALL(BE$9:BE$62,ROWS(AZ$9:AZ18)))</f>
        <v>8.9478001299999992</v>
      </c>
      <c r="BG18"/>
      <c r="BH18" s="78" t="str">
        <f>IF(OR(AP18="",AZ18=""),"",INDEX($AP$9:$AP$63,MATCH(BF18,$BE$9:BE$62,0)))</f>
        <v>A5</v>
      </c>
      <c r="BI18" s="255">
        <f t="shared" si="0"/>
        <v>5</v>
      </c>
      <c r="BJ18" s="7">
        <f t="shared" si="1"/>
        <v>5</v>
      </c>
      <c r="BK18" s="7">
        <f t="shared" si="2"/>
        <v>22</v>
      </c>
      <c r="BL18" s="17">
        <f>IF(BF18="","",IF(AND(BI17=BI18,BJ17=BJ18,BK17=BK18),BL17,$BL$9+9))</f>
        <v>10</v>
      </c>
      <c r="BM18" s="22"/>
      <c r="BN18" s="3"/>
    </row>
    <row r="19" spans="1:66" ht="21.6" thickBot="1" x14ac:dyDescent="0.35">
      <c r="A19" s="111">
        <v>10</v>
      </c>
      <c r="B19" s="330" t="s">
        <v>75</v>
      </c>
      <c r="C19" s="235">
        <f>IF($Q$5&gt;=28,10,0)</f>
        <v>10</v>
      </c>
      <c r="D19" s="332" t="s">
        <v>93</v>
      </c>
      <c r="E19" s="235">
        <f>IF($Q$5&gt;=29,10,0)</f>
        <v>10</v>
      </c>
      <c r="F19" s="333" t="s">
        <v>111</v>
      </c>
      <c r="G19" s="235">
        <f>IF($Q$5&gt;=30,10,0)</f>
        <v>10</v>
      </c>
      <c r="H19" s="18"/>
      <c r="I19" s="165">
        <v>10</v>
      </c>
      <c r="J19" s="172" t="str">
        <f>IF(ISNA(MATCH(I19,$C$10:$C$27,0)),"",INDEX(B$10:$B$27,MATCH(I19,$C$10:$C$27,0)))</f>
        <v>A10</v>
      </c>
      <c r="K19" s="117" t="str">
        <f>IF(ISNA(MATCH(I19,$E$10:$E$27,0)),"",INDEX($D$10:D$27,MATCH(I19,$E$10:$E$27,0)))</f>
        <v>B10</v>
      </c>
      <c r="L19" s="160" t="str">
        <f>IF(ISNA(MATCH(I19,$G$10:$G$27,0)),"",INDEX($F$10:F$27,MATCH(I19,$G$10:$G$27,0)))</f>
        <v>C10</v>
      </c>
      <c r="M19" s="130"/>
      <c r="N19" s="3" t="s">
        <v>5</v>
      </c>
      <c r="O19" s="121" t="str">
        <f>IF($Q$5=25,K17,IF($Q$5=26,K18,IF($Q$5=27,K18,IF($Q$5=28,J19,IF($Q$5=29,J19,IF($Q$5=30,J19,IF($Q$5=31,J19,IF($Q$5=32,J19,IF($Q$5=33,J19,IF($Q$5=34,J19,IF($Q$5=35,J19,IF($Q$5=36,J19,IF($Q$5=37,J19,IF($Q$5=38,J19,IF($Q$5=39,J19,IF($Q$5=40,J19,IF($Q$5=41,J19,IF($Q$5=42,J19,IF($Q$5=43,J19,IF($Q$5=44,J19,IF($Q$5=45,J19,IF($Q$5=46,J19,IF($Q$5=47,J19,IF($Q$5=48,J19,IF($Q$5=49,J19,IF($Q$5=50,J19,IF($Q$5=51,J19,IF($Q$5=52,J19,IF($Q$5=53,J19,IF($Q$5=54,J19,0))))))))))))))))))))))))))))))</f>
        <v>A10</v>
      </c>
      <c r="P19" s="126" t="str">
        <f>IF($Q$5=25,L17,IF($Q$5=26,L17,IF($Q$5=27,L18,IF($Q$5=28,L18,IF($Q$5=29,K19,IF($Q$5=30,K19,IF($Q$5=31,L17,IF($Q$5=32,K18,IF($Q$5=33,K19,IF($Q$5=34,K19,IF($Q$5=35,K19,IF($Q$5=36,K19,IF($Q$5=37,K19,IF($Q$5=38,K19,IF($Q$5=39,K19,IF($Q$5=40,K19,IF($Q$5=41,K19,IF($Q$5=42,K19,IF($Q$5=43,K19,IF($Q$5=44,K19,IF($Q$5=45,K19,IF($Q$5=46,K19,IF($Q$5=47,K19,IF($Q$5=48,K19,IF($Q$5=49,K19,IF($Q$5=50,K19,IF($Q$5=51,K19,IF($Q$5=52,K19,IF($Q$5=53,K19,IF($Q$5=54,K19,0))))))))))))))))))))))))))))))</f>
        <v>B10</v>
      </c>
      <c r="Q19" s="123" t="str">
        <f>IF($Q$5=30,L19,IF($Q$5=34,L19,IF($Q$5=35,L19,IF($Q$5=36,L19,IF($Q$5=38,L19,IF($Q$5=39,L19,IF($Q$5=40,L19,IF($Q$5=41,L19,IF($Q$5=42,L19,IF($Q$5=43,L19,IF($Q$5=44,L19,IF($Q$5=45,L19,IF($Q$5=46,L19,IF($Q$5=47,L19,IF($Q$5=48,L19,IF($Q$5=49,L19,IF($Q$5=50,L19,IF($Q$5=51,L19,IF($Q$5=52,L19,IF($Q$5=53,L19,IF($Q$5=54,L19,0)))))))))))))))))))))</f>
        <v>C10</v>
      </c>
      <c r="R19" s="139" t="str">
        <f>IF($Q$5=25,J10,IF($Q$5=26,J10,IF($Q$5=27,K10,IF($Q$5=28,J10,IF($Q$5=29,J10,IF($Q$5=30,J10,IF($Q$5=31,J20,IF($Q$5=32,J20,IF($Q$5=33,J20,IF($Q$5=34,J20,IF($Q$5=35,J20,IF($Q$5=36,J20,IF($Q$5=37,J20,IF($Q$5=38,J20,IF($Q$5=39,J20,IF($Q$5=40,J20,IF($Q$5=41,J20,IF($Q$5=42,J20,IF($Q$5=43,J20,IF($Q$5=44,J20,IF($Q$5=45,J20,IF($Q$5=46,J20,IF($Q$5=47,J20,IF($Q$5=48,J20,IF($Q$5=49,J20,IF($Q$5=50,J20,IF($Q$5=51,J20,IF($Q$5=52,J20,IF($Q$5=53,J20,IF($Q$5=54,J20,0))))))))))))))))))))))))))))))</f>
        <v>A1</v>
      </c>
      <c r="S19" s="134" t="str">
        <f>IF($Q$5=25,P18,IF($Q$5=26,K10,IF($Q$5=27,O19,IF($Q$5=28,K18,IF($Q$5=29,K18,IF($Q$5=30,K18,IF($Q$5=31,P19,IF($Q$5=32,P21,IF($Q$5=33,K19,IF($Q$5=34,K19,IF($Q$5=35,K19,IF($Q$5=36,K21,IF($Q$5=37,P11,IF($Q$5=38,K21,IF($Q$5=39,K21,IF($Q$5=40,K21,IF($Q$5=41,K21,IF($Q$5=42,K21,IF($Q$5=43,K21,IF($Q$5=44,K21,IF($Q$5=45,K21,IF($Q$5=46,K21,IF($Q$5=47,K21,IF($Q$5=48,K21,IF($Q$5=49,K21,IF($Q$5=50,K21,IF($Q$5=51,K21,IF($Q$5=52,K21,IF($Q$5=53,K21,IF($Q$5=54,K21,0))))))))))))))))))))))))))))))</f>
        <v>B9</v>
      </c>
      <c r="T19" s="155" t="str">
        <f>IF($Q$5=30,L19,IF($Q$5=34,L18,IF($Q$5=35,L18,IF($Q$5=36,L10,IF($Q$5=38,L10,IF($Q$5=39,L11,IF($Q$5=40,P23,IF($Q$5=41,L22,IF($Q$5=42,L22,IF($Q$5=43,P23,IF($Q$5=44,P24,IF($Q$5=45,L22,IF($Q$5=46,L22,IF($Q$5=47,L22,IF($Q$5=48,L22,IF($Q$5=49,L22,IF($Q$5=50,L22,IF($Q$5=51,L22,IF($Q$5=52,L22,IF($Q$5=53,L22,IF($Q$5=54,L22,0)))))))))))))))))))))</f>
        <v>C10</v>
      </c>
      <c r="U19" s="157" t="str">
        <f>IF($Q$5=25,O19,IF($Q$5=26,R18,IF($Q$5=27,S19,IF($Q$5=28,R18,IF($Q$5=29,O19,IF($Q$5=30,O19,IF($Q$5=31,R18,IF($Q$5=32,R10,IF($Q$5=33,O11,IF($Q$5=34,R10,IF($Q$5=35,R10,IF($Q$5=36,O21,IF($Q$5=37,R20,IF($Q$5=38,R20,IF($Q$5=39,O21,IF($Q$5=40,O21,IF($Q$5=41,O21,IF($Q$5=42,O21,IF($Q$5=43,R20,IF($Q$5=44,O21,IF($Q$5=45,R20,IF($Q$5=46,O21,IF($Q$5=47,O21,IF($Q$5=48,O21,IF($Q$5=49,O21,IF($Q$5=50,O21,IF($Q$5=51,O21,IF($Q$5=52,O21,IF($Q$5=53,O21,IF($Q$5=54,O21,0))))))))))))))))))))))))))))))</f>
        <v>A10</v>
      </c>
      <c r="V19" s="137" t="str">
        <f>IF($Q$5=25,S12,IF($Q$5=26,T10,IF($Q$5=27,T10,IF($Q$5=28,T10,IF($Q$5=29,S12,IF($Q$5=30,S12,IF($Q$5=31,T16,IF($Q$5=32,S14,IF($Q$5=33,S14,IF($Q$5=34,S20,IF($Q$5=35,S20,IF($Q$5=36,S21,IF($Q$5=37,S11,IF($Q$5=38,S21,IF($Q$5=39,S20,IF($Q$5=40,S21,IF($Q$5=41,S21,IF($Q$5=42,S21,IF($Q$5=43,S11,IF($Q$5=44,S21,IF($Q$5=45,S21,IF($Q$5=46,S21,IF($Q$5=47,S21,IF($Q$5=48,S21,IF($Q$5=49,S21,IF($Q$5=50,S21,IF($Q$5=51,S21,IF($Q$5=52,S21,IF($Q$5=53,S21,IF($Q$5=54,S21,0))))))))))))))))))))))))))))))</f>
        <v>B2</v>
      </c>
      <c r="W19" s="146" t="str">
        <f>IF($Q$5=30,T10,IF($Q$5=35,T16,IF($Q$5=36,T10,IF($Q$5=38,T10,IF($Q$5=39,T20,IF($Q$5=34,S21,IF($Q$5=40,S23,IF($Q$5=41,T22,IF($Q$5=42,T22,IF($Q$5=43,S23,IF($Q$5=44,S23,IF($Q$5=45,T22,IF($Q$5=46,T22,IF($Q$5=47,T22,IF($Q$5=48,T22,IF($Q$5=49,T22,IF($Q$5=50,T22,IF($Q$5=51,S27,IF($Q$5=52,T22,IF($Q$5=53,T22,IF($Q$5=54,T22,0)))))))))))))))))))))</f>
        <v>C3</v>
      </c>
      <c r="X19" s="18"/>
      <c r="Y19" s="382">
        <v>2</v>
      </c>
      <c r="Z19" s="9" t="str">
        <f>+O12</f>
        <v>A3</v>
      </c>
      <c r="AA19" s="25">
        <v>8</v>
      </c>
      <c r="AB19" s="38">
        <f>IF(AA19+AA23=0,0,IF(AA19=AA23,2,IF(AA19&gt;AA23,3,1)))</f>
        <v>1</v>
      </c>
      <c r="AC19" s="10">
        <f>AA19-AA23</f>
        <v>-3</v>
      </c>
      <c r="AD19" s="19"/>
      <c r="AE19" s="9" t="str">
        <f>+R12</f>
        <v>A4</v>
      </c>
      <c r="AF19" s="107">
        <v>6</v>
      </c>
      <c r="AG19" s="38">
        <f>IF(AF19+AF23=0,0,IF(AF19=AF23,2,IF(AF19&gt;AF23,3,1)))</f>
        <v>3</v>
      </c>
      <c r="AH19" s="10">
        <f>AF19-AF23</f>
        <v>2</v>
      </c>
      <c r="AI19" s="19"/>
      <c r="AJ19" s="9" t="str">
        <f>+U12</f>
        <v>A3</v>
      </c>
      <c r="AK19" s="28">
        <v>10</v>
      </c>
      <c r="AL19" s="38">
        <f>IF(AK19+AK23=0,0,IF(AK19=AK23,2,IF(AK19&gt;AK23,3,1)))</f>
        <v>3</v>
      </c>
      <c r="AM19" s="10">
        <f>AK19-AK23</f>
        <v>5</v>
      </c>
      <c r="AN19" s="18"/>
      <c r="AO19" s="44">
        <v>11</v>
      </c>
      <c r="AP19" s="278" t="str">
        <f>+Inscrits!B13</f>
        <v>A11</v>
      </c>
      <c r="AQ19" s="247" t="str">
        <f t="shared" si="3"/>
        <v xml:space="preserve"> </v>
      </c>
      <c r="AR19" s="82" t="str">
        <f t="shared" si="4"/>
        <v xml:space="preserve"> </v>
      </c>
      <c r="AS19" s="184" t="str">
        <f t="shared" si="5"/>
        <v xml:space="preserve"> </v>
      </c>
      <c r="AT19" s="250" t="str">
        <f t="shared" si="6"/>
        <v xml:space="preserve"> </v>
      </c>
      <c r="AU19" s="82" t="str">
        <f t="shared" si="7"/>
        <v xml:space="preserve"> </v>
      </c>
      <c r="AV19" s="252" t="str">
        <f t="shared" si="8"/>
        <v xml:space="preserve"> </v>
      </c>
      <c r="AW19" s="247" t="str">
        <f t="shared" si="9"/>
        <v xml:space="preserve"> </v>
      </c>
      <c r="AX19" s="82" t="str">
        <f t="shared" si="10"/>
        <v xml:space="preserve"> </v>
      </c>
      <c r="AY19" s="252" t="str">
        <f t="shared" si="11"/>
        <v xml:space="preserve"> </v>
      </c>
      <c r="AZ19" s="247">
        <f t="shared" si="17"/>
        <v>0</v>
      </c>
      <c r="BA19" s="82">
        <f t="shared" si="12"/>
        <v>0</v>
      </c>
      <c r="BB19" s="252">
        <f t="shared" si="13"/>
        <v>0</v>
      </c>
      <c r="BC19" s="255">
        <f t="shared" si="14"/>
        <v>0</v>
      </c>
      <c r="BD19" s="7">
        <f t="shared" si="15"/>
        <v>0</v>
      </c>
      <c r="BE19" s="183">
        <f t="shared" si="16"/>
        <v>25.000000190000002</v>
      </c>
      <c r="BF19" s="82">
        <f>IF(AP19="","",SMALL(BE$9:BE$62,ROWS(AZ$9:AZ19)))</f>
        <v>9.0479000999999997</v>
      </c>
      <c r="BG19"/>
      <c r="BH19" s="78" t="str">
        <f>IF(OR(AP19="",AZ19=""),"",INDEX($AP$9:$AP$63,MATCH(BF19,$BE$9:BE$62,0)))</f>
        <v>A2</v>
      </c>
      <c r="BI19" s="255">
        <f t="shared" si="0"/>
        <v>5</v>
      </c>
      <c r="BJ19" s="7">
        <f t="shared" si="1"/>
        <v>-5</v>
      </c>
      <c r="BK19" s="7">
        <f t="shared" si="2"/>
        <v>21</v>
      </c>
      <c r="BL19" s="17">
        <f>IF(BF19="","",IF(AND(BI18=BI19,BJ18=BJ19,BK18=BK19),BL18,$BL$9+10))</f>
        <v>11</v>
      </c>
      <c r="BM19" s="22"/>
      <c r="BN19" s="3"/>
    </row>
    <row r="20" spans="1:66" ht="21.6" thickBot="1" x14ac:dyDescent="0.35">
      <c r="A20" s="111">
        <v>11</v>
      </c>
      <c r="B20" s="330" t="s">
        <v>76</v>
      </c>
      <c r="C20" s="235">
        <f>IF($Q$5&gt;=31,11,0)</f>
        <v>0</v>
      </c>
      <c r="D20" s="335"/>
      <c r="E20" s="235">
        <f>IF($Q$5&gt;=32,11,0)</f>
        <v>0</v>
      </c>
      <c r="F20" s="333"/>
      <c r="G20" s="235">
        <f>IF($Q$5&gt;=33,11,0)</f>
        <v>0</v>
      </c>
      <c r="H20" s="18"/>
      <c r="I20" s="165">
        <v>11</v>
      </c>
      <c r="J20" s="172" t="str">
        <f>IF(ISNA(MATCH(I20,$C$10:$C$27,0)),"",INDEX(B$10:$B$27,MATCH(I20,$C$10:$C$27,0)))</f>
        <v/>
      </c>
      <c r="K20" s="117" t="str">
        <f>IF(ISNA(MATCH(I20,$E$10:$E$27,0)),"",INDEX($D$10:D$27,MATCH(I20,$E$10:$E$27,0)))</f>
        <v/>
      </c>
      <c r="L20" s="160" t="str">
        <f>IF(ISNA(MATCH(I20,$G$10:$G$27,0)),"",INDEX($F$10:F$27,MATCH(I20,$G$10:$G$27,0)))</f>
        <v/>
      </c>
      <c r="M20" s="130"/>
      <c r="N20" s="3">
        <v>6</v>
      </c>
      <c r="O20" s="118">
        <f>IF($Q$5=31,J20,IF($Q$5=32,J20,IF($Q$5=33,J20,IF($Q$5=34,J20,IF($Q$5=35,J20,IF($Q$5=36,J20,IF($Q$5=37,J20,IF($Q$5=38,J20,IF($Q$5=39,J20,IF($Q$5=40,J20,IF($Q$5=41,J20,IF($Q$5=42,J20,IF($Q$5=43,J20,IF($Q$5=44,J20,IF($Q$5=45,J20,IF($Q$5=46,J20,IF($Q$5=47,J20,IF($Q$5=48,J20,IF($Q$5=49,J20,IF($Q$5=50,J20,IF($Q$5=51,J20,IF($Q$5=52,J20,IF($Q$5=53,J20,IF($Q$5=54,J20,0))))))))))))))))))))))))</f>
        <v>0</v>
      </c>
      <c r="P20" s="119">
        <f>IF($Q$5=31,L18,IF($Q$5=32,L18,IF($Q$5=33,L19,IF($Q$5=34,K20,IF($Q$5=35,K20,IF($Q$5=36,K20,IF($Q$5=37,K20,IF($Q$5=38,K20,IF($Q$5=39,K20,IF($Q$5=40,K20,IF($Q$5=41,K20,IF($Q$5=42,K20,IF($Q$5=43,K20,IF($Q$5=44,K20,IF($Q$5=45,K20,IF($Q$5=46,K20,IF($Q$5=47,K20,IF($Q$5=48,K20,IF($Q$5=49,K20,IF($Q$5=50,K20,IF($Q$5=51,K20,IF($Q$5=52,K20,IF($Q$5=53,K20,IF($Q$5=54,K20,0))))))))))))))))))))))))</f>
        <v>0</v>
      </c>
      <c r="Q20" s="120">
        <f>IF($Q$5=35,L20,IF($Q$5=36,L20,IF($Q$5=39,L20,IF($Q$5=40,L20,IF($Q$5=41,L20,IF($Q$5=42,L20,IF($Q$5=43,L20,IF($Q$5=44,L20,IF($Q$5=45,L20,IF($Q$5=46,L20,IF($Q$5=47,L20,IF($Q$5=48,L20,IF($Q$5=49,L20,IF($Q$5=50,L20,IF($Q$5=51,L20,IF($Q$5=52,L20,IF($Q$5=53,L20,IF($Q$5=54,L20,0))))))))))))))))))</f>
        <v>0</v>
      </c>
      <c r="R20" s="140">
        <f>IF($Q$5=31,J10,IF($Q$5=32,K20,IF($Q$5=33,J10,IF($Q$5=34,J21,IF($Q$5=35,J21,IF($Q$5=36,J21,IF($Q$5=37,J21,IF($Q$5=38,J21,IF($Q$5=39,J21,IF($Q$5=40,J21,IF($Q$5=41,J21,IF($Q$5=42,J21,IF($Q$5=43,J21,IF($Q$5=44,J21,IF($Q$5=45,J21,IF($Q$5=46,J21,IF($Q$5=47,J21,IF($Q$5=48,J21,IF($Q$5=49,J21,IF($Q$5=50,J21,IF($Q$5=51,J21,IF($Q$5=52,J21,IF($Q$5=53,J21,IF($Q$5=54,J21,0))))))))))))))))))))))))</f>
        <v>0</v>
      </c>
      <c r="S20" s="132">
        <f>IF($Q$5=31,P20,IF($Q$5=32,K10,IF($Q$5=33,P21,IF($Q$5=34,K20,IF($Q$5=35,K20,IF($Q$5=36,K10,IF($Q$5=37,K10,IF($Q$5=38,P11,IF($Q$5=39,K10,IF($Q$5=40,K22,IF($Q$5=41,K22,IF($Q$5=42,K22,IF($Q$5=43,K22,IF($Q$5=44,K22,IF($Q$5=45,K22,IF($Q$5=46,K22,IF($Q$5=47,K22,IF($Q$5=48,K22,IF($Q$5=49,K22,IF($Q$5=50,K22,IF($Q$5=51,K22,IF($Q$5=52,K22,IF($Q$5=53,K22,IF($Q$5=54,K22,0))))))))))))))))))))))))</f>
        <v>0</v>
      </c>
      <c r="T20" s="151">
        <f>IF($Q$5=35,L19,IF($Q$5=36,L11,IF($Q$5=39,L12,IF($Q$5=40,L10,IF($Q$5=41,L10,IF($Q$5=42,L23,IF($Q$5=43,P24,IF($Q$5=44,P25,IF($Q$5=45,P24,IF($Q$5=46,L23,IF($Q$5=47,L23,IF($Q$5=48,L23,IF($Q$5=49,L10,IF($Q$5=50,L23,IF($Q$5=51,L23,IF($Q$5=52,L23,IF($Q$5=53,L23,IF($Q$5=54,L23,0))))))))))))))))))</f>
        <v>0</v>
      </c>
      <c r="U20" s="140">
        <f>IF($Q$5=30,0,IF($Q$5=31,R19,IF($Q$5=32,R19,IF($Q$5=33,R19,IF($Q$5=34,R18,IF($Q$5=35,R18,IF($Q$5=36,O10,IF($Q$5=37,R21,IF($Q$5=38,R21,IF($Q$5=39,O22,IF($Q$5=40,R21,IF($Q$5=41,O22,IF($Q$5=42,O22,IF($Q$5=43,R21,IF($Q$5=44,R21,IF($Q$5=45,O22,IF($Q$5=46,O22,IF($Q$5=47,O22,IF($Q$5=48,O22,IF($Q$5=49,O22,IF($Q$5=50,O22,IF($Q$5=51,R21,IF($Q$5=52,O22,IF($Q$5=53,O22,IF($Q$5=54,O22,0)))))))))))))))))))))))))</f>
        <v>0</v>
      </c>
      <c r="V20" s="138">
        <f>IF($Q$5=31,T10,IF($Q$5=32,S18,IF($Q$5=33,T18,IF($Q$5=34,S14,IF($Q$5=35,S21,IF($Q$5=36,S10,IF($Q$5=37,S10,IF($Q$5=38,S11,IF($Q$5=39,S21,IF($Q$5=40,S22,IF($Q$5=41,S22,IF($Q$5=42,S22,IF($Q$5=43,S22,IF($Q$5=44,S22,IF($Q$5=45,S22,IF($Q$5=46,S22,IF($Q$5=47,S22,IF($Q$5=48,S22,IF($Q$5=49,S22,IF($Q$5=50,S22,IF($Q$5=51,S22,IF($Q$5=52,S22,IF($Q$5=53,S22,IF($Q$5=54,S22,0))))))))))))))))))))))))</f>
        <v>0</v>
      </c>
      <c r="W20" s="145">
        <f>IF($Q$5=35,T18,IF($Q$5=36,T11,IF($Q$5=39,T10,IF($Q$5=40,T10,IF($Q$5=41,T10,IF($Q$5=42,T23,IF($Q$5=43,S24,IF($Q$5=44,S24,IF($Q$5=45,S24,IF($Q$5=46,T23,IF($Q$5=47,T23,IF($Q$5=48,T23,IF($Q$5=49,T10,IF($Q$5=50,T23,IF($Q$5=51,S26,IF($Q$5=52,S27,IF($Q$5=53,T23,IF($Q$5=54,T23,0))))))))))))))))))</f>
        <v>0</v>
      </c>
      <c r="X20" s="18"/>
      <c r="Y20" s="383"/>
      <c r="Z20" s="11" t="str">
        <f>+P12</f>
        <v>B3</v>
      </c>
      <c r="AA20" s="14">
        <f>IF(ISTEXT(Z20),AA19,0)</f>
        <v>8</v>
      </c>
      <c r="AB20" s="14">
        <f>IF(ISTEXT(Z20),AB19,0)</f>
        <v>1</v>
      </c>
      <c r="AC20" s="15">
        <f>IF(ISTEXT(Z20),AC19,0)</f>
        <v>-3</v>
      </c>
      <c r="AD20" s="6"/>
      <c r="AE20" s="11" t="str">
        <f>+S12</f>
        <v>B2</v>
      </c>
      <c r="AF20" s="14">
        <f>IF(ISTEXT(AE20),AF19,0)</f>
        <v>6</v>
      </c>
      <c r="AG20" s="48">
        <f>IF(ISTEXT(AE20),AG19,0)</f>
        <v>3</v>
      </c>
      <c r="AH20" s="15">
        <f>IF(ISTEXT(AE20),AH19,0)</f>
        <v>2</v>
      </c>
      <c r="AI20" s="6"/>
      <c r="AJ20" s="11" t="str">
        <f>+V12</f>
        <v>B4</v>
      </c>
      <c r="AK20" s="14">
        <f>IF(ISTEXT(AJ20),AK19,0)</f>
        <v>10</v>
      </c>
      <c r="AL20" s="48">
        <f>IF(ISTEXT(AJ20),AL19,0)</f>
        <v>3</v>
      </c>
      <c r="AM20" s="15">
        <f>IF(ISTEXT(AJ20),AM19,0)</f>
        <v>5</v>
      </c>
      <c r="AN20" s="18"/>
      <c r="AO20" s="44">
        <v>12</v>
      </c>
      <c r="AP20" s="278" t="str">
        <f>+Inscrits!B14</f>
        <v>A12</v>
      </c>
      <c r="AQ20" s="247" t="str">
        <f t="shared" si="3"/>
        <v xml:space="preserve"> </v>
      </c>
      <c r="AR20" s="82" t="str">
        <f t="shared" si="4"/>
        <v xml:space="preserve"> </v>
      </c>
      <c r="AS20" s="184" t="str">
        <f t="shared" si="5"/>
        <v xml:space="preserve"> </v>
      </c>
      <c r="AT20" s="250" t="str">
        <f t="shared" si="6"/>
        <v xml:space="preserve"> </v>
      </c>
      <c r="AU20" s="82" t="str">
        <f t="shared" si="7"/>
        <v xml:space="preserve"> </v>
      </c>
      <c r="AV20" s="252" t="str">
        <f t="shared" si="8"/>
        <v xml:space="preserve"> </v>
      </c>
      <c r="AW20" s="247" t="str">
        <f t="shared" si="9"/>
        <v xml:space="preserve"> </v>
      </c>
      <c r="AX20" s="82" t="str">
        <f t="shared" si="10"/>
        <v xml:space="preserve"> </v>
      </c>
      <c r="AY20" s="252" t="str">
        <f t="shared" si="11"/>
        <v xml:space="preserve"> </v>
      </c>
      <c r="AZ20" s="247">
        <f t="shared" si="17"/>
        <v>0</v>
      </c>
      <c r="BA20" s="82">
        <f t="shared" si="12"/>
        <v>0</v>
      </c>
      <c r="BB20" s="252">
        <f t="shared" si="13"/>
        <v>0</v>
      </c>
      <c r="BC20" s="255">
        <f t="shared" si="14"/>
        <v>0</v>
      </c>
      <c r="BD20" s="7">
        <f t="shared" si="15"/>
        <v>0</v>
      </c>
      <c r="BE20" s="183">
        <f t="shared" si="16"/>
        <v>25.000000199999999</v>
      </c>
      <c r="BF20" s="82">
        <f>IF(AP20="","",SMALL(BE$9:BE$62,ROWS(AZ$9:AZ20)))</f>
        <v>11.90790009</v>
      </c>
      <c r="BG20"/>
      <c r="BH20" s="78" t="str">
        <f>IF(OR(AP20="",AZ20=""),"",INDEX($AP$9:$AP$63,MATCH(BF20,$BE$9:BE$62,0)))</f>
        <v>A1</v>
      </c>
      <c r="BI20" s="255">
        <f t="shared" si="0"/>
        <v>4</v>
      </c>
      <c r="BJ20" s="7">
        <f t="shared" si="1"/>
        <v>9</v>
      </c>
      <c r="BK20" s="7">
        <f t="shared" si="2"/>
        <v>21</v>
      </c>
      <c r="BL20" s="17">
        <f>IF(BF20="","",IF(AND(BI19=BI20,BJ19=BJ20,BK19=BK20),BL19,$BL$9+11))</f>
        <v>12</v>
      </c>
      <c r="BM20" s="22"/>
      <c r="BN20" s="3"/>
    </row>
    <row r="21" spans="1:66" ht="21.6" thickBot="1" x14ac:dyDescent="0.35">
      <c r="A21" s="111">
        <v>12</v>
      </c>
      <c r="B21" s="330"/>
      <c r="C21" s="235">
        <f>IF($Q$5&gt;=34,12,0)</f>
        <v>0</v>
      </c>
      <c r="D21" s="330"/>
      <c r="E21" s="235">
        <f>IF($Q$5&gt;=35,12,0)</f>
        <v>0</v>
      </c>
      <c r="F21" s="333"/>
      <c r="G21" s="235">
        <f>IF($Q$5&gt;=36,12,0)</f>
        <v>0</v>
      </c>
      <c r="H21" s="18"/>
      <c r="I21" s="165">
        <v>12</v>
      </c>
      <c r="J21" s="172" t="str">
        <f>IF(ISNA(MATCH(I21,$C$10:$C$27,0)),"",INDEX(B$10:$B$27,MATCH(I21,$C$10:$C$27,0)))</f>
        <v/>
      </c>
      <c r="K21" s="117" t="str">
        <f>IF(ISNA(MATCH(I21,$E$10:$E$27,0)),"",INDEX($D$10:D$27,MATCH(I21,$E$10:$E$27,0)))</f>
        <v/>
      </c>
      <c r="L21" s="160" t="str">
        <f>IF(ISNA(MATCH(I21,$G$10:$G$27,0)),"",INDEX($F$10:F$27,MATCH(I21,$G$10:$G$27,0)))</f>
        <v/>
      </c>
      <c r="M21" s="130"/>
      <c r="N21" s="42" t="s">
        <v>5</v>
      </c>
      <c r="O21" s="121">
        <f>IF($Q$5=31,K19,IF($Q$5=32,K20,IF($Q$5=33,K20,IF($Q$5=34,J21,IF($Q$5=35,J21,IF($Q$5=36,J21,IF($Q$5=37,J21,IF($Q$5=38,J21,IF($Q$5=39,J21,IF($Q$5=40,J21,IF($Q$5=41,J21,IF($Q$5=42,J21,IF($Q$5=43,J21,IF($Q$5=44,J21,IF($Q$5=45,J21,IF($Q$5=46,J21,IF($Q$5=47,J21,IF($Q$5=48,J21,IF($Q$5=49,J21,IF($Q$5=50,J21,IF($Q$5=51,J21,IF($Q$5=52,J21,IF($Q$5=53,J21,IF($Q$5=54,J21,0))))))))))))))))))))))))</f>
        <v>0</v>
      </c>
      <c r="P21" s="126">
        <f>IF($Q$5=31,L19,IF($Q$5=32,L19,IF($Q$5=33,L20,IF($Q$5=34,L20,IF($Q$5=35,K21,IF($Q$5=36,K21,IF($Q$5=37,L21,IF($Q$5=38,K21,IF($Q$5=39,K21,IF($Q$5=40,K21,IF($Q$5=41,K21,IF($Q$5=42,K21,IF($Q$5=43,K21,IF($Q$5=44,K21,IF($Q$5=45,K21,IF($Q$5=46,K21,IF($Q$5=47,K21,IF($Q$5=48,K21,IF($Q$5=49,K21,IF($Q$5=50,K21,IF($Q$5=51,K21,IF($Q$5=52,K21,IF($Q$5=53,K21,IF($Q$5=54,K21,0))))))))))))))))))))))))</f>
        <v>0</v>
      </c>
      <c r="Q21" s="123">
        <f>IF($Q$5=36,L21,IF($Q$5=40,L21,IF($Q$5=41,L21,IF($Q$5=42,L21,IF($Q$5=43,0,IF($Q$5=44,L21,IF($Q$5=45,L21,IF($Q$5=46,L21,IF($Q$5=47,L21,IF($Q$5=48,L21,IF($Q$5=49,L21,IF($Q$5=50,L21,IF($Q$5=51,L21,IF($Q$5=52,L21,IF($Q$5=53,L21,IF($Q$5=54,L21,0))))))))))))))))</f>
        <v>0</v>
      </c>
      <c r="R21" s="141">
        <f>IF($Q$5=31,K11,IF($Q$5=32,J10,IF($Q$5=33,O21,IF($Q$5=34,J10,IF($Q$5=35,J10,IF($Q$5=36,J10,IF($Q$5=37,J22,IF($Q$5=38,J22,IF($Q$5=39,J22,IF($Q$5=40,J22,IF($Q$5=41,J22,IF($Q$5=42,J22,IF($Q$5=43,J22,IF($Q$5=44,J22,IF($Q$5=45,J22,IF($Q$5=46,J22,IF($Q$5=47,J22,IF($Q$5=48,J22,IF($Q$5=49,J22,IF($Q$5=50,J22,IF($Q$5=51,J22,IF($Q$5=52,J22,IF($Q$5=53,J22,IF($Q$5=54,J22,0))))))))))))))))))))))))</f>
        <v>0</v>
      </c>
      <c r="S21" s="137">
        <f>IF($Q$5=31,O21,IF($Q$5=32,P18,IF($Q$5=33,P20,IF($Q$5=34,L19,IF($Q$5=35,K21,IF($Q$5=36,K11,IF($Q$5=37,L10,IF($Q$5=38,K10,IF($Q$5=39,K11,IF($Q$5=40,K10,IF($Q$5=41,K23,IF($Q$5=42,K23,IF($Q$5=43,P11,IF($Q$5=44,K23,IF($Q$5=45,K23,IF($Q$5=46,K23,IF($Q$5=47,K23,IF($Q$5=48,K23,IF($Q$5=49,K23,IF($Q$5=50,K23,IF($Q$5=51,K23,IF($Q$5=52,K23,IF($Q$5=53,K23,IF($Q$5=54,K23,0))))))))))))))))))))))))</f>
        <v>0</v>
      </c>
      <c r="T21" s="153">
        <f>IF($Q$5=36,L12,IF($Q$5=40,L11,IF($Q$5=41,L11,IF($Q$5=42,L10,IF($Q$5=43,0,IF($Q$5=44,L10,IF($Q$5=45,P25,IF($Q$5=46,P25,IF($Q$5=47,L24,IF($Q$5=48,L24,IF($Q$5=49,L11,IF($Q$5=50,P26,IF($Q$5=51,L24,IF($Q$5=52,L24,IF($Q$5=53,L24,IF($Q$5=54,L24,0))))))))))))))))</f>
        <v>0</v>
      </c>
      <c r="U21" s="156">
        <f>IF($Q$5=31,S21,IF($Q$5=32,R20,IF($Q$5=33,R21,IF($Q$5=34,R20,IF($Q$5=35,R20,IF($Q$5=36,O11,IF($Q$5=37,R22,IF($Q$5=38,R22,IF($Q$5=39,O10,IF($Q$5=40,R22,IF($Q$5=41,R22,IF($Q$5=42,O23,IF($Q$5=43,R22,IF($Q$5=44,O23,IF($Q$5=45,R22,IF($Q$5=46,O23,IF($Q$5=47,O23,IF($Q$5=48,R22,IF($Q$5=49,R22,IF($Q$5=50,O23,IF($Q$5=51,R22,IF($Q$5=52,R22,IF($Q$5=53,O23,IF($Q$5=54,O23,0))))))))))))))))))))))))</f>
        <v>0</v>
      </c>
      <c r="V21" s="137">
        <f>IF($Q$5=31,S15,IF($Q$5=32,S19,IF($Q$5=33,S21,IF($Q$5=34,T19,IF($Q$5=35,S14,IF($Q$5=36,S11,IF($Q$5=37,T10,IF($Q$5=38,S10,IF($Q$5=39,S10,IF($Q$5=40,S10,IF($Q$5=41,S23,IF($Q$5=42,S23,IF($Q$5=43,S21,IF($Q$5=44,S11,IF($Q$5=45,S23,IF($Q$5=46,S23,IF($Q$5=47,S23,IF($Q$5=48,S23,IF($Q$5=49,S23,IF($Q$5=50,S23,IF($Q$5=51,S23,IF($Q$5=52,S23,IF($Q$5=53,S23,IF($Q$5=54,S23,0))))))))))))))))))))))))</f>
        <v>0</v>
      </c>
      <c r="W21" s="146">
        <f>IF($Q$5=36,T12,IF($Q$5=39,0,IF($Q$5=40,T11,IF($Q$5=41,T11,IF($Q$5=42,T10,IF($Q$5=43,0,IF($Q$5=44,T10,IF($Q$5=45,S25,IF($Q$5=46,S25,IF($Q$5=47,T24,IF($Q$5=48,T24,IF($Q$5=49,T11,IF($Q$5=50,S26,IF($Q$5=51,T22,IF($Q$5=52,T23,IF($Q$5=53,T24,IF($Q$5=54,T24,0)))))))))))))))))</f>
        <v>0</v>
      </c>
      <c r="X21" s="18"/>
      <c r="Y21" s="383"/>
      <c r="Z21" s="11" t="str">
        <f>+Q12</f>
        <v>C3</v>
      </c>
      <c r="AA21" s="55">
        <f>IF(ISTEXT(Z21),AA19,0)</f>
        <v>8</v>
      </c>
      <c r="AB21" s="55">
        <f>IF(ISTEXT(Z21),AB19,0)</f>
        <v>1</v>
      </c>
      <c r="AC21" s="56">
        <f>IF(ISTEXT(Z21),AC19,0)</f>
        <v>-3</v>
      </c>
      <c r="AD21" s="6"/>
      <c r="AE21" s="11" t="str">
        <f>+T12</f>
        <v>C5</v>
      </c>
      <c r="AF21" s="55">
        <f>IF(ISTEXT(AE21),AF19,0)</f>
        <v>6</v>
      </c>
      <c r="AG21" s="52">
        <f>IF(ISTEXT(AE21),AG19,0)</f>
        <v>3</v>
      </c>
      <c r="AH21" s="56">
        <f>IF(ISTEXT(AE21),AH19,0)</f>
        <v>2</v>
      </c>
      <c r="AI21" s="6"/>
      <c r="AJ21" s="11" t="str">
        <f>+W12</f>
        <v>C2</v>
      </c>
      <c r="AK21" s="55">
        <f>IF(ISTEXT(AJ21),AK19,0)</f>
        <v>10</v>
      </c>
      <c r="AL21" s="52">
        <f>IF(ISTEXT(AJ21),AL19,0)</f>
        <v>3</v>
      </c>
      <c r="AM21" s="56">
        <f>IF(ISTEXT(AJ21),AM19,0)</f>
        <v>5</v>
      </c>
      <c r="AN21" s="18"/>
      <c r="AO21" s="44">
        <v>13</v>
      </c>
      <c r="AP21" s="278" t="str">
        <f>+Inscrits!B15</f>
        <v>A13</v>
      </c>
      <c r="AQ21" s="247" t="str">
        <f t="shared" si="3"/>
        <v xml:space="preserve"> </v>
      </c>
      <c r="AR21" s="82" t="str">
        <f t="shared" si="4"/>
        <v xml:space="preserve"> </v>
      </c>
      <c r="AS21" s="184" t="str">
        <f t="shared" si="5"/>
        <v xml:space="preserve"> </v>
      </c>
      <c r="AT21" s="250" t="str">
        <f t="shared" si="6"/>
        <v xml:space="preserve"> </v>
      </c>
      <c r="AU21" s="82" t="str">
        <f t="shared" si="7"/>
        <v xml:space="preserve"> </v>
      </c>
      <c r="AV21" s="252" t="str">
        <f t="shared" si="8"/>
        <v xml:space="preserve"> </v>
      </c>
      <c r="AW21" s="247" t="str">
        <f t="shared" si="9"/>
        <v xml:space="preserve"> </v>
      </c>
      <c r="AX21" s="82" t="str">
        <f t="shared" si="10"/>
        <v xml:space="preserve"> </v>
      </c>
      <c r="AY21" s="252" t="str">
        <f t="shared" si="11"/>
        <v xml:space="preserve"> </v>
      </c>
      <c r="AZ21" s="247">
        <f t="shared" si="17"/>
        <v>0</v>
      </c>
      <c r="BA21" s="82">
        <f t="shared" si="12"/>
        <v>0</v>
      </c>
      <c r="BB21" s="252">
        <f t="shared" si="13"/>
        <v>0</v>
      </c>
      <c r="BC21" s="255">
        <f t="shared" si="14"/>
        <v>0</v>
      </c>
      <c r="BD21" s="7">
        <f t="shared" si="15"/>
        <v>0</v>
      </c>
      <c r="BE21" s="183">
        <f t="shared" si="16"/>
        <v>25.00000021</v>
      </c>
      <c r="BF21" s="82">
        <f>IF(AP21="","",SMALL(BE$9:BE$62,ROWS(AZ$9:AZ21)))</f>
        <v>11.978300450000001</v>
      </c>
      <c r="BG21"/>
      <c r="BH21" s="78" t="str">
        <f>IF(OR(AP21="",AZ21=""),"",INDEX($AP$9:$AP$63,MATCH(BF21,$BE$9:BE$62,0)))</f>
        <v>C1</v>
      </c>
      <c r="BI21" s="255">
        <f t="shared" si="0"/>
        <v>4</v>
      </c>
      <c r="BJ21" s="7">
        <f t="shared" si="1"/>
        <v>2</v>
      </c>
      <c r="BK21" s="7">
        <f t="shared" si="2"/>
        <v>17</v>
      </c>
      <c r="BL21" s="17">
        <f>IF(BF21="","",IF(AND(BI20=BI21,BJ20=BJ21,BK20=BK21),BL20,$BL$9+12))</f>
        <v>13</v>
      </c>
      <c r="BM21" s="22"/>
      <c r="BN21" s="3"/>
    </row>
    <row r="22" spans="1:66" ht="21" x14ac:dyDescent="0.3">
      <c r="A22" s="111">
        <v>13</v>
      </c>
      <c r="B22" s="330"/>
      <c r="C22" s="235">
        <f>IF($Q$5&gt;=37,13,0)</f>
        <v>0</v>
      </c>
      <c r="D22" s="330"/>
      <c r="E22" s="235">
        <f>IF($Q$5&gt;=38,13,0)</f>
        <v>0</v>
      </c>
      <c r="F22" s="333"/>
      <c r="G22" s="235">
        <f>IF($Q$5&gt;=39,13,0)</f>
        <v>0</v>
      </c>
      <c r="H22" s="18"/>
      <c r="I22" s="165">
        <v>13</v>
      </c>
      <c r="J22" s="172" t="str">
        <f>IF(ISNA(MATCH(I22,$C$10:$C$27,0)),"",INDEX(B$10:$B$27,MATCH(I22,$C$10:$C$27,0)))</f>
        <v/>
      </c>
      <c r="K22" s="117" t="str">
        <f>IF(ISNA(MATCH(I22,$E$10:$E$27,0)),"",INDEX($D$10:D$27,MATCH(I22,$E$10:$E$27,0)))</f>
        <v/>
      </c>
      <c r="L22" s="160" t="str">
        <f>IF(ISNA(MATCH(I22,$G$10:$G$27,0)),"",INDEX($F$10:F$27,MATCH(I22,$G$10:$G$27,0)))</f>
        <v/>
      </c>
      <c r="M22" s="130"/>
      <c r="N22" s="67">
        <v>7</v>
      </c>
      <c r="O22" s="127">
        <f>IF($Q$5=36,0,IF($Q$5=37,J22,IF($Q$5=38,J22,IF($Q$5=39,J22,IF($Q$5=40,J22,IF($Q$5=41,J22,IF($Q$5=42,J22,IF($Q$5=43,J22,IF($Q$5=44,J22,IF($Q$5=45,J22,IF($Q$5=46,J22,IF($Q$5=47,J22,IF($Q$5=48,J22,IF($Q$5=49,J22,IF($Q$5=50,J22,IF($Q$5=51,J22,IF($Q$5=52,J22,IF($Q$5=53,J22,IF($Q$5=54,J22,0)))))))))))))))))))</f>
        <v>0</v>
      </c>
      <c r="P22" s="122">
        <f>IF($Q$5=36,0,IF($Q$5=37,L20,IF($Q$5=38,L20,IF($Q$5=39,L21,IF($Q$5=40,K22,IF($Q$5=41,K22,IF($Q$5=42,K22,IF($Q$5=43,K22,IF($Q$5=44,K22,IF($Q$5=45,K22,IF($Q$5=46,K22,IF($Q$5=47,K22,IF($Q$5=48,K22,IF($Q$5=49,K22,IF($Q$5=50,K22,IF($Q$5=51,K22,IF($Q$5=52,K22,IF($Q$5=53,K22,IF($Q$5=54,K22,0)))))))))))))))))))</f>
        <v>0</v>
      </c>
      <c r="Q22" s="128">
        <f>IF($Q$5=39,0,IF($Q$5=40,0,IF($Q$5=41,L22,IF($Q$5=42,L22,IF($Q$5=43,0,IF($Q$5=44,0,IF($Q$5=45,L22,IF($Q$5=46,L22,IF($Q$5=47,L22,IF($Q$5=48,L22,IF($Q$5=49,L22,IF($Q$5=50,L22,IF($Q$5=51,L22,IF($Q$5=52,L22,IF($Q$5=53,L22,IF($Q$5=54,L22,0))))))))))))))))</f>
        <v>0</v>
      </c>
      <c r="R22" s="140">
        <f>IF($Q$5=33,0,IF($Q$5=34,0,IF($Q$5=35,0,IF($Q$5=36,0,IF($Q$5=37,J10,IF($Q$5=38,J10,IF($Q$5=39,J10,IF($Q$5=40,J23,IF($Q$5=41,J23,IF($Q$5=42,J23,IF($Q$5=43,J23,IF($Q$5=44,J23,IF($Q$5=45,J23,IF($Q$5=46,J23,IF($Q$5=47,J23,IF($Q$5=48,J23,IF($Q$5=49,J23,IF($Q$5=50,J23,IF($Q$5=51,J23,IF($Q$5=52,J23,IF($Q$5=53,J23,IF($Q$5=54,J23,0))))))))))))))))))))))</f>
        <v>0</v>
      </c>
      <c r="S22" s="132">
        <f>IF($Q$5=37,L11,IF($Q$5=38,L11,IF($Q$5=39,P23,IF($Q$5=40,K11,IF($Q$5=41,K10,IF($Q$5=42,K10,IF($Q$5=43,K10,IF($Q$5=44,P10,IF($Q$5=45,P11,IF($Q$5=46,K24,IF($Q$5=47,K24,IF($Q$5=48,K24,IF($Q$5=49,K24,IF($Q$5=50,K24,IF($Q$5=51,K24,IF($Q$5=52,K24,IF($Q$5=53,K24,IF($Q$5=54,K24,0))))))))))))))))))</f>
        <v>0</v>
      </c>
      <c r="T22" s="151">
        <f>IF($Q$5=41,L12,IF($Q$5=42,L11,IF($Q$5=43,0,IF($Q$5=44,0,IF($Q$5=45,L10,IF($Q$5=46,L10,IF($Q$5=47,L10,IF($Q$5=48,L25,IF($Q$5=49,L12,IF($Q$5=50,P27,IF($Q$5=51,L10,IF($Q$5=52,L25,IF($Q$5=53,L25,IF($Q$5=54,L25,0))))))))))))))</f>
        <v>0</v>
      </c>
      <c r="U22" s="135">
        <f>IF($Q$5=37,O11,IF($Q$5=38,R10,IF($Q$5=39,R10,IF($Q$5=40,R23,IF($Q$5=41,R23,IF($Q$5=42,R23,IF($Q$5=43,R23,IF($Q$5=44,O24,IF($Q$5=45,R23,IF($Q$5=46,R23,IF($Q$5=47,R23,IF($Q$5=48,R23,IF($Q$5=49,R23,IF($Q$5=50,R23,IF($Q$5=51,R23,IF($Q$5=52,R23,IF($Q$5=53,R23,IF($Q$5=54,O24,0))))))))))))))))))</f>
        <v>0</v>
      </c>
      <c r="V22" s="138">
        <f>IF($Q$5=37,T11,IF($Q$5=38,T12,IF($Q$5=39,T11,IF($Q$5=40,S11,IF($Q$5=41,S10,IF($Q$5=42,S10,IF($Q$5=43,S10,IF($Q$5=44,S25,IF($Q$5=45,S11,IF($Q$5=46,S24,IF($Q$5=47,S24,IF($Q$5=48,S24,IF($Q$5=49,S24,IF($Q$5=50,S11,IF($Q$5=51,S11,IF($Q$5=52,S24,IF($Q$5=53,S24,IF($Q$5=54,S24,0))))))))))))))))))</f>
        <v>0</v>
      </c>
      <c r="W22" s="145">
        <f>IF($Q$5=41,T12,IF($Q$5=42,T11,IF($Q$5=43,0,IF($Q$5=44,0,IF($Q$5=45,T10,IF($Q$5=46,T10,IF($Q$5=47,T10,IF($Q$5=48,T25,IF($Q$5=49,T12,IF($Q$5=50,S27,IF($Q$5=51,T23,IF($Q$5=52,T24,IF($Q$5=53,T25,IF($Q$5=54,T25,0))))))))))))))</f>
        <v>0</v>
      </c>
      <c r="X22" s="18"/>
      <c r="Y22" s="383"/>
      <c r="Z22" s="24"/>
      <c r="AA22" s="195" t="s">
        <v>5</v>
      </c>
      <c r="AB22" s="16"/>
      <c r="AC22" s="17"/>
      <c r="AD22" s="20"/>
      <c r="AE22" s="24"/>
      <c r="AF22" s="195" t="s">
        <v>5</v>
      </c>
      <c r="AG22" s="16"/>
      <c r="AH22" s="17"/>
      <c r="AI22" s="20"/>
      <c r="AJ22" s="24"/>
      <c r="AK22" s="195" t="s">
        <v>5</v>
      </c>
      <c r="AL22" s="16"/>
      <c r="AM22" s="17"/>
      <c r="AN22" s="18"/>
      <c r="AO22" s="44">
        <v>14</v>
      </c>
      <c r="AP22" s="278" t="str">
        <f>+Inscrits!B16</f>
        <v>A14</v>
      </c>
      <c r="AQ22" s="247" t="str">
        <f t="shared" si="3"/>
        <v xml:space="preserve"> </v>
      </c>
      <c r="AR22" s="82" t="str">
        <f t="shared" si="4"/>
        <v xml:space="preserve"> </v>
      </c>
      <c r="AS22" s="184" t="str">
        <f t="shared" si="5"/>
        <v xml:space="preserve"> </v>
      </c>
      <c r="AT22" s="250" t="str">
        <f t="shared" si="6"/>
        <v xml:space="preserve"> </v>
      </c>
      <c r="AU22" s="82" t="str">
        <f t="shared" si="7"/>
        <v xml:space="preserve"> </v>
      </c>
      <c r="AV22" s="252" t="str">
        <f t="shared" si="8"/>
        <v xml:space="preserve"> </v>
      </c>
      <c r="AW22" s="247" t="str">
        <f t="shared" si="9"/>
        <v xml:space="preserve"> </v>
      </c>
      <c r="AX22" s="82" t="str">
        <f t="shared" si="10"/>
        <v xml:space="preserve"> </v>
      </c>
      <c r="AY22" s="252" t="str">
        <f t="shared" si="11"/>
        <v xml:space="preserve"> </v>
      </c>
      <c r="AZ22" s="247">
        <f t="shared" si="17"/>
        <v>0</v>
      </c>
      <c r="BA22" s="82">
        <f t="shared" si="12"/>
        <v>0</v>
      </c>
      <c r="BB22" s="252">
        <f t="shared" si="13"/>
        <v>0</v>
      </c>
      <c r="BC22" s="255">
        <f t="shared" si="14"/>
        <v>0</v>
      </c>
      <c r="BD22" s="7">
        <f t="shared" si="15"/>
        <v>0</v>
      </c>
      <c r="BE22" s="183">
        <f t="shared" si="16"/>
        <v>25.00000022</v>
      </c>
      <c r="BF22" s="82">
        <f>IF(AP22="","",SMALL(BE$9:BE$62,ROWS(AZ$9:AZ22)))</f>
        <v>12.01860033</v>
      </c>
      <c r="BG22"/>
      <c r="BH22" s="78" t="str">
        <f>IF(OR(AP22="",AZ22=""),"",INDEX($AP$9:$AP$63,MATCH(BF22,$BE$9:BE$62,0)))</f>
        <v>B7</v>
      </c>
      <c r="BI22" s="255">
        <f t="shared" si="0"/>
        <v>4</v>
      </c>
      <c r="BJ22" s="7">
        <f t="shared" si="1"/>
        <v>-2</v>
      </c>
      <c r="BK22" s="7">
        <f t="shared" si="2"/>
        <v>14</v>
      </c>
      <c r="BL22" s="17">
        <f>IF(BF22="","",IF(AND(BI21=BI22,BJ21=BJ22,BK21=BK22),BL21,$BL$9+13))</f>
        <v>14</v>
      </c>
      <c r="BM22" s="22"/>
      <c r="BN22" s="3"/>
    </row>
    <row r="23" spans="1:66" ht="21.6" thickBot="1" x14ac:dyDescent="0.35">
      <c r="A23" s="111">
        <v>14</v>
      </c>
      <c r="B23" s="330"/>
      <c r="C23" s="237">
        <f>IF($Q$5&gt;=40,14,0)</f>
        <v>0</v>
      </c>
      <c r="D23" s="330"/>
      <c r="E23" s="237">
        <f>IF($Q$5&gt;=41,14,0)</f>
        <v>0</v>
      </c>
      <c r="F23" s="333"/>
      <c r="G23" s="237">
        <f>IF($Q$5&gt;=42,14,0)</f>
        <v>0</v>
      </c>
      <c r="H23" s="18"/>
      <c r="I23" s="165">
        <v>14</v>
      </c>
      <c r="J23" s="172" t="str">
        <f>IF(ISNA(MATCH(I23,$C$10:$C$27,0)),"",INDEX(B$10:$B$27,MATCH(I23,$C$10:$C$27,0)))</f>
        <v/>
      </c>
      <c r="K23" s="117" t="str">
        <f>IF(ISNA(MATCH(I23,$E$10:$E$27,0)),"",INDEX($D$10:D$27,MATCH(I23,$E$10:$E$27,0)))</f>
        <v/>
      </c>
      <c r="L23" s="160" t="str">
        <f>IF(ISNA(MATCH(I23,$G$10:$G$27,0)),"",INDEX($F$10:F$27,MATCH(I23,$G$10:$G$27,0)))</f>
        <v/>
      </c>
      <c r="M23" s="130"/>
      <c r="N23" s="42" t="s">
        <v>5</v>
      </c>
      <c r="O23" s="121">
        <f>IF($Q$5=36,0,IF($Q$5=37,K21,IF($Q$5=38,K22,IF($Q$5=39,K22,IF($Q$5=40,J23,IF($Q$5=41,J23,IF($Q$5=42,J23,IF($Q$5=43,J23,IF($Q$5=44,J23,IF($Q$5=45,J23,IF($Q$5=46,J23,IF($Q$5=47,J23,IF($Q$5=48,J23,IF($Q$5=49,J23,IF($Q$5=50,J23,IF($Q$5=51,J23,IF($Q$5=52,J23,IF($Q$5=53,J23,IF($Q$5=54,J23,0)))))))))))))))))))</f>
        <v>0</v>
      </c>
      <c r="P23" s="126">
        <f>IF($Q$5=36,0,IF($Q$5=37,L19,IF($Q$5=38,L21,IF($Q$5=39,L22,IF($Q$5=40,L22,IF($Q$5=41,K23,IF($Q$5=42,K23,IF($Q$5=43,L22,IF($Q$5=44,K23,IF($Q$5=45,K23,IF($Q$5=46,K2:K23,IF($Q$5=47,K23,IF($Q$5=48,K23,IF($Q$5=49,K23,IF($Q$5=50,K23,IF($Q$5=51,K23,IF($Q$5=52,K23,IF($Q$5=53,K23,IF($Q$5=54,K23,0)))))))))))))))))))</f>
        <v>0</v>
      </c>
      <c r="Q23" s="123">
        <f>IF($Q$5=40,0,IF($Q$5=41,0,IF($Q$5=42,L23,IF($Q$5=43,0,IF($Q$5=44,0,IF($Q$5=45,0,IF($Q$5=46,L23,IF($Q$5=47,L23,IF($Q$5=48,L23,IF($Q$5=49,0,IF($Q$5=50,L23,IF($Q$5=51,L23,IF($Q$5=52,L23,IF($Q$5=53,L23,IF($Q$5=54,L23,0)))))))))))))))</f>
        <v>0</v>
      </c>
      <c r="R23" s="142">
        <f>IF($Q$5=37,O23,IF($Q$5=38,O23,IF($Q$5=39,O23,IF($Q$5=40,J10,IF($Q$5=41,J10,IF($Q$5=42,J10,IF($Q$5=43,J24,IF($Q$5=44,J24,IF($Q$5=45,J24,IF($Q$5=46,J24,IF($Q$5=47,J24,IF($Q$5=48,J24,IF($Q$5=49,J24,IF($Q$5=50,J24,IF($Q$5=51,J24,IF($Q$5=52,J24,IF($Q$5=53,J24,IF($Q$5=54,J24,0))))))))))))))))))</f>
        <v>0</v>
      </c>
      <c r="S23" s="143">
        <f>IF($Q$5=37,L12,IF($Q$5=38,L12,IF($Q$5=39,P22,IF($Q$5=40,L12,IF($Q$5=41,K11,IF($Q$5=42,K11,IF($Q$5=43,L11,IF($Q$5=44,L11,IF($Q$5=45,K10,IF($Q$5=46,K10,IF($Q$5=47,K25,IF($Q$5=48,K25,IF($Q$5=49,P11,IF($Q$5=50,K25,IF($Q$5=51,K25,IF($Q$5=52,K25,IF($Q$5=53,K25,IF($Q$5=54,K25,0))))))))))))))))))</f>
        <v>0</v>
      </c>
      <c r="T23" s="153">
        <f>IF($Q$5=42,L12,IF($Q$5=46,L11,IF($Q$5=47,L11,IF($Q$5=48,L10,IF($Q$5=49,0,IF($Q$5=50,L10,IF($Q$5=51,L11,IF($Q$5=52,L10,IF($Q$5=53,L26,IF($Q$5=54,L26,0))))))))))</f>
        <v>0</v>
      </c>
      <c r="U23" s="157">
        <f>IF($Q$5=32,0,IF($Q$5=33,0,IF($Q$5=34,0,IF($Q$5=35,0,IF($Q$5=36,0,IF($Q$5=37,R23,IF($Q$5=38,R23,IF($Q$5=39,R23,IF($Q$5=40,R10,IF($Q$5=41,R10,IF($Q$5=42,R10,IF($Q$5=43,R24,IF($Q$5=44,R24,IF($Q$5=45,R24,IF($Q$5=46,R24,IF($Q$5=47,R24,IF($Q$5=48,R24,IF($Q$5=49,R24,IF($Q$5=50,R24,IF($Q$5=51,R24,IF($Q$5=52,R24,IF($Q$5=53,R24,IF($Q$5=54,O25,0)))))))))))))))))))))))</f>
        <v>0</v>
      </c>
      <c r="V23" s="148">
        <f>IF($Q$5=37,T12,IF($Q$5=38,T11,IF($Q$5=39,T12,IF($Q$5=40,T12,IF($Q$5=41,S11,IF($Q$5=42,S11,IF($Q$5=43,T12,IF($Q$5=44,S10,IF($Q$5=45,S10,IF($Q$5=46,S10,IF($Q$5=47,S25,IF($Q$5=48,S25,IF($Q$5=49,S11,IF($Q$5=50,S24,IF($Q$5=51,S24,IF($Q$5=52,S25,IF($Q$5=53,S25,IF($Q$5=54,S25,0))))))))))))))))))</f>
        <v>0</v>
      </c>
      <c r="W23" s="149">
        <f>IF($Q$5=42,T12,IF($Q$5=43,0,IF($Q$5=44,0,IF($Q$5=45,0,IF($Q$5=46,T11,IF($Q$5=47,T11,IF($Q$5=48,T10,IF($Q$5=49,0,IF($Q$5=50,T10,IF($Q$5=51,T24,IF($Q$5=52,T25,IF($Q$5=53,T26,IF($Q$5=54,T26,0)))))))))))))</f>
        <v>0</v>
      </c>
      <c r="X23" s="18"/>
      <c r="Y23" s="383"/>
      <c r="Z23" s="11" t="str">
        <f>+O13</f>
        <v>A4</v>
      </c>
      <c r="AA23" s="27">
        <v>11</v>
      </c>
      <c r="AB23" s="23">
        <f>IF(AA19+AA23=0,0,IF(AA19=AA23,2,IF(AA19&lt;AA23,3,1)))</f>
        <v>3</v>
      </c>
      <c r="AC23" s="12">
        <f>AA23-AA19</f>
        <v>3</v>
      </c>
      <c r="AD23" s="19"/>
      <c r="AE23" s="11" t="str">
        <f>+R13</f>
        <v>A5</v>
      </c>
      <c r="AF23" s="108">
        <v>4</v>
      </c>
      <c r="AG23" s="23">
        <f>IF(AF19+AF23=0,0,IF(AF19=AF23,2,IF(AF19&lt;AF23,3,1)))</f>
        <v>1</v>
      </c>
      <c r="AH23" s="12">
        <f>AF23-AF19</f>
        <v>-2</v>
      </c>
      <c r="AI23" s="19"/>
      <c r="AJ23" s="11" t="str">
        <f>+U13</f>
        <v>A5</v>
      </c>
      <c r="AK23" s="29">
        <v>5</v>
      </c>
      <c r="AL23" s="23">
        <f>IF(AK19+AK23=0,0,IF(AK19=AK23,2,IF(AK19&lt;AK23,3,1)))</f>
        <v>1</v>
      </c>
      <c r="AM23" s="12">
        <f>AK23-AK19</f>
        <v>-5</v>
      </c>
      <c r="AN23" s="18"/>
      <c r="AO23" s="44">
        <v>15</v>
      </c>
      <c r="AP23" s="278" t="str">
        <f>+Inscrits!B17</f>
        <v>A15</v>
      </c>
      <c r="AQ23" s="247" t="str">
        <f t="shared" si="3"/>
        <v xml:space="preserve"> </v>
      </c>
      <c r="AR23" s="82" t="str">
        <f t="shared" si="4"/>
        <v xml:space="preserve"> </v>
      </c>
      <c r="AS23" s="184" t="str">
        <f t="shared" si="5"/>
        <v xml:space="preserve"> </v>
      </c>
      <c r="AT23" s="250" t="str">
        <f t="shared" si="6"/>
        <v xml:space="preserve"> </v>
      </c>
      <c r="AU23" s="82" t="str">
        <f t="shared" si="7"/>
        <v xml:space="preserve"> </v>
      </c>
      <c r="AV23" s="252" t="str">
        <f t="shared" si="8"/>
        <v xml:space="preserve"> </v>
      </c>
      <c r="AW23" s="247" t="str">
        <f t="shared" si="9"/>
        <v xml:space="preserve"> </v>
      </c>
      <c r="AX23" s="82" t="str">
        <f t="shared" si="10"/>
        <v xml:space="preserve"> </v>
      </c>
      <c r="AY23" s="252" t="str">
        <f t="shared" si="11"/>
        <v xml:space="preserve"> </v>
      </c>
      <c r="AZ23" s="247">
        <f t="shared" si="17"/>
        <v>0</v>
      </c>
      <c r="BA23" s="82">
        <f t="shared" si="12"/>
        <v>0</v>
      </c>
      <c r="BB23" s="252">
        <f t="shared" si="13"/>
        <v>0</v>
      </c>
      <c r="BC23" s="255">
        <f t="shared" si="14"/>
        <v>0</v>
      </c>
      <c r="BD23" s="7">
        <f t="shared" si="15"/>
        <v>0</v>
      </c>
      <c r="BE23" s="183">
        <f t="shared" si="16"/>
        <v>25.000000230000001</v>
      </c>
      <c r="BF23" s="82">
        <f>IF(AP23="","",SMALL(BE$9:BE$62,ROWS(AZ$9:AZ23)))</f>
        <v>12.038700509999998</v>
      </c>
      <c r="BG23"/>
      <c r="BH23" s="78" t="str">
        <f>IF(OR(AP23="",AZ23=""),"",INDEX($AP$9:$AP$63,MATCH(BF23,$BE$9:BE$62,0)))</f>
        <v>C7</v>
      </c>
      <c r="BI23" s="255">
        <f t="shared" si="0"/>
        <v>4</v>
      </c>
      <c r="BJ23" s="7">
        <f t="shared" si="1"/>
        <v>-4</v>
      </c>
      <c r="BK23" s="7">
        <f t="shared" si="2"/>
        <v>13</v>
      </c>
      <c r="BL23" s="17">
        <f>IF(BF23="","",IF(AND(BI22=BI23,BJ22=BJ23,BK22=BK23),BL22,$BL$9+14))</f>
        <v>15</v>
      </c>
      <c r="BM23" s="22"/>
      <c r="BN23" s="3"/>
    </row>
    <row r="24" spans="1:66" ht="21.6" thickBot="1" x14ac:dyDescent="0.35">
      <c r="A24" s="111">
        <v>15</v>
      </c>
      <c r="B24" s="330"/>
      <c r="C24" s="237">
        <f>IF($Q$5&gt;=43,15,0)</f>
        <v>0</v>
      </c>
      <c r="D24" s="330"/>
      <c r="E24" s="237">
        <f>IF($Q$5&gt;=44,15,0)</f>
        <v>0</v>
      </c>
      <c r="F24" s="333"/>
      <c r="G24" s="237">
        <f>IF($Q$5&gt;=45,15,0)</f>
        <v>0</v>
      </c>
      <c r="H24" s="18"/>
      <c r="I24" s="165">
        <v>15</v>
      </c>
      <c r="J24" s="172" t="str">
        <f>IF(ISNA(MATCH(I24,$C$10:$C$27,0)),"",INDEX(B$10:$B$27,MATCH(I24,$C$10:$C$27,0)))</f>
        <v/>
      </c>
      <c r="K24" s="117" t="str">
        <f>IF(ISNA(MATCH(I24,$E$10:$E$27,0)),"",INDEX($D$10:D$27,MATCH(I24,$E$10:$E$27,0)))</f>
        <v/>
      </c>
      <c r="L24" s="160" t="str">
        <f>IF(ISNA(MATCH(I24,$G$10:$G$27,0)),"",INDEX($F$10:F$27,MATCH(I24,$G$10:$G$27,0)))</f>
        <v/>
      </c>
      <c r="M24" s="130"/>
      <c r="N24" s="67">
        <v>8</v>
      </c>
      <c r="O24" s="127">
        <f>IF($Q$5=43,J24,IF($Q$5=44,J24,IF($Q$5=45,J24,IF($Q$5=46,J24,IF($Q$5=47,J24,IF($Q$5=48,J24,IF($Q$5=49,J24,IF($Q$5=50,J24,IF($Q$5=51,J24,IF($Q$5=52,J24,IF($Q$5=53,J24,IF($Q$5=54,J24,0))))))))))))</f>
        <v>0</v>
      </c>
      <c r="P24" s="122">
        <f>IF($Q$5=43,L23,IF($Q$5=44,L22,IF($Q$5=45,L23,IF($Q$5=46,K24,IF($Q$5=47,K24,IF($Q$5=48,K24,IF($Q$5=49,K24,IF($Q$5=50,K24,IF($Q$5=51,K24,IF($Q$5=52,K24,IF($Q$5=53,K24,IF($Q$5=54,K24,0))))))))))))</f>
        <v>0</v>
      </c>
      <c r="Q24" s="128">
        <f>IF($Q$5=43,0,IF($Q$5=44,0,IF($Q$5=45,0,IF($Q$5=46,0,IF($Q$5=47,L24,IF($Q$5=48,L24,IF($Q$5=49,0,IF($Q$5=50,0,IF($Q$5=51,L24,IF($Q$5=52,L24,IF($Q$5=53,L24,IF($Q$5=54,L24,0))))))))))))</f>
        <v>0</v>
      </c>
      <c r="R24" s="140">
        <f>IF($Q$5=43,J10,IF($Q$5=44,J10,IF($Q$5=45,J10,IF($Q$5=46,J25,IF($Q$5=47,J25,IF($Q$5=48,J25,IF($Q$5=49,J25,IF($Q$5=50,J25,IF($Q$5=51,J25,IF($Q$5=52,J25,IF($Q$5=53,J25,IF($Q$5=54,J25,0))))))))))))</f>
        <v>0</v>
      </c>
      <c r="S24" s="132">
        <f>IF($Q$5=43,L12,IF($Q$5=44,L12,IF($Q$5=45,L11,IF($Q$5=46,K11,IF($Q$5=47,K10,IF($Q$5=48,K10,IF($Q$5=49,K10,IF($Q$5=50,K10,IF($Q$5=51,K10,IF($Q$5=52,K26,IF($Q$5=53,K26,IF($Q$5=54,K26,0))))))))))))</f>
        <v>0</v>
      </c>
      <c r="T24" s="151">
        <f>IF($Q$5=47,L12,IF($Q$5=48,L11,IF($Q$5=49,0,IF($Q$5=50,0,IF($Q$5=51,L12,IF($Q$5=52,L11,IF($Q$5=53,L10,IF($Q$5=54,L27,0))))))))</f>
        <v>0</v>
      </c>
      <c r="U24" s="140">
        <f>IF($Q$5=42,0,IF($Q$5=43,R10,IF($Q$5=44,R10,IF($Q$5=45,R10,IF($Q$5=46,R25,IF($Q$5=47,R25,IF($Q$5=48,O10,IF($Q$5=49,R25,IF($Q$5=50,R25,IF($Q$5=51,R25,IF($Q$5=52,R25,IF($Q$5=53,O26,IF($Q$5=54,O26,0)))))))))))))</f>
        <v>0</v>
      </c>
      <c r="V24" s="138">
        <f>IF($Q$5=43,T10,IF($Q$5=44,T11,IF($Q$5=45,T11,IF($Q$5=46,S11,IF($Q$5=47,S10,IF($Q$5=48,S10,IF($Q$5=49,S10,IF($Q$5=50,S25,IF($Q$5=51,S25,IF($Q$5=52,S26,IF($Q$5=53,S26,IF($Q$5=54,S26,0))))))))))))</f>
        <v>0</v>
      </c>
      <c r="W24" s="145">
        <f>IF($Q$5=47,T12,IF($Q$5=48,T11,IF($Q$5=49,0,IF($Q$5=50,0,IF($Q$5=51,T10,IF($Q$5=52,T10,IF($Q$5=53,T10,IF($Q$5=54,T27,0))))))))</f>
        <v>0</v>
      </c>
      <c r="X24" s="18"/>
      <c r="Y24" s="383"/>
      <c r="Z24" s="11" t="str">
        <f>+P13</f>
        <v>B4</v>
      </c>
      <c r="AA24" s="57">
        <f>IF(ISTEXT(Z24),AA23,0)</f>
        <v>11</v>
      </c>
      <c r="AB24" s="14">
        <f>IF(ISTEXT(Z24),AB23,0)</f>
        <v>3</v>
      </c>
      <c r="AC24" s="15">
        <f>IF(ISTEXT(Z24),AC23,0)</f>
        <v>3</v>
      </c>
      <c r="AD24" s="6"/>
      <c r="AE24" s="11" t="str">
        <f>+S13</f>
        <v>B3</v>
      </c>
      <c r="AF24" s="14">
        <f>IF(ISTEXT(AE24),AF23,0)</f>
        <v>4</v>
      </c>
      <c r="AG24" s="14">
        <f>IF(ISTEXT(AE24),AG23,0)</f>
        <v>1</v>
      </c>
      <c r="AH24" s="15">
        <f>IF(ISTEXT(AE24),AH23,0)</f>
        <v>-2</v>
      </c>
      <c r="AI24" s="6"/>
      <c r="AJ24" s="11" t="str">
        <f>+V13</f>
        <v>B6</v>
      </c>
      <c r="AK24" s="14">
        <f>IF(ISTEXT(AJ24),AK23,0)</f>
        <v>5</v>
      </c>
      <c r="AL24" s="14">
        <f>IF(ISTEXT(AJ24),AL23,0)</f>
        <v>1</v>
      </c>
      <c r="AM24" s="15">
        <f>IF(ISTEXT(AJ24),AM23,0)</f>
        <v>-5</v>
      </c>
      <c r="AN24" s="18"/>
      <c r="AO24" s="44">
        <v>16</v>
      </c>
      <c r="AP24" s="278" t="str">
        <f>+Inscrits!B18</f>
        <v>A16</v>
      </c>
      <c r="AQ24" s="247" t="str">
        <f t="shared" si="3"/>
        <v xml:space="preserve"> </v>
      </c>
      <c r="AR24" s="82" t="str">
        <f t="shared" si="4"/>
        <v xml:space="preserve"> </v>
      </c>
      <c r="AS24" s="184" t="str">
        <f t="shared" si="5"/>
        <v xml:space="preserve"> </v>
      </c>
      <c r="AT24" s="250" t="str">
        <f t="shared" si="6"/>
        <v xml:space="preserve"> </v>
      </c>
      <c r="AU24" s="82" t="str">
        <f t="shared" si="7"/>
        <v xml:space="preserve"> </v>
      </c>
      <c r="AV24" s="252" t="str">
        <f t="shared" si="8"/>
        <v xml:space="preserve"> </v>
      </c>
      <c r="AW24" s="247" t="str">
        <f t="shared" si="9"/>
        <v xml:space="preserve"> </v>
      </c>
      <c r="AX24" s="82" t="str">
        <f t="shared" si="10"/>
        <v xml:space="preserve"> </v>
      </c>
      <c r="AY24" s="252" t="str">
        <f t="shared" si="11"/>
        <v xml:space="preserve"> </v>
      </c>
      <c r="AZ24" s="247">
        <f t="shared" si="17"/>
        <v>0</v>
      </c>
      <c r="BA24" s="82">
        <f t="shared" si="12"/>
        <v>0</v>
      </c>
      <c r="BB24" s="252">
        <f t="shared" si="13"/>
        <v>0</v>
      </c>
      <c r="BC24" s="255">
        <f t="shared" si="14"/>
        <v>0</v>
      </c>
      <c r="BD24" s="7">
        <f t="shared" si="15"/>
        <v>0</v>
      </c>
      <c r="BE24" s="183">
        <f t="shared" si="16"/>
        <v>25.000000239999999</v>
      </c>
      <c r="BF24" s="82">
        <f>IF(AP24="","",SMALL(BE$9:BE$62,ROWS(AZ$9:AZ24)))</f>
        <v>15.968900480000002</v>
      </c>
      <c r="BG24"/>
      <c r="BH24" s="78" t="str">
        <f>IF(OR(AP24="",AZ24=""),"",INDEX($AP$9:$AP$63,MATCH(BF24,$BE$9:BE$62,0)))</f>
        <v>C4</v>
      </c>
      <c r="BI24" s="255">
        <f t="shared" si="0"/>
        <v>3</v>
      </c>
      <c r="BJ24" s="7">
        <f t="shared" si="1"/>
        <v>3</v>
      </c>
      <c r="BK24" s="7">
        <f t="shared" si="2"/>
        <v>11</v>
      </c>
      <c r="BL24" s="17">
        <f>IF(BF24="","",IF(AND(BI23=BI24,BJ23=BJ24,BK23=BK24),BL23,$BL$9+15))</f>
        <v>16</v>
      </c>
      <c r="BM24" s="22"/>
      <c r="BN24" s="3"/>
    </row>
    <row r="25" spans="1:66" ht="21.6" thickBot="1" x14ac:dyDescent="0.35">
      <c r="A25" s="111">
        <v>16</v>
      </c>
      <c r="B25" s="330"/>
      <c r="C25" s="237">
        <f>IF($Q$5&gt;=46,16,0)</f>
        <v>0</v>
      </c>
      <c r="D25" s="330"/>
      <c r="E25" s="237">
        <f>IF($Q$5&gt;=47,16,0)</f>
        <v>0</v>
      </c>
      <c r="F25" s="333"/>
      <c r="G25" s="237">
        <f>IF($Q$5&gt;=48,16,0)</f>
        <v>0</v>
      </c>
      <c r="H25" s="18"/>
      <c r="I25" s="165">
        <v>16</v>
      </c>
      <c r="J25" s="172" t="str">
        <f>IF(ISNA(MATCH(I25,$C$10:$C$27,0)),"",INDEX(B$10:$B$27,MATCH(I25,$C$10:$C$27,0)))</f>
        <v/>
      </c>
      <c r="K25" s="117" t="str">
        <f>IF(ISNA(MATCH(I25,$E$10:$E$27,0)),"",INDEX($D$10:D$27,MATCH(I25,$E$10:$E$27,0)))</f>
        <v/>
      </c>
      <c r="L25" s="160" t="str">
        <f>IF(ISNA(MATCH(I25,$G$10:$G$27,0)),"",INDEX($F$10:F$27,MATCH(I25,$G$10:$G$27,0)))</f>
        <v/>
      </c>
      <c r="M25" s="130"/>
      <c r="N25" s="42" t="s">
        <v>5</v>
      </c>
      <c r="O25" s="121">
        <f>IF($Q$5=43,K23,IF($Q$5=44,K24,IF($Q$5=45,K24,IF($Q$5=46,J25,IF($Q$5=47,J25,IF($Q$5=48,J25,IF($Q$5=49,J25,IF($Q$5=50,J25,IF($Q$5=51,J25,IF($Q$5=52,J25,IF($Q$5=53,J25,IF($Q$5=54,J25,0))))))))))))</f>
        <v>0</v>
      </c>
      <c r="P25" s="126">
        <f>IF($Q$5=43,L21,IF($Q$5=44,L23,IF($Q$5=45,L24,IF($Q$5=46,L24,IF($Q$5=47,K25,IF($Q$5=48,K25,IF($Q$5=49,L25,IF($Q$5=50,K25,IF($Q$5=51,K25,IF($Q$5=52,K25,IF($Q$5=53,K25,IF($Q$5=54,K25,0))))))))))))</f>
        <v>0</v>
      </c>
      <c r="Q25" s="123">
        <f>IF($Q$5=48,L25,IF($Q$5=49,0,IF($Q$5=50,0,IF($Q$5=51,0,IF($Q$5=52,L25,IF($Q$5=53,L25,IF($Q$5=54,L25,0)))))))</f>
        <v>0</v>
      </c>
      <c r="R25" s="142">
        <f>IF($Q$5=43,O25,IF($Q$5=44,O25,IF($Q$5=45,O25,IF($Q$5=46,J10,IF($Q$5=47,J10,IF($Q$5=48,J10,IF($Q$5=49,J26,IF($Q$5=50,J26,IF($Q$5=51,J26,IF($Q$5=52,J26,IF($Q$5=53,J26,IF($Q$5=54,J26,0))))))))))))</f>
        <v>0</v>
      </c>
      <c r="S25" s="143">
        <f>IF($Q$5=43,L10,IF($Q$5=44,K11,IF($Q$5=45,L12,IF($Q$5=46,L12,IF($Q$5=47,K11,IF($Q$5=48,K11,IF($Q$5=49,P27,IF($Q$5=50,K11,IF($Q$5=51,K11,IF($Q$5=52,K10,IF($Q$5=53,K27,IF($Q$5=54,K27,0))))))))))))</f>
        <v>0</v>
      </c>
      <c r="T25" s="153">
        <f>IF($Q$5=48,L12,IF($Q$5=49,0,IF($Q$5=50,0,IF($Q$5=51,0,IF($Q$5=52,L12,IF($Q$5=53,L11,IF($Q$5=54,L10,0)))))))</f>
        <v>0</v>
      </c>
      <c r="U25" s="156">
        <f>IF($Q$5=43,R25,IF($Q$5=44,R25,IF($Q$5=45,R25,IF($Q$5=46,R10,IF($Q$5=47,R10,IF($Q$5=48,R10,IF($Q$5=49,R26,IF($Q$5=50,R26,IF($Q$5=51,R26,IF($Q$5=52,O27,IF($Q$5=53,R26,IF($Q$5=54,O27,0))))))))))))</f>
        <v>0</v>
      </c>
      <c r="V25" s="148">
        <f>IF($Q$5=43,T11,IF($Q$5=44,T12,IF($Q$5=45,T12,IF($Q$5=46,T12,IF($Q$5=47,S11,IF($Q$5=48,S11,IF($Q$5=49,S25,IF($Q$5=50,S10,IF($Q$5=51,S10,IF($Q$5=52,S10,IF($Q$5=53,S27,IF($Q$5=54,S27,0))))))))))))</f>
        <v>0</v>
      </c>
      <c r="W25" s="149">
        <f>IF($Q$5=48,T12,IF($Q$5=49,0,IF($Q$5=50,0,IF($Q$5=51,0,IF($Q$5=52,T11,IF($Q$5=53,T11,IF($Q$5=54,T10,0)))))))</f>
        <v>0</v>
      </c>
      <c r="X25" s="18"/>
      <c r="Y25" s="384"/>
      <c r="Z25" s="13" t="str">
        <f>+Q13</f>
        <v>C4</v>
      </c>
      <c r="AA25" s="57">
        <f>IF(ISTEXT(Z25),AA23,0)</f>
        <v>11</v>
      </c>
      <c r="AB25" s="14">
        <f>IF(ISTEXT(Z25),AB23,0)</f>
        <v>3</v>
      </c>
      <c r="AC25" s="15">
        <f>IF(ISTEXT(Z25),AC23,0)</f>
        <v>3</v>
      </c>
      <c r="AD25" s="6"/>
      <c r="AE25" s="13" t="str">
        <f>+T13</f>
        <v>C6</v>
      </c>
      <c r="AF25" s="14">
        <f>IF(ISTEXT(AE25),AF23,0)</f>
        <v>4</v>
      </c>
      <c r="AG25" s="14">
        <f>IF(ISTEXT(AE25),AG23,0)</f>
        <v>1</v>
      </c>
      <c r="AH25" s="15">
        <f>IF(ISTEXT(AE25),AH23,0)</f>
        <v>-2</v>
      </c>
      <c r="AI25" s="6"/>
      <c r="AJ25" s="13" t="str">
        <f>+W13</f>
        <v>C7</v>
      </c>
      <c r="AK25" s="14">
        <f>IF(ISTEXT(AJ25),AK23,0)</f>
        <v>5</v>
      </c>
      <c r="AL25" s="14">
        <f>IF(ISTEXT(AJ25),AL23,0)</f>
        <v>1</v>
      </c>
      <c r="AM25" s="15">
        <f>IF(ISTEXT(AJ25),AM23,0)</f>
        <v>-5</v>
      </c>
      <c r="AN25" s="18"/>
      <c r="AO25" s="44">
        <v>17</v>
      </c>
      <c r="AP25" s="278" t="str">
        <f>+Inscrits!B19</f>
        <v>A17</v>
      </c>
      <c r="AQ25" s="247" t="str">
        <f t="shared" si="3"/>
        <v xml:space="preserve"> </v>
      </c>
      <c r="AR25" s="82" t="str">
        <f t="shared" si="4"/>
        <v xml:space="preserve"> </v>
      </c>
      <c r="AS25" s="184" t="str">
        <f t="shared" si="5"/>
        <v xml:space="preserve"> </v>
      </c>
      <c r="AT25" s="250" t="str">
        <f t="shared" si="6"/>
        <v xml:space="preserve"> </v>
      </c>
      <c r="AU25" s="82" t="str">
        <f t="shared" si="7"/>
        <v xml:space="preserve"> </v>
      </c>
      <c r="AV25" s="252" t="str">
        <f t="shared" si="8"/>
        <v xml:space="preserve"> </v>
      </c>
      <c r="AW25" s="247" t="str">
        <f t="shared" si="9"/>
        <v xml:space="preserve"> </v>
      </c>
      <c r="AX25" s="82" t="str">
        <f t="shared" si="10"/>
        <v xml:space="preserve"> </v>
      </c>
      <c r="AY25" s="252" t="str">
        <f t="shared" si="11"/>
        <v xml:space="preserve"> </v>
      </c>
      <c r="AZ25" s="247">
        <f t="shared" si="17"/>
        <v>0</v>
      </c>
      <c r="BA25" s="82">
        <f t="shared" si="12"/>
        <v>0</v>
      </c>
      <c r="BB25" s="252">
        <f t="shared" si="13"/>
        <v>0</v>
      </c>
      <c r="BC25" s="255">
        <f t="shared" si="14"/>
        <v>0</v>
      </c>
      <c r="BD25" s="7">
        <f t="shared" si="15"/>
        <v>0</v>
      </c>
      <c r="BE25" s="183">
        <f t="shared" si="16"/>
        <v>25.000000249999999</v>
      </c>
      <c r="BF25" s="82">
        <f>IF(AP25="","",SMALL(BE$9:BE$62,ROWS(AZ$9:AZ25)))</f>
        <v>15.969100340000001</v>
      </c>
      <c r="BG25"/>
      <c r="BH25" s="78" t="str">
        <f>IF(OR(AP25="",AZ25=""),"",INDEX($AP$9:$AP$63,MATCH(BF25,$BE$9:BE$62,0)))</f>
        <v>B8</v>
      </c>
      <c r="BI25" s="255">
        <f t="shared" si="0"/>
        <v>3</v>
      </c>
      <c r="BJ25" s="7">
        <f t="shared" si="1"/>
        <v>3</v>
      </c>
      <c r="BK25" s="7">
        <f t="shared" si="2"/>
        <v>9</v>
      </c>
      <c r="BL25" s="17">
        <f>IF(BF25="","",IF(AND(BI24=BI25,BJ24=BJ25,BK24=BK25),BL24,$BL$9+16))</f>
        <v>17</v>
      </c>
      <c r="BM25" s="22"/>
      <c r="BN25" s="3"/>
    </row>
    <row r="26" spans="1:66" ht="21.6" thickBot="1" x14ac:dyDescent="0.35">
      <c r="A26" s="111">
        <v>17</v>
      </c>
      <c r="B26" s="330"/>
      <c r="C26" s="235">
        <f>IF($Q$5&gt;=49,17,0)</f>
        <v>0</v>
      </c>
      <c r="D26" s="330"/>
      <c r="E26" s="235">
        <f>IF($Q$5&gt;=50,17,0)</f>
        <v>0</v>
      </c>
      <c r="F26" s="333"/>
      <c r="G26" s="235">
        <f>IF($Q$5&gt;=51,17,0)</f>
        <v>0</v>
      </c>
      <c r="H26" s="114"/>
      <c r="I26" s="168">
        <v>17</v>
      </c>
      <c r="J26" s="173" t="str">
        <f>IF(ISNA(MATCH(I26,$C$10:$C$27,0)),"",INDEX(B$10:$B$27,MATCH(I26,$C$10:$C$27,0)))</f>
        <v/>
      </c>
      <c r="K26" s="169" t="str">
        <f>IF(ISNA(MATCH(I26,$E$10:$E$27,0)),"",INDEX($D$10:D$27,MATCH(I26,$E$10:$E$27,0)))</f>
        <v/>
      </c>
      <c r="L26" s="174" t="str">
        <f>IF(ISNA(MATCH(I26,$G$10:$G$27,0)),"",INDEX($F$10:F$27,MATCH(I26,$G$10:$G$27,0)))</f>
        <v/>
      </c>
      <c r="M26"/>
      <c r="N26" s="67">
        <v>9</v>
      </c>
      <c r="O26" s="127">
        <f>IF($Q$5=49,J26,IF($Q$5=50,J26,IF($Q$5=51,J26,IF($Q$5=52,J26,IF($Q$5=53,J26,IF($Q$5=54,J26,0))))))</f>
        <v>0</v>
      </c>
      <c r="P26" s="122">
        <f>IF($Q$5=49,L24,IF($Q$5=50,L24,IF($Q$5=51,L25,IF($Q$5=52,K26,IF($Q$5=53,K26,IF($Q$5=54,K26,0))))))</f>
        <v>0</v>
      </c>
      <c r="Q26" s="128">
        <f>IF($Q$5=51,0,IF($Q$5=52,0,IF($Q$5=53,L26,IF($Q$5=54,L26,0))))</f>
        <v>0</v>
      </c>
      <c r="R26" s="140">
        <f>IF($Q$5=43,0,IF($Q$5=44,0,IF($Q$5=45,0,IF($Q$5=46,0,IF($Q$5=47,0,IF($Q$5=48,0,IF($Q$5=49,O10,IF($Q$5=50,O10,IF($Q$5=51,O10,IF($Q$5=52,O27,IF($Q$5=53,O27,IF($Q$5=54,O27,0))))))))))))</f>
        <v>0</v>
      </c>
      <c r="S26" s="132">
        <f>IF($Q$5=43,0,IF($Q$5=44,0,IF($Q$5=45,0,IF($Q$5=46,0,IF($Q$5=47,0,IF($Q$5=48,0,IF($Q$5=49,P26,IF($Q$5=50,Q11,IF($Q$5=51,P27,IF($Q$5=52,P11,IF($Q$5=53,P10,IF($Q$5=54,P10,0))))))))))))</f>
        <v>0</v>
      </c>
      <c r="T26" s="177">
        <f>IF($Q$5=53,Q12,IF($Q$5=54,Q11,0))</f>
        <v>0</v>
      </c>
      <c r="U26" s="180">
        <f>IF($Q$5=43,0,IF($Q$5=44,0,IF($Q$5=45,0,IF($Q$5=46,0,IF($Q$5=47,0,IF($Q$5=48,0,IF($Q$5=49,R10,IF($Q$5=50,R10,IF($Q$5=51,R10,IF($Q$5=52,R27,IF($Q$5=53,R27,IF($Q$5=54,R27,0))))))))))))</f>
        <v>0</v>
      </c>
      <c r="V26" s="138">
        <f>IF($Q$5=43,0,IF($Q$5=44,0,IF($Q$5=45,0,IF($Q$5=46,0,IF($Q$5=47,0,IF($Q$5=48,0,IF($Q$5=49,S27,IF($Q$5=50,T11,IF($Q$5=51,T11,IF($Q$5=52,S11,IF($Q$5=53,S10,IF($Q$5=54,S10,0))))))))))))</f>
        <v>0</v>
      </c>
      <c r="W26" s="145">
        <f>IF($Q$5=43,0,IF($Q$5=44,0,IF($Q$5=45,0,IF($Q$5=46,0,IF($Q$5=47,0,IF($Q$5=48,0,IF($Q$5=49,0,IF($Q$5=50,0,IF($Q$5=51,0,IF($Q$5=52,0,IF($Q$5=53,T12,IF($Q$5=54,T11,0))))))))))))</f>
        <v>0</v>
      </c>
      <c r="X26" s="18"/>
      <c r="Y26" s="20"/>
      <c r="Z26" s="58"/>
      <c r="AA26" s="196"/>
      <c r="AB26" s="58"/>
      <c r="AC26" s="58"/>
      <c r="AD26" s="196"/>
      <c r="AE26" s="58"/>
      <c r="AF26" s="196"/>
      <c r="AG26" s="58"/>
      <c r="AH26" s="58"/>
      <c r="AI26" s="196"/>
      <c r="AJ26" s="58"/>
      <c r="AK26" s="196"/>
      <c r="AL26" s="58"/>
      <c r="AM26" s="58"/>
      <c r="AN26" s="18"/>
      <c r="AO26" s="44">
        <v>18</v>
      </c>
      <c r="AP26" s="278" t="str">
        <f>+Inscrits!B20</f>
        <v>A18</v>
      </c>
      <c r="AQ26" s="247" t="str">
        <f t="shared" si="3"/>
        <v xml:space="preserve"> </v>
      </c>
      <c r="AR26" s="82" t="str">
        <f t="shared" si="4"/>
        <v xml:space="preserve"> </v>
      </c>
      <c r="AS26" s="184" t="str">
        <f t="shared" si="5"/>
        <v xml:space="preserve"> </v>
      </c>
      <c r="AT26" s="250" t="str">
        <f t="shared" si="6"/>
        <v xml:space="preserve"> </v>
      </c>
      <c r="AU26" s="82" t="str">
        <f t="shared" si="7"/>
        <v xml:space="preserve"> </v>
      </c>
      <c r="AV26" s="252" t="str">
        <f t="shared" si="8"/>
        <v xml:space="preserve"> </v>
      </c>
      <c r="AW26" s="247" t="str">
        <f t="shared" si="9"/>
        <v xml:space="preserve"> </v>
      </c>
      <c r="AX26" s="82" t="str">
        <f t="shared" si="10"/>
        <v xml:space="preserve"> </v>
      </c>
      <c r="AY26" s="252" t="str">
        <f t="shared" si="11"/>
        <v xml:space="preserve"> </v>
      </c>
      <c r="AZ26" s="247">
        <f t="shared" si="17"/>
        <v>0</v>
      </c>
      <c r="BA26" s="82">
        <f t="shared" si="12"/>
        <v>0</v>
      </c>
      <c r="BB26" s="252">
        <f t="shared" si="13"/>
        <v>0</v>
      </c>
      <c r="BC26" s="255">
        <f t="shared" si="14"/>
        <v>0</v>
      </c>
      <c r="BD26" s="7">
        <f t="shared" si="15"/>
        <v>0</v>
      </c>
      <c r="BE26" s="183">
        <f t="shared" si="16"/>
        <v>25.00000026</v>
      </c>
      <c r="BF26" s="82">
        <f>IF(AP26="","",SMALL(BE$9:BE$62,ROWS(AZ$9:AZ26)))</f>
        <v>15.96910053</v>
      </c>
      <c r="BG26"/>
      <c r="BH26" s="78" t="str">
        <f>IF(OR(AP26="",AZ26=""),"",INDEX($AP$9:$AP$63,MATCH(BF26,$BE$9:BE$62,0)))</f>
        <v>C9</v>
      </c>
      <c r="BI26" s="255">
        <f t="shared" si="0"/>
        <v>3</v>
      </c>
      <c r="BJ26" s="7">
        <f t="shared" si="1"/>
        <v>3</v>
      </c>
      <c r="BK26" s="7">
        <f t="shared" si="2"/>
        <v>9</v>
      </c>
      <c r="BL26" s="17">
        <f>IF(BF26="","",IF(AND(BI25=BI26,BJ25=BJ26,BK25=BK26),BL25,$BL$9+17))</f>
        <v>17</v>
      </c>
      <c r="BM26" s="22"/>
      <c r="BN26" s="3"/>
    </row>
    <row r="27" spans="1:66" ht="21.6" thickBot="1" x14ac:dyDescent="0.35">
      <c r="A27" s="166">
        <v>18</v>
      </c>
      <c r="B27" s="331"/>
      <c r="C27" s="238">
        <f>IF($Q$5&gt;=52,18,0)</f>
        <v>0</v>
      </c>
      <c r="D27" s="331"/>
      <c r="E27" s="238">
        <f>IF($Q$5&gt;=53,18,0)</f>
        <v>0</v>
      </c>
      <c r="F27" s="334"/>
      <c r="G27" s="238">
        <f>IF($Q$5&gt;=54,18,0)</f>
        <v>0</v>
      </c>
      <c r="H27" s="114"/>
      <c r="I27" s="167">
        <v>18</v>
      </c>
      <c r="J27" s="175" t="str">
        <f>IF(ISNA(MATCH(I27,$C$10:$C$27,0)),"",INDEX(B$10:$B$27,MATCH(I27,$C$10:$C$27,0)))</f>
        <v/>
      </c>
      <c r="K27" s="161" t="str">
        <f>IF(ISNA(MATCH(I27,$E$10:$E$27,0)),"",INDEX($D$10:D$27,MATCH(I27,$E$10:$E$27,0)))</f>
        <v/>
      </c>
      <c r="L27" s="162" t="str">
        <f>IF(ISNA(MATCH(I27,$G$10:$G$27,0)),"",INDEX($F$10:F$27,MATCH(I27,$G$10:$G$27,0)))</f>
        <v/>
      </c>
      <c r="M27"/>
      <c r="N27" s="42" t="s">
        <v>5</v>
      </c>
      <c r="O27" s="121">
        <f>IF($Q$5=49,K25,IF($Q$5=50,K26,IF($Q$5=51,K26,IF($Q$5=52,J27,IF($Q$5=53,J27,IF($Q$5=54,J27,0))))))</f>
        <v>0</v>
      </c>
      <c r="P27" s="126">
        <f>IF($Q$5=49,L23,IF($Q$5=50,L25,IF($Q$5=51,L26,IF($Q$5=52,L26,IF($Q$5=53,K27,IF($Q$5=54,K27,0))))))</f>
        <v>0</v>
      </c>
      <c r="Q27" s="176">
        <f>IF($Q$5=54,L27,0)</f>
        <v>0</v>
      </c>
      <c r="R27" s="178">
        <f>IF($Q$5=43,0,IF($Q$5=44,0,IF($Q$5=45,0,IF($Q$5=46,0,IF($Q$5=47,0,IF($Q$5=48,0,IF($Q$5=49,O27,IF($Q$5=50,O27,IF($Q$5=51,O27,IF($Q$5=52,O10,IF($Q$5=53,O10,IF($Q$5=54,O10,0))))))))))))</f>
        <v>0</v>
      </c>
      <c r="S27" s="126">
        <f>IF($Q$5=43,0,IF($Q$5=44,0,IF($Q$5=45,0,IF($Q$5=46,0,IF($Q$5=47,0,IF($Q$5=48,0,IF($Q$5=49,P25,IF($Q$5=50,Q12,IF($Q$5=51,P26,IF($Q$5=52,P27,IF($Q$5=53,P11,IF($Q$5=54,P11,0))))))))))))</f>
        <v>0</v>
      </c>
      <c r="T27" s="179">
        <f>IF($Q$5=54,Q12,0)</f>
        <v>0</v>
      </c>
      <c r="U27" s="181">
        <f>IF($Q$5=43,0,IF($Q$5=44,0,IF($Q$5=45,0,IF($Q$5=46,0,IF($Q$5=47,0,IF($Q$5=48,0,IF($Q$5=49,R27,IF($Q$5=50,R27,IF($Q$5=51,R27,IF($Q$5=52,R10,IF($Q$5=53,R10,IF($Q$5=54,R10,0))))))))))))</f>
        <v>0</v>
      </c>
      <c r="V27" s="148">
        <f>IF($Q$5=43,0,IF($Q$5=44,0,IF($Q$5=45,0,IF($Q$5=46,0,IF($Q$5=47,0,IF($Q$5=48,0,IF($Q$5=49,S26,IF($Q$5=50,T12,IF($Q$5=51,T12,IF($Q$5=52,T12,IF($Q$5=53,S11,IF($Q$5=54,S11,0))))))))))))</f>
        <v>0</v>
      </c>
      <c r="W27" s="149">
        <f>IF($Q$5=43,0,IF($Q$5=44,0,IF($Q$5=45,0,IF($Q$5=46,0,IF($Q$5=47,0,IF($Q$5=48,0,IF($Q$5=49,0,IF($Q$5=50,0,IF($Q$5=51,0,IF($Q$5=52,0,IF($Q$5=53,0,IF($Q$5=54,T12,0))))))))))))</f>
        <v>0</v>
      </c>
      <c r="X27" s="18"/>
      <c r="Y27" s="382">
        <v>3</v>
      </c>
      <c r="Z27" s="9" t="str">
        <f>+O14</f>
        <v>A5</v>
      </c>
      <c r="AA27" s="25">
        <v>13</v>
      </c>
      <c r="AB27" s="38">
        <f>IF(AA27+AA31=0,0,IF(AA27=AA31,2,IF(AA27&gt;AA31,3,1)))</f>
        <v>3</v>
      </c>
      <c r="AC27" s="10">
        <f>AA27-AA31</f>
        <v>12</v>
      </c>
      <c r="AD27" s="19"/>
      <c r="AE27" s="9" t="str">
        <f>+R14</f>
        <v>A6</v>
      </c>
      <c r="AF27" s="107">
        <v>7</v>
      </c>
      <c r="AG27" s="38">
        <f>IF(AF27+AF31=0,0,IF(AF27=AF31,2,IF(AF27&gt;AF31,3,1)))</f>
        <v>1</v>
      </c>
      <c r="AH27" s="10">
        <f>AF27-AF31</f>
        <v>-1</v>
      </c>
      <c r="AI27" s="19"/>
      <c r="AJ27" s="9" t="str">
        <f>+U14</f>
        <v>A2</v>
      </c>
      <c r="AK27" s="28">
        <v>6</v>
      </c>
      <c r="AL27" s="38">
        <f>IF(AK27+AK31=0,0,IF(AK27=AK31,2,IF(AK27&gt;AK31,3,1)))</f>
        <v>1</v>
      </c>
      <c r="AM27" s="10">
        <f>AK27-AK31</f>
        <v>-3</v>
      </c>
      <c r="AN27" s="18"/>
      <c r="AO27" s="44">
        <v>19</v>
      </c>
      <c r="AP27" s="279" t="str">
        <f>+Inscrits!D3</f>
        <v>B1</v>
      </c>
      <c r="AQ27" s="247">
        <f t="shared" si="3"/>
        <v>1</v>
      </c>
      <c r="AR27" s="82">
        <f t="shared" si="4"/>
        <v>-2</v>
      </c>
      <c r="AS27" s="184">
        <f t="shared" si="5"/>
        <v>8</v>
      </c>
      <c r="AT27" s="250" t="str">
        <f t="shared" si="6"/>
        <v>0</v>
      </c>
      <c r="AU27" s="82" t="str">
        <f t="shared" si="7"/>
        <v>0</v>
      </c>
      <c r="AV27" s="252" t="str">
        <f t="shared" si="8"/>
        <v>0</v>
      </c>
      <c r="AW27" s="247" t="str">
        <f t="shared" si="9"/>
        <v>0</v>
      </c>
      <c r="AX27" s="82" t="str">
        <f t="shared" si="10"/>
        <v>0</v>
      </c>
      <c r="AY27" s="252" t="str">
        <f t="shared" si="11"/>
        <v>0</v>
      </c>
      <c r="AZ27" s="247">
        <f t="shared" si="17"/>
        <v>1</v>
      </c>
      <c r="BA27" s="82">
        <f t="shared" si="12"/>
        <v>-2</v>
      </c>
      <c r="BB27" s="252">
        <f t="shared" si="13"/>
        <v>8</v>
      </c>
      <c r="BC27" s="255">
        <f t="shared" si="14"/>
        <v>-2</v>
      </c>
      <c r="BD27" s="7">
        <f t="shared" si="15"/>
        <v>0</v>
      </c>
      <c r="BE27" s="183">
        <f t="shared" si="16"/>
        <v>23.019200269999999</v>
      </c>
      <c r="BF27" s="82">
        <f>IF(AP27="","",SMALL(BE$9:BE$62,ROWS(AZ$9:AZ27)))</f>
        <v>16.178700320000001</v>
      </c>
      <c r="BG27"/>
      <c r="BH27" s="78" t="str">
        <f>IF(OR(AP27="",AZ27=""),"",INDEX($AP$9:$AP$63,MATCH(BF27,$BE$9:BE$62,0)))</f>
        <v>B6</v>
      </c>
      <c r="BI27" s="255">
        <f t="shared" si="0"/>
        <v>3</v>
      </c>
      <c r="BJ27" s="7">
        <f t="shared" si="1"/>
        <v>-18</v>
      </c>
      <c r="BK27" s="7">
        <f t="shared" si="2"/>
        <v>13</v>
      </c>
      <c r="BL27" s="17">
        <f>IF(BF27="","",IF(AND(BI26=BI27,BJ26=BJ27,BK26=BK27),BL26,$BL$9+18))</f>
        <v>19</v>
      </c>
      <c r="BM27" s="22"/>
      <c r="BN27" s="3"/>
    </row>
    <row r="28" spans="1:66" ht="16.2" thickBot="1" x14ac:dyDescent="0.3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0"/>
      <c r="P28" s="18"/>
      <c r="Q28" s="18"/>
      <c r="R28" s="18"/>
      <c r="S28" s="18"/>
      <c r="T28" s="18"/>
      <c r="U28" s="22"/>
      <c r="V28" s="18"/>
      <c r="W28" s="18"/>
      <c r="X28" s="18"/>
      <c r="Y28" s="383"/>
      <c r="Z28" s="11" t="str">
        <f>+P14</f>
        <v>B5</v>
      </c>
      <c r="AA28" s="14">
        <f>IF(ISTEXT(Z28),AA27,0)</f>
        <v>13</v>
      </c>
      <c r="AB28" s="14">
        <f>IF(ISTEXT(Z28),AB27,0)</f>
        <v>3</v>
      </c>
      <c r="AC28" s="15">
        <f>IF(ISTEXT(Z28),AC27,0)</f>
        <v>12</v>
      </c>
      <c r="AD28" s="6"/>
      <c r="AE28" s="11" t="str">
        <f>+S14</f>
        <v>B6</v>
      </c>
      <c r="AF28" s="14">
        <f>IF(ISTEXT(AE28),AF27,0)</f>
        <v>7</v>
      </c>
      <c r="AG28" s="48">
        <f>IF(ISTEXT(AE28),AG27,0)</f>
        <v>1</v>
      </c>
      <c r="AH28" s="15">
        <f>IF(ISTEXT(AE28),AH27,0)</f>
        <v>-1</v>
      </c>
      <c r="AI28" s="6"/>
      <c r="AJ28" s="11" t="str">
        <f>+V14</f>
        <v>B7</v>
      </c>
      <c r="AK28" s="14">
        <f>IF(ISTEXT(AJ28),AK27,0)</f>
        <v>6</v>
      </c>
      <c r="AL28" s="48">
        <f>IF(ISTEXT(AJ28),AL27,0)</f>
        <v>1</v>
      </c>
      <c r="AM28" s="15">
        <f>IF(ISTEXT(AJ28),AM27,0)</f>
        <v>-3</v>
      </c>
      <c r="AN28" s="18"/>
      <c r="AO28" s="44">
        <v>20</v>
      </c>
      <c r="AP28" s="279" t="str">
        <f>+Inscrits!D4</f>
        <v>B2</v>
      </c>
      <c r="AQ28" s="247">
        <f t="shared" si="3"/>
        <v>3</v>
      </c>
      <c r="AR28" s="82">
        <f t="shared" si="4"/>
        <v>2</v>
      </c>
      <c r="AS28" s="184">
        <f t="shared" si="5"/>
        <v>10</v>
      </c>
      <c r="AT28" s="250">
        <f t="shared" si="6"/>
        <v>3</v>
      </c>
      <c r="AU28" s="82">
        <f t="shared" si="7"/>
        <v>2</v>
      </c>
      <c r="AV28" s="252">
        <f t="shared" si="8"/>
        <v>6</v>
      </c>
      <c r="AW28" s="247" t="str">
        <f t="shared" si="9"/>
        <v>0</v>
      </c>
      <c r="AX28" s="82" t="str">
        <f t="shared" si="10"/>
        <v>0</v>
      </c>
      <c r="AY28" s="252" t="str">
        <f t="shared" si="11"/>
        <v>0</v>
      </c>
      <c r="AZ28" s="247">
        <f t="shared" si="17"/>
        <v>6</v>
      </c>
      <c r="BA28" s="82">
        <f t="shared" si="12"/>
        <v>4</v>
      </c>
      <c r="BB28" s="252">
        <f t="shared" si="13"/>
        <v>16</v>
      </c>
      <c r="BC28" s="255">
        <f t="shared" si="14"/>
        <v>0</v>
      </c>
      <c r="BD28" s="7">
        <f t="shared" si="15"/>
        <v>4</v>
      </c>
      <c r="BE28" s="183">
        <f t="shared" si="16"/>
        <v>6.9584002800000002</v>
      </c>
      <c r="BF28" s="82">
        <f>IF(AP28="","",SMALL(BE$9:BE$62,ROWS(AZ$9:AZ28)))</f>
        <v>16.2493005</v>
      </c>
      <c r="BG28"/>
      <c r="BH28" s="78" t="str">
        <f>IF(OR(AP28="",AZ28=""),"",INDEX($AP$9:$AP$63,MATCH(BF28,$BE$9:BE$62,0)))</f>
        <v>C6</v>
      </c>
      <c r="BI28" s="255">
        <f t="shared" si="0"/>
        <v>3</v>
      </c>
      <c r="BJ28" s="7">
        <f t="shared" si="1"/>
        <v>-25</v>
      </c>
      <c r="BK28" s="7">
        <f t="shared" si="2"/>
        <v>7</v>
      </c>
      <c r="BL28" s="17">
        <f>IF(BF28="","",IF(AND(BI27=BI28,BJ27=BJ28,BK27=BK28),BL27,$BL$9+19))</f>
        <v>20</v>
      </c>
      <c r="BM28" s="22"/>
      <c r="BN28" s="3"/>
    </row>
    <row r="29" spans="1:66" ht="15.6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P29" s="18"/>
      <c r="Q29" s="18"/>
      <c r="R29" s="18"/>
      <c r="S29" s="18"/>
      <c r="T29" s="18"/>
      <c r="U29" s="22"/>
      <c r="V29" s="18"/>
      <c r="W29" s="18"/>
      <c r="X29" s="18"/>
      <c r="Y29" s="383"/>
      <c r="Z29" s="11" t="str">
        <f>+Q14</f>
        <v>C5</v>
      </c>
      <c r="AA29" s="55">
        <f>IF(ISTEXT(Z29),AA27,0)</f>
        <v>13</v>
      </c>
      <c r="AB29" s="55">
        <f>IF(ISTEXT(Z29),AB27,0)</f>
        <v>3</v>
      </c>
      <c r="AC29" s="56">
        <f>IF(ISTEXT(Z29),AC27,0)</f>
        <v>12</v>
      </c>
      <c r="AD29" s="6"/>
      <c r="AE29" s="11" t="str">
        <f>+T14</f>
        <v>C2</v>
      </c>
      <c r="AF29" s="55">
        <f>IF(ISTEXT(AE29),AF27,0)</f>
        <v>7</v>
      </c>
      <c r="AG29" s="52">
        <f>IF(ISTEXT(AE29),AG27,0)</f>
        <v>1</v>
      </c>
      <c r="AH29" s="56">
        <f>IF(ISTEXT(AE29),AH27,0)</f>
        <v>-1</v>
      </c>
      <c r="AI29" s="6"/>
      <c r="AJ29" s="11" t="str">
        <f>+W14</f>
        <v>C8</v>
      </c>
      <c r="AK29" s="55">
        <f>IF(ISTEXT(AJ29),AK27,0)</f>
        <v>6</v>
      </c>
      <c r="AL29" s="52">
        <f>IF(ISTEXT(AJ29),AL27,0)</f>
        <v>1</v>
      </c>
      <c r="AM29" s="56">
        <f>IF(ISTEXT(AJ29),AM27,0)</f>
        <v>-3</v>
      </c>
      <c r="AN29" s="18"/>
      <c r="AO29" s="44">
        <v>21</v>
      </c>
      <c r="AP29" s="279" t="str">
        <f>+Inscrits!D5</f>
        <v>B3</v>
      </c>
      <c r="AQ29" s="247">
        <f t="shared" si="3"/>
        <v>1</v>
      </c>
      <c r="AR29" s="82">
        <f t="shared" si="4"/>
        <v>-3</v>
      </c>
      <c r="AS29" s="184">
        <f t="shared" si="5"/>
        <v>8</v>
      </c>
      <c r="AT29" s="250">
        <f t="shared" si="6"/>
        <v>1</v>
      </c>
      <c r="AU29" s="82">
        <f t="shared" si="7"/>
        <v>-2</v>
      </c>
      <c r="AV29" s="252">
        <f t="shared" si="8"/>
        <v>4</v>
      </c>
      <c r="AW29" s="247">
        <f t="shared" si="9"/>
        <v>3</v>
      </c>
      <c r="AX29" s="82">
        <f t="shared" si="10"/>
        <v>11</v>
      </c>
      <c r="AY29" s="252">
        <f t="shared" si="11"/>
        <v>13</v>
      </c>
      <c r="AZ29" s="247">
        <f t="shared" si="17"/>
        <v>5</v>
      </c>
      <c r="BA29" s="82">
        <f t="shared" si="12"/>
        <v>6</v>
      </c>
      <c r="BB29" s="252">
        <f t="shared" si="13"/>
        <v>25</v>
      </c>
      <c r="BC29" s="255">
        <f t="shared" si="14"/>
        <v>0</v>
      </c>
      <c r="BD29" s="7">
        <f t="shared" si="15"/>
        <v>6</v>
      </c>
      <c r="BE29" s="183">
        <f t="shared" si="16"/>
        <v>8.9375002899999991</v>
      </c>
      <c r="BF29" s="82">
        <f>IF(AP29="","",SMALL(BE$9:BE$62,ROWS(AZ$9:AZ29)))</f>
        <v>21.06870047</v>
      </c>
      <c r="BG29"/>
      <c r="BH29" s="78" t="str">
        <f>IF(OR(AP29="",AZ29=""),"",INDEX($AP$9:$AP$63,MATCH(BF29,$BE$9:BE$62,0)))</f>
        <v>C3</v>
      </c>
      <c r="BI29" s="255">
        <f t="shared" si="0"/>
        <v>2</v>
      </c>
      <c r="BJ29" s="7">
        <f t="shared" si="1"/>
        <v>-7</v>
      </c>
      <c r="BK29" s="7">
        <f t="shared" si="2"/>
        <v>13</v>
      </c>
      <c r="BL29" s="17">
        <f>IF(BF29="","",IF(AND(BI28=BI29,BJ28=BJ29,BK28=BK29),BL28,$BL$9+20))</f>
        <v>21</v>
      </c>
      <c r="BM29" s="22"/>
      <c r="BN29" s="3"/>
    </row>
    <row r="30" spans="1:66" ht="15.6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P30" s="18"/>
      <c r="Q30" s="18"/>
      <c r="R30" s="18"/>
      <c r="S30" s="18"/>
      <c r="T30" s="18"/>
      <c r="U30" s="22"/>
      <c r="V30" s="18"/>
      <c r="W30" s="18"/>
      <c r="X30" s="18"/>
      <c r="Y30" s="383"/>
      <c r="Z30" s="24"/>
      <c r="AA30" s="195" t="s">
        <v>5</v>
      </c>
      <c r="AB30" s="16"/>
      <c r="AC30" s="17"/>
      <c r="AD30" s="20"/>
      <c r="AE30" s="24"/>
      <c r="AF30" s="195" t="s">
        <v>5</v>
      </c>
      <c r="AG30" s="16"/>
      <c r="AH30" s="17"/>
      <c r="AI30" s="20"/>
      <c r="AJ30" s="24"/>
      <c r="AK30" s="195" t="s">
        <v>5</v>
      </c>
      <c r="AL30" s="16"/>
      <c r="AM30" s="17"/>
      <c r="AN30" s="18"/>
      <c r="AO30" s="44">
        <v>22</v>
      </c>
      <c r="AP30" s="279" t="str">
        <f>+Inscrits!D6</f>
        <v>B4</v>
      </c>
      <c r="AQ30" s="247">
        <f t="shared" si="3"/>
        <v>3</v>
      </c>
      <c r="AR30" s="82">
        <f t="shared" si="4"/>
        <v>3</v>
      </c>
      <c r="AS30" s="184">
        <f t="shared" si="5"/>
        <v>11</v>
      </c>
      <c r="AT30" s="250">
        <f t="shared" si="6"/>
        <v>1</v>
      </c>
      <c r="AU30" s="82">
        <f t="shared" si="7"/>
        <v>-4</v>
      </c>
      <c r="AV30" s="252">
        <f t="shared" si="8"/>
        <v>5</v>
      </c>
      <c r="AW30" s="247">
        <f t="shared" si="9"/>
        <v>3</v>
      </c>
      <c r="AX30" s="82">
        <f t="shared" si="10"/>
        <v>5</v>
      </c>
      <c r="AY30" s="252">
        <f t="shared" si="11"/>
        <v>10</v>
      </c>
      <c r="AZ30" s="247">
        <f t="shared" si="17"/>
        <v>7</v>
      </c>
      <c r="BA30" s="82">
        <f t="shared" si="12"/>
        <v>4</v>
      </c>
      <c r="BB30" s="252">
        <f t="shared" si="13"/>
        <v>26</v>
      </c>
      <c r="BC30" s="255">
        <f t="shared" si="14"/>
        <v>0</v>
      </c>
      <c r="BD30" s="7">
        <f t="shared" si="15"/>
        <v>4</v>
      </c>
      <c r="BE30" s="183">
        <f t="shared" si="16"/>
        <v>1.9574003</v>
      </c>
      <c r="BF30" s="82">
        <f>IF(AP30="","",SMALL(BE$9:BE$62,ROWS(AZ$9:AZ30)))</f>
        <v>21.129200139999998</v>
      </c>
      <c r="BG30"/>
      <c r="BH30" s="78" t="str">
        <f>IF(OR(AP30="",AZ30=""),"",INDEX($AP$9:$AP$63,MATCH(BF30,$BE$9:BE$62,0)))</f>
        <v>A6</v>
      </c>
      <c r="BI30" s="255">
        <f t="shared" si="0"/>
        <v>2</v>
      </c>
      <c r="BJ30" s="7">
        <f t="shared" si="1"/>
        <v>-13</v>
      </c>
      <c r="BK30" s="7">
        <f t="shared" si="2"/>
        <v>8</v>
      </c>
      <c r="BL30" s="17">
        <f>IF(BF30="","",IF(AND(BI29=BI30,BJ29=BJ30,BK29=BK30),BL29,$BL$9+21))</f>
        <v>22</v>
      </c>
      <c r="BM30" s="22"/>
      <c r="BN30" s="3"/>
    </row>
    <row r="31" spans="1:66" ht="15.6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P31" s="18"/>
      <c r="Q31" s="18"/>
      <c r="R31" s="18"/>
      <c r="S31" s="18"/>
      <c r="T31" s="18"/>
      <c r="U31" s="18"/>
      <c r="V31" s="18"/>
      <c r="W31" s="18"/>
      <c r="X31" s="18"/>
      <c r="Y31" s="383"/>
      <c r="Z31" s="11" t="str">
        <f>+O15</f>
        <v>A6</v>
      </c>
      <c r="AA31" s="27">
        <v>1</v>
      </c>
      <c r="AB31" s="23">
        <f>IF(AA27+AA31=0,0,IF(AA27=AA31,2,IF(AA27&lt;AA31,3,1)))</f>
        <v>1</v>
      </c>
      <c r="AC31" s="12">
        <f>AA31-AA27</f>
        <v>-12</v>
      </c>
      <c r="AD31" s="19"/>
      <c r="AE31" s="11" t="str">
        <f>+R15</f>
        <v>A7</v>
      </c>
      <c r="AF31" s="108">
        <v>8</v>
      </c>
      <c r="AG31" s="23">
        <f>IF(AF27+AF31=0,0,IF(AF27=AF31,2,IF(AF27&lt;AF31,3,1)))</f>
        <v>3</v>
      </c>
      <c r="AH31" s="12">
        <f>AF31-AF27</f>
        <v>1</v>
      </c>
      <c r="AI31" s="19"/>
      <c r="AJ31" s="11" t="str">
        <f>+U15</f>
        <v>A7</v>
      </c>
      <c r="AK31" s="29">
        <v>9</v>
      </c>
      <c r="AL31" s="23">
        <f>IF(AK27+AK31=0,0,IF(AK27=AK31,2,IF(AK27&lt;AK31,3,1)))</f>
        <v>3</v>
      </c>
      <c r="AM31" s="12">
        <f>AK31-AK27</f>
        <v>3</v>
      </c>
      <c r="AN31" s="18"/>
      <c r="AO31" s="44">
        <v>23</v>
      </c>
      <c r="AP31" s="279" t="str">
        <f>+Inscrits!D7</f>
        <v>B5</v>
      </c>
      <c r="AQ31" s="247">
        <f t="shared" si="3"/>
        <v>3</v>
      </c>
      <c r="AR31" s="82">
        <f t="shared" si="4"/>
        <v>12</v>
      </c>
      <c r="AS31" s="184">
        <f t="shared" si="5"/>
        <v>13</v>
      </c>
      <c r="AT31" s="250">
        <f t="shared" si="6"/>
        <v>3</v>
      </c>
      <c r="AU31" s="82">
        <f t="shared" si="7"/>
        <v>4</v>
      </c>
      <c r="AV31" s="252">
        <f t="shared" si="8"/>
        <v>9</v>
      </c>
      <c r="AW31" s="247">
        <f t="shared" si="9"/>
        <v>1</v>
      </c>
      <c r="AX31" s="82">
        <f t="shared" si="10"/>
        <v>-11</v>
      </c>
      <c r="AY31" s="252">
        <f t="shared" si="11"/>
        <v>2</v>
      </c>
      <c r="AZ31" s="247">
        <f t="shared" si="17"/>
        <v>7</v>
      </c>
      <c r="BA31" s="82">
        <f t="shared" si="12"/>
        <v>5</v>
      </c>
      <c r="BB31" s="252">
        <f t="shared" si="13"/>
        <v>24</v>
      </c>
      <c r="BC31" s="255">
        <f t="shared" si="14"/>
        <v>0</v>
      </c>
      <c r="BD31" s="7">
        <f t="shared" si="15"/>
        <v>5</v>
      </c>
      <c r="BE31" s="183">
        <f t="shared" si="16"/>
        <v>1.9476003099999999</v>
      </c>
      <c r="BF31" s="82">
        <f>IF(AP31="","",SMALL(BE$9:BE$62,ROWS(AZ$9:AZ31)))</f>
        <v>23.019200269999999</v>
      </c>
      <c r="BG31"/>
      <c r="BH31" s="78" t="str">
        <f>IF(OR(AP31="",AZ31=""),"",INDEX($AP$9:$AP$63,MATCH(BF31,$BE$9:BE$62,0)))</f>
        <v>B1</v>
      </c>
      <c r="BI31" s="255">
        <f t="shared" si="0"/>
        <v>1</v>
      </c>
      <c r="BJ31" s="7">
        <f t="shared" si="1"/>
        <v>-2</v>
      </c>
      <c r="BK31" s="7">
        <f t="shared" si="2"/>
        <v>8</v>
      </c>
      <c r="BL31" s="17">
        <f>IF(BF31="","",IF(AND(BI30=BI31,BJ30=BJ31,BK30=BK31),BL30,$BL$9+22))</f>
        <v>23</v>
      </c>
      <c r="BM31" s="22"/>
      <c r="BN31" s="3"/>
    </row>
    <row r="32" spans="1:66" ht="16.2" thickBot="1" x14ac:dyDescent="0.3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P32" s="18"/>
      <c r="Q32" s="18"/>
      <c r="R32" s="18"/>
      <c r="S32" s="18"/>
      <c r="T32" s="18"/>
      <c r="U32" s="18"/>
      <c r="V32" s="18"/>
      <c r="W32" s="18"/>
      <c r="X32" s="18"/>
      <c r="Y32" s="383"/>
      <c r="Z32" s="11" t="str">
        <f>+P15</f>
        <v>B6</v>
      </c>
      <c r="AA32" s="14">
        <f>IF(ISTEXT(Z32),AA31,0)</f>
        <v>1</v>
      </c>
      <c r="AB32" s="14">
        <f>IF(ISTEXT(Z32),AB31,0)</f>
        <v>1</v>
      </c>
      <c r="AC32" s="15">
        <f>IF(ISTEXT(Z32),AC31,0)</f>
        <v>-12</v>
      </c>
      <c r="AD32" s="6"/>
      <c r="AE32" s="11" t="str">
        <f>+S15</f>
        <v>B7</v>
      </c>
      <c r="AF32" s="14">
        <f>IF(ISTEXT(AE32),AF31,0)</f>
        <v>8</v>
      </c>
      <c r="AG32" s="14">
        <f>IF(ISTEXT(AE32),AG31,0)</f>
        <v>3</v>
      </c>
      <c r="AH32" s="15">
        <f>IF(ISTEXT(AE32),AH31,0)</f>
        <v>1</v>
      </c>
      <c r="AI32" s="6"/>
      <c r="AJ32" s="11" t="str">
        <f>+V15</f>
        <v>B8</v>
      </c>
      <c r="AK32" s="14">
        <f>IF(ISTEXT(AJ32),AK31,0)</f>
        <v>9</v>
      </c>
      <c r="AL32" s="14">
        <f>IF(ISTEXT(AJ32),AL31,0)</f>
        <v>3</v>
      </c>
      <c r="AM32" s="15">
        <f>IF(ISTEXT(AJ32),AM31,0)</f>
        <v>3</v>
      </c>
      <c r="AN32" s="18"/>
      <c r="AO32" s="44">
        <v>24</v>
      </c>
      <c r="AP32" s="279" t="str">
        <f>+Inscrits!D8</f>
        <v>B6</v>
      </c>
      <c r="AQ32" s="247">
        <f t="shared" si="3"/>
        <v>1</v>
      </c>
      <c r="AR32" s="82">
        <f t="shared" si="4"/>
        <v>-12</v>
      </c>
      <c r="AS32" s="184">
        <f t="shared" si="5"/>
        <v>1</v>
      </c>
      <c r="AT32" s="250">
        <f t="shared" si="6"/>
        <v>1</v>
      </c>
      <c r="AU32" s="82">
        <f t="shared" si="7"/>
        <v>-1</v>
      </c>
      <c r="AV32" s="252">
        <f t="shared" si="8"/>
        <v>7</v>
      </c>
      <c r="AW32" s="247">
        <f t="shared" si="9"/>
        <v>1</v>
      </c>
      <c r="AX32" s="82">
        <f t="shared" si="10"/>
        <v>-5</v>
      </c>
      <c r="AY32" s="252">
        <f t="shared" si="11"/>
        <v>5</v>
      </c>
      <c r="AZ32" s="247">
        <f t="shared" si="17"/>
        <v>3</v>
      </c>
      <c r="BA32" s="82">
        <f t="shared" si="12"/>
        <v>-18</v>
      </c>
      <c r="BB32" s="252">
        <f t="shared" si="13"/>
        <v>13</v>
      </c>
      <c r="BC32" s="255">
        <f t="shared" si="14"/>
        <v>-18</v>
      </c>
      <c r="BD32" s="7">
        <f t="shared" si="15"/>
        <v>0</v>
      </c>
      <c r="BE32" s="183">
        <f t="shared" si="16"/>
        <v>16.178700320000001</v>
      </c>
      <c r="BF32" s="82">
        <f>IF(AP32="","",SMALL(BE$9:BE$62,ROWS(AZ$9:AZ32)))</f>
        <v>23.029400520000003</v>
      </c>
      <c r="BG32"/>
      <c r="BH32" s="78" t="str">
        <f>IF(OR(AP32="",AZ32=""),"",INDEX($AP$9:$AP$63,MATCH(BF32,$BE$9:BE$62,0)))</f>
        <v>C8</v>
      </c>
      <c r="BI32" s="255">
        <f t="shared" si="0"/>
        <v>1</v>
      </c>
      <c r="BJ32" s="7">
        <f t="shared" si="1"/>
        <v>-3</v>
      </c>
      <c r="BK32" s="7">
        <f t="shared" si="2"/>
        <v>6</v>
      </c>
      <c r="BL32" s="17">
        <f>IF(BF32="","",IF(AND(BI31=BI32,BJ31=BJ32,BK31=BK32),BL31,$BL$9+23))</f>
        <v>24</v>
      </c>
      <c r="BM32" s="22"/>
      <c r="BN32" s="3"/>
    </row>
    <row r="33" spans="1:66" ht="16.2" thickBot="1" x14ac:dyDescent="0.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P33" s="18"/>
      <c r="Q33" s="18"/>
      <c r="R33" s="18"/>
      <c r="S33" s="18"/>
      <c r="T33" s="18"/>
      <c r="U33" s="18"/>
      <c r="V33" s="18"/>
      <c r="W33" s="18"/>
      <c r="X33" s="18"/>
      <c r="Y33" s="384"/>
      <c r="Z33" s="13" t="str">
        <f>+Q15</f>
        <v>C6</v>
      </c>
      <c r="AA33" s="14">
        <f>IF(ISTEXT(Z33),AA31,0)</f>
        <v>1</v>
      </c>
      <c r="AB33" s="14">
        <f>IF(ISTEXT(Z33),AB31,0)</f>
        <v>1</v>
      </c>
      <c r="AC33" s="15">
        <f>IF(ISTEXT(Z33),AC31,0)</f>
        <v>-12</v>
      </c>
      <c r="AD33" s="6"/>
      <c r="AE33" s="13" t="str">
        <f>+T15</f>
        <v>C7</v>
      </c>
      <c r="AF33" s="14">
        <f>IF(ISTEXT(AE33),AF31,0)</f>
        <v>8</v>
      </c>
      <c r="AG33" s="14">
        <f>IF(ISTEXT(AE33),AG31,0)</f>
        <v>3</v>
      </c>
      <c r="AH33" s="15">
        <f>IF(ISTEXT(AE33),AH31,0)</f>
        <v>1</v>
      </c>
      <c r="AI33" s="6"/>
      <c r="AJ33" s="13" t="str">
        <f>+W15</f>
        <v>C9</v>
      </c>
      <c r="AK33" s="14">
        <f>IF(ISTEXT(AJ33),AK31,0)</f>
        <v>9</v>
      </c>
      <c r="AL33" s="14">
        <f>IF(ISTEXT(AJ33),AL31,0)</f>
        <v>3</v>
      </c>
      <c r="AM33" s="15">
        <f>IF(ISTEXT(AJ33),AM31,0)</f>
        <v>3</v>
      </c>
      <c r="AN33" s="18"/>
      <c r="AO33" s="44">
        <v>25</v>
      </c>
      <c r="AP33" s="279" t="str">
        <f>+Inscrits!D9</f>
        <v>B7</v>
      </c>
      <c r="AQ33" s="247" t="str">
        <f t="shared" si="3"/>
        <v>0</v>
      </c>
      <c r="AR33" s="82" t="str">
        <f t="shared" si="4"/>
        <v>0</v>
      </c>
      <c r="AS33" s="184" t="str">
        <f t="shared" si="5"/>
        <v>0</v>
      </c>
      <c r="AT33" s="250">
        <f t="shared" si="6"/>
        <v>3</v>
      </c>
      <c r="AU33" s="82">
        <f t="shared" si="7"/>
        <v>1</v>
      </c>
      <c r="AV33" s="252">
        <f t="shared" si="8"/>
        <v>8</v>
      </c>
      <c r="AW33" s="247">
        <f t="shared" si="9"/>
        <v>1</v>
      </c>
      <c r="AX33" s="82">
        <f t="shared" si="10"/>
        <v>-3</v>
      </c>
      <c r="AY33" s="252">
        <f t="shared" si="11"/>
        <v>6</v>
      </c>
      <c r="AZ33" s="247">
        <f t="shared" si="17"/>
        <v>4</v>
      </c>
      <c r="BA33" s="82">
        <f t="shared" si="12"/>
        <v>-2</v>
      </c>
      <c r="BB33" s="252">
        <f t="shared" si="13"/>
        <v>14</v>
      </c>
      <c r="BC33" s="255">
        <f t="shared" si="14"/>
        <v>-2</v>
      </c>
      <c r="BD33" s="7">
        <f t="shared" si="15"/>
        <v>0</v>
      </c>
      <c r="BE33" s="183">
        <f t="shared" si="16"/>
        <v>12.01860033</v>
      </c>
      <c r="BF33" s="82">
        <f>IF(AP33="","",SMALL(BE$9:BE$62,ROWS(AZ$9:AZ33)))</f>
        <v>25.000000159999999</v>
      </c>
      <c r="BG33"/>
      <c r="BH33" s="78" t="str">
        <f>IF(OR(AP33="",AZ33=""),"",INDEX($AP$9:$AP$63,MATCH(BF33,$BE$9:BE$62,0)))</f>
        <v>A8</v>
      </c>
      <c r="BI33" s="255">
        <f t="shared" si="0"/>
        <v>0</v>
      </c>
      <c r="BJ33" s="7">
        <f t="shared" si="1"/>
        <v>0</v>
      </c>
      <c r="BK33" s="7">
        <f t="shared" si="2"/>
        <v>0</v>
      </c>
      <c r="BL33" s="17">
        <f>IF(BF33="","",IF(AND(BI32=BI33,BJ32=BJ33,BK32=BK33),BL32,$BL$9+24))</f>
        <v>25</v>
      </c>
      <c r="BM33" s="22"/>
      <c r="BN33" s="3"/>
    </row>
    <row r="34" spans="1:66" ht="16.2" thickBot="1" x14ac:dyDescent="0.3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P34" s="18"/>
      <c r="Q34" s="18"/>
      <c r="R34" s="18"/>
      <c r="S34" s="18"/>
      <c r="T34" s="18"/>
      <c r="U34" s="18"/>
      <c r="V34" s="18"/>
      <c r="W34" s="18"/>
      <c r="X34" s="18"/>
      <c r="Y34" s="20"/>
      <c r="Z34" s="59"/>
      <c r="AA34" s="199"/>
      <c r="AB34" s="59"/>
      <c r="AC34" s="59"/>
      <c r="AD34" s="199"/>
      <c r="AE34" s="59"/>
      <c r="AF34" s="199"/>
      <c r="AG34" s="59"/>
      <c r="AH34" s="59"/>
      <c r="AI34" s="199"/>
      <c r="AJ34" s="59"/>
      <c r="AK34" s="199"/>
      <c r="AL34" s="59"/>
      <c r="AM34" s="59"/>
      <c r="AN34" s="18"/>
      <c r="AO34" s="44">
        <v>26</v>
      </c>
      <c r="AP34" s="279" t="str">
        <f>+Inscrits!D10</f>
        <v>B8</v>
      </c>
      <c r="AQ34" s="247" t="str">
        <f t="shared" si="3"/>
        <v>0</v>
      </c>
      <c r="AR34" s="82" t="str">
        <f t="shared" si="4"/>
        <v>0</v>
      </c>
      <c r="AS34" s="184" t="str">
        <f t="shared" si="5"/>
        <v>0</v>
      </c>
      <c r="AT34" s="250" t="str">
        <f t="shared" si="6"/>
        <v>0</v>
      </c>
      <c r="AU34" s="82" t="str">
        <f t="shared" si="7"/>
        <v>0</v>
      </c>
      <c r="AV34" s="252" t="str">
        <f t="shared" si="8"/>
        <v>0</v>
      </c>
      <c r="AW34" s="247">
        <f t="shared" si="9"/>
        <v>3</v>
      </c>
      <c r="AX34" s="82">
        <f t="shared" si="10"/>
        <v>3</v>
      </c>
      <c r="AY34" s="252">
        <f t="shared" si="11"/>
        <v>9</v>
      </c>
      <c r="AZ34" s="247">
        <f t="shared" si="17"/>
        <v>3</v>
      </c>
      <c r="BA34" s="82">
        <f t="shared" si="12"/>
        <v>3</v>
      </c>
      <c r="BB34" s="252">
        <f t="shared" si="13"/>
        <v>9</v>
      </c>
      <c r="BC34" s="255">
        <f t="shared" si="14"/>
        <v>0</v>
      </c>
      <c r="BD34" s="7">
        <f t="shared" si="15"/>
        <v>3</v>
      </c>
      <c r="BE34" s="183">
        <f t="shared" si="16"/>
        <v>15.969100340000001</v>
      </c>
      <c r="BF34" s="82">
        <f>IF(AP34="","",SMALL(BE$9:BE$62,ROWS(AZ$9:AZ34)))</f>
        <v>25.00000017</v>
      </c>
      <c r="BG34"/>
      <c r="BH34" s="78" t="str">
        <f>IF(OR(AP34="",AZ34=""),"",INDEX($AP$9:$AP$63,MATCH(BF34,$BE$9:BE$62,0)))</f>
        <v>A9</v>
      </c>
      <c r="BI34" s="255">
        <f t="shared" si="0"/>
        <v>0</v>
      </c>
      <c r="BJ34" s="7">
        <f t="shared" si="1"/>
        <v>0</v>
      </c>
      <c r="BK34" s="7">
        <f t="shared" si="2"/>
        <v>0</v>
      </c>
      <c r="BL34" s="17">
        <f>IF(BF34="","",IF(AND(BI33=BI34,BJ33=BJ34,BK33=BK34),BL33,$BL$9+25))</f>
        <v>25</v>
      </c>
      <c r="BM34" s="22"/>
      <c r="BN34" s="3"/>
    </row>
    <row r="35" spans="1:66" ht="15.6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P35" s="18"/>
      <c r="Q35" s="18"/>
      <c r="R35" s="18"/>
      <c r="S35" s="18"/>
      <c r="T35" s="18"/>
      <c r="U35" s="18"/>
      <c r="V35" s="18"/>
      <c r="W35" s="18"/>
      <c r="X35" s="18"/>
      <c r="Y35" s="382">
        <v>4</v>
      </c>
      <c r="Z35" s="9" t="str">
        <f>+O16</f>
        <v>A7</v>
      </c>
      <c r="AA35" s="25">
        <v>0</v>
      </c>
      <c r="AB35" s="38">
        <f>IF(AA35+AA39=0,0,IF(AA35=AA39,2,IF(AA35&gt;AA39,3,1)))</f>
        <v>0</v>
      </c>
      <c r="AC35" s="10">
        <f>AA35-AA39</f>
        <v>0</v>
      </c>
      <c r="AD35" s="19"/>
      <c r="AE35" s="9" t="str">
        <f>+R16</f>
        <v>A8</v>
      </c>
      <c r="AF35" s="107">
        <v>0</v>
      </c>
      <c r="AG35" s="38">
        <f>IF(AF35+AF39=0,0,IF(AF35=AF39,2,IF(AF35&gt;AF39,3,1)))</f>
        <v>0</v>
      </c>
      <c r="AH35" s="10">
        <f>AF35-AF39</f>
        <v>0</v>
      </c>
      <c r="AI35" s="19"/>
      <c r="AJ35" s="9" t="str">
        <f>+U16</f>
        <v>A6</v>
      </c>
      <c r="AK35" s="28">
        <v>0</v>
      </c>
      <c r="AL35" s="38">
        <f>IF(AK35+AK39=0,0,IF(AK35=AK39,2,IF(AK35&gt;AK39,3,1)))</f>
        <v>0</v>
      </c>
      <c r="AM35" s="10">
        <f>AK35-AK39</f>
        <v>0</v>
      </c>
      <c r="AN35" s="18"/>
      <c r="AO35" s="44">
        <v>27</v>
      </c>
      <c r="AP35" s="279" t="str">
        <f>+Inscrits!D11</f>
        <v>B9</v>
      </c>
      <c r="AQ35" s="247" t="str">
        <f t="shared" si="3"/>
        <v>0</v>
      </c>
      <c r="AR35" s="82" t="str">
        <f t="shared" si="4"/>
        <v>0</v>
      </c>
      <c r="AS35" s="184" t="str">
        <f t="shared" si="5"/>
        <v>0</v>
      </c>
      <c r="AT35" s="250" t="str">
        <f t="shared" si="6"/>
        <v>0</v>
      </c>
      <c r="AU35" s="82" t="str">
        <f t="shared" si="7"/>
        <v>0</v>
      </c>
      <c r="AV35" s="252" t="str">
        <f t="shared" si="8"/>
        <v>0</v>
      </c>
      <c r="AW35" s="247" t="str">
        <f t="shared" si="9"/>
        <v>0</v>
      </c>
      <c r="AX35" s="82" t="str">
        <f t="shared" si="10"/>
        <v>0</v>
      </c>
      <c r="AY35" s="252" t="str">
        <f t="shared" si="11"/>
        <v>0</v>
      </c>
      <c r="AZ35" s="247">
        <f t="shared" si="17"/>
        <v>0</v>
      </c>
      <c r="BA35" s="82">
        <f t="shared" si="12"/>
        <v>0</v>
      </c>
      <c r="BB35" s="252">
        <f t="shared" si="13"/>
        <v>0</v>
      </c>
      <c r="BC35" s="255">
        <f t="shared" si="14"/>
        <v>0</v>
      </c>
      <c r="BD35" s="7">
        <f t="shared" si="15"/>
        <v>0</v>
      </c>
      <c r="BE35" s="183">
        <f t="shared" si="16"/>
        <v>25.000000350000001</v>
      </c>
      <c r="BF35" s="82">
        <f>IF(AP35="","",SMALL(BE$9:BE$62,ROWS(AZ$9:AZ35)))</f>
        <v>25.000000180000001</v>
      </c>
      <c r="BG35"/>
      <c r="BH35" s="78" t="str">
        <f>IF(OR(AP35="",AZ35=""),"",INDEX($AP$9:$AP$63,MATCH(BF35,$BE$9:BE$62,0)))</f>
        <v>A10</v>
      </c>
      <c r="BI35" s="255">
        <f t="shared" si="0"/>
        <v>0</v>
      </c>
      <c r="BJ35" s="7">
        <f t="shared" si="1"/>
        <v>0</v>
      </c>
      <c r="BK35" s="7">
        <f t="shared" si="2"/>
        <v>0</v>
      </c>
      <c r="BL35" s="17">
        <f>IF(BF35="","",IF(AND(BI34=BI35,BJ34=BJ35,BK34=BK35),BL34,$BL$9+26))</f>
        <v>25</v>
      </c>
      <c r="BM35" s="22"/>
      <c r="BN35" s="3"/>
    </row>
    <row r="36" spans="1:66" ht="16.2" thickBot="1" x14ac:dyDescent="0.3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P36" s="18"/>
      <c r="Q36" s="18"/>
      <c r="R36" s="18"/>
      <c r="S36" s="18"/>
      <c r="T36" s="18"/>
      <c r="U36" s="18"/>
      <c r="V36" s="18"/>
      <c r="W36" s="18"/>
      <c r="X36" s="18"/>
      <c r="Y36" s="383"/>
      <c r="Z36" s="11" t="str">
        <f>+P16</f>
        <v>B7</v>
      </c>
      <c r="AA36" s="14">
        <f>IF(ISTEXT(Z36),AA35,0)</f>
        <v>0</v>
      </c>
      <c r="AB36" s="14">
        <f>IF(ISTEXT(Z36),AB35,0)</f>
        <v>0</v>
      </c>
      <c r="AC36" s="15">
        <f>IF(ISTEXT(Z36),AC35,0)</f>
        <v>0</v>
      </c>
      <c r="AD36" s="6"/>
      <c r="AE36" s="11" t="str">
        <f>+S16</f>
        <v>B8</v>
      </c>
      <c r="AF36" s="14">
        <f>IF(ISTEXT(AE36),AF35,0)</f>
        <v>0</v>
      </c>
      <c r="AG36" s="48">
        <f>IF(ISTEXT(AE36),AG35,0)</f>
        <v>0</v>
      </c>
      <c r="AH36" s="15">
        <f>IF(ISTEXT(AE36),AH35,0)</f>
        <v>0</v>
      </c>
      <c r="AI36" s="6"/>
      <c r="AJ36" s="11" t="str">
        <f>+V16</f>
        <v>B9</v>
      </c>
      <c r="AK36" s="14">
        <f>IF(ISTEXT(AJ36),AK35,0)</f>
        <v>0</v>
      </c>
      <c r="AL36" s="48">
        <f>IF(ISTEXT(AJ36),AL35,0)</f>
        <v>0</v>
      </c>
      <c r="AM36" s="15">
        <f>IF(ISTEXT(AJ36),AM35,0)</f>
        <v>0</v>
      </c>
      <c r="AN36" s="18"/>
      <c r="AO36" s="44">
        <v>28</v>
      </c>
      <c r="AP36" s="279" t="str">
        <f>+Inscrits!D12</f>
        <v>B10</v>
      </c>
      <c r="AQ36" s="247" t="str">
        <f t="shared" si="3"/>
        <v>0</v>
      </c>
      <c r="AR36" s="82" t="str">
        <f t="shared" si="4"/>
        <v>0</v>
      </c>
      <c r="AS36" s="184" t="str">
        <f t="shared" si="5"/>
        <v>0</v>
      </c>
      <c r="AT36" s="250" t="str">
        <f t="shared" si="6"/>
        <v>0</v>
      </c>
      <c r="AU36" s="82" t="str">
        <f t="shared" si="7"/>
        <v>0</v>
      </c>
      <c r="AV36" s="252" t="str">
        <f t="shared" si="8"/>
        <v>0</v>
      </c>
      <c r="AW36" s="247" t="str">
        <f t="shared" si="9"/>
        <v>0</v>
      </c>
      <c r="AX36" s="82" t="str">
        <f t="shared" si="10"/>
        <v>0</v>
      </c>
      <c r="AY36" s="252" t="str">
        <f t="shared" si="11"/>
        <v>0</v>
      </c>
      <c r="AZ36" s="247">
        <f t="shared" si="17"/>
        <v>0</v>
      </c>
      <c r="BA36" s="82">
        <f t="shared" si="12"/>
        <v>0</v>
      </c>
      <c r="BB36" s="252">
        <f t="shared" si="13"/>
        <v>0</v>
      </c>
      <c r="BC36" s="255">
        <f t="shared" si="14"/>
        <v>0</v>
      </c>
      <c r="BD36" s="7">
        <f t="shared" si="15"/>
        <v>0</v>
      </c>
      <c r="BE36" s="183">
        <f t="shared" si="16"/>
        <v>25.000000360000001</v>
      </c>
      <c r="BF36" s="82">
        <f>IF(AP36="","",SMALL(BE$9:BE$62,ROWS(AZ$9:AZ36)))</f>
        <v>25.000000190000002</v>
      </c>
      <c r="BG36"/>
      <c r="BH36" s="78" t="str">
        <f>IF(OR(AP36="",AZ36=""),"",INDEX($AP$9:$AP$63,MATCH(BF36,$BE$9:BE$62,0)))</f>
        <v>A11</v>
      </c>
      <c r="BI36" s="255">
        <f t="shared" si="0"/>
        <v>0</v>
      </c>
      <c r="BJ36" s="7">
        <f t="shared" si="1"/>
        <v>0</v>
      </c>
      <c r="BK36" s="7">
        <f t="shared" si="2"/>
        <v>0</v>
      </c>
      <c r="BL36" s="17">
        <f>IF(BF36="","",IF(AND(BI35=BI36,BJ35=BJ36,BK35=BK36),BL35,$BL$9+27))</f>
        <v>25</v>
      </c>
      <c r="BM36" s="22"/>
      <c r="BN36" s="3"/>
    </row>
    <row r="37" spans="1:66" ht="15.6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P37" s="18"/>
      <c r="Q37" s="18"/>
      <c r="R37" s="18"/>
      <c r="S37" s="18"/>
      <c r="T37" s="18"/>
      <c r="U37" s="18"/>
      <c r="V37" s="18"/>
      <c r="W37" s="18"/>
      <c r="X37" s="18"/>
      <c r="Y37" s="383"/>
      <c r="Z37" s="11" t="str">
        <f>+Q16</f>
        <v>C7</v>
      </c>
      <c r="AA37" s="55">
        <f>IF(ISTEXT(Z37),AA35,0)</f>
        <v>0</v>
      </c>
      <c r="AB37" s="55">
        <f>IF(ISTEXT(Z37),AB35,0)</f>
        <v>0</v>
      </c>
      <c r="AC37" s="56">
        <f>IF(ISTEXT(Z37),AC35,0)</f>
        <v>0</v>
      </c>
      <c r="AD37" s="6"/>
      <c r="AE37" s="11" t="str">
        <f>+T16</f>
        <v>C8</v>
      </c>
      <c r="AF37" s="55">
        <f>IF(ISTEXT(AE37),AF35,0)</f>
        <v>0</v>
      </c>
      <c r="AG37" s="52">
        <f>IF(ISTEXT(AE37),AG35,0)</f>
        <v>0</v>
      </c>
      <c r="AH37" s="56">
        <f>IF(ISTEXT(AE37),AH35,0)</f>
        <v>0</v>
      </c>
      <c r="AI37" s="6"/>
      <c r="AJ37" s="11" t="str">
        <f>+W16</f>
        <v>C1</v>
      </c>
      <c r="AK37" s="55">
        <f>IF(ISTEXT(AJ37),AK35,0)</f>
        <v>0</v>
      </c>
      <c r="AL37" s="52">
        <f>IF(ISTEXT(AJ37),AL35,0)</f>
        <v>0</v>
      </c>
      <c r="AM37" s="56">
        <f>IF(ISTEXT(AJ37),AM35,0)</f>
        <v>0</v>
      </c>
      <c r="AN37" s="18"/>
      <c r="AO37" s="44">
        <v>29</v>
      </c>
      <c r="AP37" s="279" t="str">
        <f>+Inscrits!D13</f>
        <v>B11</v>
      </c>
      <c r="AQ37" s="247" t="str">
        <f t="shared" si="3"/>
        <v xml:space="preserve"> </v>
      </c>
      <c r="AR37" s="82" t="str">
        <f t="shared" si="4"/>
        <v xml:space="preserve"> </v>
      </c>
      <c r="AS37" s="184" t="str">
        <f t="shared" si="5"/>
        <v xml:space="preserve"> </v>
      </c>
      <c r="AT37" s="250" t="str">
        <f t="shared" si="6"/>
        <v xml:space="preserve"> </v>
      </c>
      <c r="AU37" s="82" t="str">
        <f t="shared" si="7"/>
        <v xml:space="preserve"> </v>
      </c>
      <c r="AV37" s="252" t="str">
        <f t="shared" si="8"/>
        <v xml:space="preserve"> </v>
      </c>
      <c r="AW37" s="247" t="str">
        <f t="shared" si="9"/>
        <v xml:space="preserve"> </v>
      </c>
      <c r="AX37" s="82" t="str">
        <f t="shared" si="10"/>
        <v xml:space="preserve"> </v>
      </c>
      <c r="AY37" s="252" t="str">
        <f t="shared" si="11"/>
        <v xml:space="preserve"> </v>
      </c>
      <c r="AZ37" s="247">
        <f t="shared" si="17"/>
        <v>0</v>
      </c>
      <c r="BA37" s="82">
        <f t="shared" si="12"/>
        <v>0</v>
      </c>
      <c r="BB37" s="252">
        <f t="shared" si="13"/>
        <v>0</v>
      </c>
      <c r="BC37" s="255">
        <f t="shared" si="14"/>
        <v>0</v>
      </c>
      <c r="BD37" s="7">
        <f t="shared" si="15"/>
        <v>0</v>
      </c>
      <c r="BE37" s="183">
        <f t="shared" si="16"/>
        <v>25.000000369999999</v>
      </c>
      <c r="BF37" s="82">
        <f>IF(AP37="","",SMALL(BE$9:BE$62,ROWS(AZ$9:AZ37)))</f>
        <v>25.000000199999999</v>
      </c>
      <c r="BG37"/>
      <c r="BH37" s="78" t="str">
        <f>IF(OR(AP37="",AZ37=""),"",INDEX($AP$9:$AP$63,MATCH(BF37,$BE$9:BE$62,0)))</f>
        <v>A12</v>
      </c>
      <c r="BI37" s="255">
        <f t="shared" si="0"/>
        <v>0</v>
      </c>
      <c r="BJ37" s="7">
        <f t="shared" si="1"/>
        <v>0</v>
      </c>
      <c r="BK37" s="7">
        <f t="shared" si="2"/>
        <v>0</v>
      </c>
      <c r="BL37" s="17">
        <f>IF(BF37="","",IF(AND(BI36=BI37,BJ36=BJ37,BK36=BK37),BL36,$BL$9+28))</f>
        <v>25</v>
      </c>
      <c r="BM37" s="22"/>
      <c r="BN37" s="3"/>
    </row>
    <row r="38" spans="1:66" ht="15.6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P38" s="18"/>
      <c r="Q38" s="18"/>
      <c r="R38" s="18"/>
      <c r="S38" s="18"/>
      <c r="T38" s="18"/>
      <c r="U38" s="18"/>
      <c r="V38" s="18"/>
      <c r="W38" s="18"/>
      <c r="X38" s="18"/>
      <c r="Y38" s="383"/>
      <c r="Z38" s="24"/>
      <c r="AA38" s="195" t="s">
        <v>5</v>
      </c>
      <c r="AB38" s="16"/>
      <c r="AC38" s="17"/>
      <c r="AD38" s="20"/>
      <c r="AE38" s="24"/>
      <c r="AF38" s="195" t="s">
        <v>5</v>
      </c>
      <c r="AG38" s="16"/>
      <c r="AH38" s="17"/>
      <c r="AI38" s="20"/>
      <c r="AJ38" s="24"/>
      <c r="AK38" s="195" t="s">
        <v>5</v>
      </c>
      <c r="AL38" s="16"/>
      <c r="AM38" s="17"/>
      <c r="AN38" s="18"/>
      <c r="AO38" s="44">
        <v>30</v>
      </c>
      <c r="AP38" s="279" t="str">
        <f>+Inscrits!D14</f>
        <v>B12</v>
      </c>
      <c r="AQ38" s="247" t="str">
        <f t="shared" si="3"/>
        <v xml:space="preserve"> </v>
      </c>
      <c r="AR38" s="82" t="str">
        <f t="shared" si="4"/>
        <v xml:space="preserve"> </v>
      </c>
      <c r="AS38" s="184" t="str">
        <f t="shared" si="5"/>
        <v xml:space="preserve"> </v>
      </c>
      <c r="AT38" s="250" t="str">
        <f t="shared" si="6"/>
        <v xml:space="preserve"> </v>
      </c>
      <c r="AU38" s="82" t="str">
        <f t="shared" si="7"/>
        <v xml:space="preserve"> </v>
      </c>
      <c r="AV38" s="252" t="str">
        <f t="shared" si="8"/>
        <v xml:space="preserve"> </v>
      </c>
      <c r="AW38" s="247" t="str">
        <f t="shared" si="9"/>
        <v xml:space="preserve"> </v>
      </c>
      <c r="AX38" s="82" t="str">
        <f t="shared" si="10"/>
        <v xml:space="preserve"> </v>
      </c>
      <c r="AY38" s="252" t="str">
        <f t="shared" si="11"/>
        <v xml:space="preserve"> </v>
      </c>
      <c r="AZ38" s="247">
        <f t="shared" si="17"/>
        <v>0</v>
      </c>
      <c r="BA38" s="82">
        <f t="shared" si="12"/>
        <v>0</v>
      </c>
      <c r="BB38" s="252">
        <f t="shared" si="13"/>
        <v>0</v>
      </c>
      <c r="BC38" s="255">
        <f t="shared" si="14"/>
        <v>0</v>
      </c>
      <c r="BD38" s="7">
        <f t="shared" si="15"/>
        <v>0</v>
      </c>
      <c r="BE38" s="183">
        <f t="shared" si="16"/>
        <v>25.000000379999999</v>
      </c>
      <c r="BF38" s="82">
        <f>IF(AP38="","",SMALL(BE$9:BE$62,ROWS(AZ$9:AZ38)))</f>
        <v>25.00000021</v>
      </c>
      <c r="BG38"/>
      <c r="BH38" s="78" t="str">
        <f>IF(OR(AP38="",AZ38=""),"",INDEX($AP$9:$AP$63,MATCH(BF38,$BE$9:BE$62,0)))</f>
        <v>A13</v>
      </c>
      <c r="BI38" s="255">
        <f t="shared" si="0"/>
        <v>0</v>
      </c>
      <c r="BJ38" s="7">
        <f t="shared" si="1"/>
        <v>0</v>
      </c>
      <c r="BK38" s="7">
        <f t="shared" si="2"/>
        <v>0</v>
      </c>
      <c r="BL38" s="17">
        <f>IF(BF38="","",IF(AND(BI37=BI38,BJ37=BJ38,BK37=BK38),BL37,$BL$9+29))</f>
        <v>25</v>
      </c>
      <c r="BM38" s="22"/>
      <c r="BN38" s="3"/>
    </row>
    <row r="39" spans="1:66" ht="15.6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P39" s="18"/>
      <c r="Q39" s="18"/>
      <c r="R39" s="18"/>
      <c r="S39" s="18"/>
      <c r="T39" s="18"/>
      <c r="U39" s="18"/>
      <c r="V39" s="18"/>
      <c r="W39" s="18"/>
      <c r="X39" s="18"/>
      <c r="Y39" s="383"/>
      <c r="Z39" s="11" t="str">
        <f>+O17</f>
        <v>A8</v>
      </c>
      <c r="AA39" s="27">
        <v>0</v>
      </c>
      <c r="AB39" s="23">
        <f>IF(AA35+AA39=0,0,IF(AA35=AA39,2,IF(AA35&lt;AA39,3,1)))</f>
        <v>0</v>
      </c>
      <c r="AC39" s="12">
        <f>AA39-AA35</f>
        <v>0</v>
      </c>
      <c r="AD39" s="19"/>
      <c r="AE39" s="11" t="str">
        <f>+R17</f>
        <v>A9</v>
      </c>
      <c r="AF39" s="108">
        <v>0</v>
      </c>
      <c r="AG39" s="23">
        <f>IF(AF35+AF39=0,0,IF(AF35=AF39,2,IF(AF35&lt;AF39,3,1)))</f>
        <v>0</v>
      </c>
      <c r="AH39" s="12">
        <f>AF39-AF35</f>
        <v>0</v>
      </c>
      <c r="AI39" s="19"/>
      <c r="AJ39" s="11" t="str">
        <f>+U17</f>
        <v>A9</v>
      </c>
      <c r="AK39" s="29">
        <v>0</v>
      </c>
      <c r="AL39" s="23">
        <f>IF(AK35+AK39=0,0,IF(AK35=AK39,2,IF(AK35&lt;AK39,3,1)))</f>
        <v>0</v>
      </c>
      <c r="AM39" s="12">
        <f>AK39-AK35</f>
        <v>0</v>
      </c>
      <c r="AN39" s="18"/>
      <c r="AO39" s="44">
        <v>31</v>
      </c>
      <c r="AP39" s="279" t="str">
        <f>+Inscrits!D15</f>
        <v>B13</v>
      </c>
      <c r="AQ39" s="247" t="str">
        <f t="shared" si="3"/>
        <v xml:space="preserve"> </v>
      </c>
      <c r="AR39" s="82" t="str">
        <f t="shared" si="4"/>
        <v xml:space="preserve"> </v>
      </c>
      <c r="AS39" s="184" t="str">
        <f t="shared" si="5"/>
        <v xml:space="preserve"> </v>
      </c>
      <c r="AT39" s="250" t="str">
        <f t="shared" si="6"/>
        <v xml:space="preserve"> </v>
      </c>
      <c r="AU39" s="82" t="str">
        <f t="shared" si="7"/>
        <v xml:space="preserve"> </v>
      </c>
      <c r="AV39" s="252" t="str">
        <f t="shared" si="8"/>
        <v xml:space="preserve"> </v>
      </c>
      <c r="AW39" s="247" t="str">
        <f t="shared" si="9"/>
        <v xml:space="preserve"> </v>
      </c>
      <c r="AX39" s="82" t="str">
        <f t="shared" si="10"/>
        <v xml:space="preserve"> </v>
      </c>
      <c r="AY39" s="252" t="str">
        <f t="shared" si="11"/>
        <v xml:space="preserve"> </v>
      </c>
      <c r="AZ39" s="247">
        <f t="shared" si="17"/>
        <v>0</v>
      </c>
      <c r="BA39" s="82">
        <f t="shared" si="12"/>
        <v>0</v>
      </c>
      <c r="BB39" s="252">
        <f t="shared" si="13"/>
        <v>0</v>
      </c>
      <c r="BC39" s="255">
        <f t="shared" si="14"/>
        <v>0</v>
      </c>
      <c r="BD39" s="7">
        <f t="shared" si="15"/>
        <v>0</v>
      </c>
      <c r="BE39" s="183">
        <f t="shared" si="16"/>
        <v>25.00000039</v>
      </c>
      <c r="BF39" s="82">
        <f>IF(AP39="","",SMALL(BE$9:BE$62,ROWS(AZ$9:AZ39)))</f>
        <v>25.00000022</v>
      </c>
      <c r="BG39"/>
      <c r="BH39" s="78" t="str">
        <f>IF(OR(AP39="",AZ39=""),"",INDEX($AP$9:$AP$63,MATCH(BF39,$BE$9:BE$62,0)))</f>
        <v>A14</v>
      </c>
      <c r="BI39" s="255">
        <f t="shared" si="0"/>
        <v>0</v>
      </c>
      <c r="BJ39" s="7">
        <f t="shared" si="1"/>
        <v>0</v>
      </c>
      <c r="BK39" s="7">
        <f t="shared" si="2"/>
        <v>0</v>
      </c>
      <c r="BL39" s="17">
        <f>IF(BF39="","",IF(AND(BI38=BI39,BJ38=BJ39,BK38=BK39),BL38,$BL$9+30))</f>
        <v>25</v>
      </c>
      <c r="BM39" s="22"/>
      <c r="BN39" s="3"/>
    </row>
    <row r="40" spans="1:66" ht="16.2" thickBot="1" x14ac:dyDescent="0.3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P40" s="18"/>
      <c r="Q40" s="18"/>
      <c r="R40" s="18"/>
      <c r="S40" s="18"/>
      <c r="T40" s="18"/>
      <c r="U40" s="18"/>
      <c r="V40" s="18"/>
      <c r="W40" s="18"/>
      <c r="X40" s="18"/>
      <c r="Y40" s="383"/>
      <c r="Z40" s="11" t="str">
        <f>+P17</f>
        <v>B8</v>
      </c>
      <c r="AA40" s="14">
        <f>IF(ISTEXT(Z40),AA39,0)</f>
        <v>0</v>
      </c>
      <c r="AB40" s="14">
        <f>IF(ISTEXT(Z40),AB39,0)</f>
        <v>0</v>
      </c>
      <c r="AC40" s="15">
        <f>IF(ISTEXT(Z40),AC39,0)</f>
        <v>0</v>
      </c>
      <c r="AD40" s="6"/>
      <c r="AE40" s="11" t="str">
        <f>+S17</f>
        <v>B10</v>
      </c>
      <c r="AF40" s="14">
        <f>IF(ISTEXT(AE40),AF39,0)</f>
        <v>0</v>
      </c>
      <c r="AG40" s="14">
        <f>IF(ISTEXT(AE40),AG39,0)</f>
        <v>0</v>
      </c>
      <c r="AH40" s="15">
        <f>IF(ISTEXT(AE40),AH39,0)</f>
        <v>0</v>
      </c>
      <c r="AI40" s="6"/>
      <c r="AJ40" s="11" t="str">
        <f>+V17</f>
        <v>B10</v>
      </c>
      <c r="AK40" s="14">
        <f>IF(ISTEXT(AJ40),AK39,0)</f>
        <v>0</v>
      </c>
      <c r="AL40" s="14">
        <f>IF(ISTEXT(AJ40),AL39,0)</f>
        <v>0</v>
      </c>
      <c r="AM40" s="15">
        <f>IF(ISTEXT(AJ40),AM39,0)</f>
        <v>0</v>
      </c>
      <c r="AN40" s="18"/>
      <c r="AO40" s="44">
        <v>32</v>
      </c>
      <c r="AP40" s="279" t="str">
        <f>+Inscrits!D16</f>
        <v>B14</v>
      </c>
      <c r="AQ40" s="247" t="str">
        <f t="shared" si="3"/>
        <v xml:space="preserve"> </v>
      </c>
      <c r="AR40" s="82" t="str">
        <f t="shared" si="4"/>
        <v xml:space="preserve"> </v>
      </c>
      <c r="AS40" s="184" t="str">
        <f t="shared" si="5"/>
        <v xml:space="preserve"> </v>
      </c>
      <c r="AT40" s="250" t="str">
        <f t="shared" si="6"/>
        <v xml:space="preserve"> </v>
      </c>
      <c r="AU40" s="82" t="str">
        <f t="shared" si="7"/>
        <v xml:space="preserve"> </v>
      </c>
      <c r="AV40" s="252" t="str">
        <f t="shared" si="8"/>
        <v xml:space="preserve"> </v>
      </c>
      <c r="AW40" s="247" t="str">
        <f t="shared" si="9"/>
        <v xml:space="preserve"> </v>
      </c>
      <c r="AX40" s="82" t="str">
        <f t="shared" si="10"/>
        <v xml:space="preserve"> </v>
      </c>
      <c r="AY40" s="252" t="str">
        <f t="shared" si="11"/>
        <v xml:space="preserve"> </v>
      </c>
      <c r="AZ40" s="247">
        <f t="shared" si="17"/>
        <v>0</v>
      </c>
      <c r="BA40" s="82">
        <f t="shared" si="12"/>
        <v>0</v>
      </c>
      <c r="BB40" s="252">
        <f t="shared" si="13"/>
        <v>0</v>
      </c>
      <c r="BC40" s="255">
        <f t="shared" si="14"/>
        <v>0</v>
      </c>
      <c r="BD40" s="7">
        <f t="shared" si="15"/>
        <v>0</v>
      </c>
      <c r="BE40" s="183">
        <f t="shared" si="16"/>
        <v>25.000000400000001</v>
      </c>
      <c r="BF40" s="82">
        <f>IF(AP40="","",SMALL(BE$9:BE$62,ROWS(AZ$9:AZ40)))</f>
        <v>25.000000230000001</v>
      </c>
      <c r="BG40"/>
      <c r="BH40" s="78" t="str">
        <f>IF(OR(AP40="",AZ40=""),"",INDEX($AP$9:$AP$63,MATCH(BF40,$BE$9:BE$62,0)))</f>
        <v>A15</v>
      </c>
      <c r="BI40" s="255">
        <f t="shared" si="0"/>
        <v>0</v>
      </c>
      <c r="BJ40" s="7">
        <f t="shared" si="1"/>
        <v>0</v>
      </c>
      <c r="BK40" s="7">
        <f t="shared" si="2"/>
        <v>0</v>
      </c>
      <c r="BL40" s="17">
        <f>IF(BF40="","",IF(AND(BI39=BI40,BJ39=BJ40,BK39=BK40),BL39,$BL$9+31))</f>
        <v>25</v>
      </c>
      <c r="BM40" s="22"/>
      <c r="BN40" s="3"/>
    </row>
    <row r="41" spans="1:66" ht="16.2" thickBot="1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P41" s="18"/>
      <c r="Q41" s="18"/>
      <c r="R41" s="18"/>
      <c r="S41" s="18"/>
      <c r="T41" s="18"/>
      <c r="U41" s="18"/>
      <c r="V41" s="18"/>
      <c r="W41" s="18"/>
      <c r="X41" s="18"/>
      <c r="Y41" s="384"/>
      <c r="Z41" s="13" t="str">
        <f>+Q17</f>
        <v>C8</v>
      </c>
      <c r="AA41" s="14">
        <f>IF(ISTEXT(Z41),AA39,0)</f>
        <v>0</v>
      </c>
      <c r="AB41" s="14">
        <f>IF(ISTEXT(Z41),AB39,0)</f>
        <v>0</v>
      </c>
      <c r="AC41" s="15">
        <f>IF(ISTEXT(Z41),AC39,0)</f>
        <v>0</v>
      </c>
      <c r="AD41" s="6"/>
      <c r="AE41" s="13" t="str">
        <f>+T17</f>
        <v>C9</v>
      </c>
      <c r="AF41" s="14">
        <f>IF(ISTEXT(AE41),AF39,0)</f>
        <v>0</v>
      </c>
      <c r="AG41" s="14">
        <f>IF(ISTEXT(AE41),AG39,0)</f>
        <v>0</v>
      </c>
      <c r="AH41" s="15">
        <f>IF(ISTEXT(AE41),AH39,0)</f>
        <v>0</v>
      </c>
      <c r="AI41" s="6"/>
      <c r="AJ41" s="13" t="str">
        <f>+W17</f>
        <v>C4</v>
      </c>
      <c r="AK41" s="14">
        <f>IF(ISTEXT(AJ41),AK39,0)</f>
        <v>0</v>
      </c>
      <c r="AL41" s="14">
        <f>IF(ISTEXT(AJ41),AL39,0)</f>
        <v>0</v>
      </c>
      <c r="AM41" s="15">
        <f>IF(ISTEXT(AJ41),AM39,0)</f>
        <v>0</v>
      </c>
      <c r="AN41" s="18"/>
      <c r="AO41" s="44">
        <v>33</v>
      </c>
      <c r="AP41" s="279" t="str">
        <f>+Inscrits!D17</f>
        <v>B15</v>
      </c>
      <c r="AQ41" s="247" t="str">
        <f t="shared" si="3"/>
        <v xml:space="preserve"> </v>
      </c>
      <c r="AR41" s="82" t="str">
        <f t="shared" si="4"/>
        <v xml:space="preserve"> </v>
      </c>
      <c r="AS41" s="184" t="str">
        <f t="shared" si="5"/>
        <v xml:space="preserve"> </v>
      </c>
      <c r="AT41" s="250" t="str">
        <f t="shared" si="6"/>
        <v xml:space="preserve"> </v>
      </c>
      <c r="AU41" s="82" t="str">
        <f t="shared" si="7"/>
        <v xml:space="preserve"> </v>
      </c>
      <c r="AV41" s="252" t="str">
        <f t="shared" si="8"/>
        <v xml:space="preserve"> </v>
      </c>
      <c r="AW41" s="247" t="str">
        <f t="shared" si="9"/>
        <v xml:space="preserve"> </v>
      </c>
      <c r="AX41" s="82" t="str">
        <f t="shared" si="10"/>
        <v xml:space="preserve"> </v>
      </c>
      <c r="AY41" s="252" t="str">
        <f t="shared" si="11"/>
        <v xml:space="preserve"> </v>
      </c>
      <c r="AZ41" s="247">
        <f t="shared" si="17"/>
        <v>0</v>
      </c>
      <c r="BA41" s="82">
        <f t="shared" si="12"/>
        <v>0</v>
      </c>
      <c r="BB41" s="252">
        <f t="shared" si="13"/>
        <v>0</v>
      </c>
      <c r="BC41" s="255">
        <f t="shared" si="14"/>
        <v>0</v>
      </c>
      <c r="BD41" s="7">
        <f t="shared" si="15"/>
        <v>0</v>
      </c>
      <c r="BE41" s="183">
        <f t="shared" si="16"/>
        <v>25.000000409999998</v>
      </c>
      <c r="BF41" s="82">
        <f>IF(AP41="","",SMALL(BE$9:BE$62,ROWS(AZ$9:AZ41)))</f>
        <v>25.000000239999999</v>
      </c>
      <c r="BG41"/>
      <c r="BH41" s="78" t="str">
        <f>IF(OR(AP41="",AZ41=""),"",INDEX($AP$9:$AP$63,MATCH(BF41,$BE$9:BE$62,0)))</f>
        <v>A16</v>
      </c>
      <c r="BI41" s="255">
        <f t="shared" ref="BI41:BI62" si="18">IF(AP41="","",INDEX($AZ$9:$AZ$63,MATCH(BF41,$BE$9:$BE$62,0)))</f>
        <v>0</v>
      </c>
      <c r="BJ41" s="7">
        <f t="shared" ref="BJ41:BJ62" si="19">IF(AP41="","",INDEX($BA$9:$BA$63,MATCH(BF41,$BE$9:$BE$62,0)))</f>
        <v>0</v>
      </c>
      <c r="BK41" s="7">
        <f t="shared" ref="BK41:BK62" si="20">IF(AP41="","",INDEX($BB$9:$BB$63,MATCH(BF41,$BE$9:$BE$62,0)))</f>
        <v>0</v>
      </c>
      <c r="BL41" s="17">
        <f>IF(BF41="","",IF(AND(BI40=BI41,BJ40=BJ41,BK40=BK41),BL40,$BL$9+32))</f>
        <v>25</v>
      </c>
      <c r="BM41" s="22"/>
      <c r="BN41" s="3"/>
    </row>
    <row r="42" spans="1:66" ht="16.2" thickBot="1" x14ac:dyDescent="0.3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P42" s="18"/>
      <c r="Q42" s="18"/>
      <c r="R42" s="18"/>
      <c r="S42" s="18"/>
      <c r="T42" s="18"/>
      <c r="U42" s="18"/>
      <c r="V42" s="18"/>
      <c r="W42" s="18"/>
      <c r="X42" s="18"/>
      <c r="Y42" s="20"/>
      <c r="Z42" s="59"/>
      <c r="AA42" s="199"/>
      <c r="AB42" s="59"/>
      <c r="AC42" s="59"/>
      <c r="AD42" s="199"/>
      <c r="AE42" s="59"/>
      <c r="AF42" s="199"/>
      <c r="AG42" s="59"/>
      <c r="AH42" s="59"/>
      <c r="AI42" s="199"/>
      <c r="AJ42" s="59"/>
      <c r="AK42" s="199"/>
      <c r="AL42" s="59"/>
      <c r="AM42" s="59"/>
      <c r="AN42" s="18"/>
      <c r="AO42" s="44">
        <v>34</v>
      </c>
      <c r="AP42" s="279" t="str">
        <f>+Inscrits!D18</f>
        <v>B16</v>
      </c>
      <c r="AQ42" s="247" t="str">
        <f t="shared" si="3"/>
        <v xml:space="preserve"> </v>
      </c>
      <c r="AR42" s="82" t="str">
        <f t="shared" si="4"/>
        <v xml:space="preserve"> </v>
      </c>
      <c r="AS42" s="184" t="str">
        <f t="shared" si="5"/>
        <v xml:space="preserve"> </v>
      </c>
      <c r="AT42" s="250" t="str">
        <f t="shared" si="6"/>
        <v xml:space="preserve"> </v>
      </c>
      <c r="AU42" s="82" t="str">
        <f t="shared" si="7"/>
        <v xml:space="preserve"> </v>
      </c>
      <c r="AV42" s="252" t="str">
        <f t="shared" si="8"/>
        <v xml:space="preserve"> </v>
      </c>
      <c r="AW42" s="247" t="str">
        <f t="shared" si="9"/>
        <v xml:space="preserve"> </v>
      </c>
      <c r="AX42" s="82" t="str">
        <f t="shared" si="10"/>
        <v xml:space="preserve"> </v>
      </c>
      <c r="AY42" s="252" t="str">
        <f t="shared" si="11"/>
        <v xml:space="preserve"> </v>
      </c>
      <c r="AZ42" s="247">
        <f t="shared" si="17"/>
        <v>0</v>
      </c>
      <c r="BA42" s="82">
        <f t="shared" si="12"/>
        <v>0</v>
      </c>
      <c r="BB42" s="252">
        <f t="shared" si="13"/>
        <v>0</v>
      </c>
      <c r="BC42" s="255">
        <f t="shared" si="14"/>
        <v>0</v>
      </c>
      <c r="BD42" s="7">
        <f t="shared" si="15"/>
        <v>0</v>
      </c>
      <c r="BE42" s="183">
        <f t="shared" si="16"/>
        <v>25.000000419999999</v>
      </c>
      <c r="BF42" s="82">
        <f>IF(AP42="","",SMALL(BE$9:BE$62,ROWS(AZ$9:AZ42)))</f>
        <v>25.000000249999999</v>
      </c>
      <c r="BG42"/>
      <c r="BH42" s="78" t="str">
        <f>IF(OR(AP42="",AZ42=""),"",INDEX($AP$9:$AP$63,MATCH(BF42,$BE$9:BE$62,0)))</f>
        <v>A17</v>
      </c>
      <c r="BI42" s="255">
        <f t="shared" si="18"/>
        <v>0</v>
      </c>
      <c r="BJ42" s="7">
        <f t="shared" si="19"/>
        <v>0</v>
      </c>
      <c r="BK42" s="7">
        <f t="shared" si="20"/>
        <v>0</v>
      </c>
      <c r="BL42" s="17">
        <f>IF(BF42="","",IF(AND(BI41=BI42,BJ41=BJ42,BK41=BK42),BL41,$BL$9+33))</f>
        <v>25</v>
      </c>
      <c r="BM42" s="22"/>
      <c r="BN42" s="3"/>
    </row>
    <row r="43" spans="1:66" ht="15.6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P43" s="18"/>
      <c r="Q43" s="18"/>
      <c r="R43" s="18"/>
      <c r="S43" s="18"/>
      <c r="T43" s="18"/>
      <c r="U43" s="18"/>
      <c r="V43" s="18"/>
      <c r="W43" s="18"/>
      <c r="X43" s="18"/>
      <c r="Y43" s="382">
        <v>5</v>
      </c>
      <c r="Z43" s="9" t="str">
        <f>+O18</f>
        <v>A9</v>
      </c>
      <c r="AA43" s="25">
        <v>0</v>
      </c>
      <c r="AB43" s="38">
        <f>IF(AA43+AA47=0,0,IF(AA43=AA47,2,IF(AA43&gt;AA47,3,1)))</f>
        <v>0</v>
      </c>
      <c r="AC43" s="10">
        <f>AA43-AA47</f>
        <v>0</v>
      </c>
      <c r="AD43" s="19"/>
      <c r="AE43" s="9" t="str">
        <f>+R18</f>
        <v>A10</v>
      </c>
      <c r="AF43" s="107">
        <v>0</v>
      </c>
      <c r="AG43" s="38">
        <f>IF(AF43+AF47=0,0,IF(AF43=AF47,2,IF(AF43&gt;AF47,3,1)))</f>
        <v>0</v>
      </c>
      <c r="AH43" s="10">
        <f>AF43-AF47</f>
        <v>0</v>
      </c>
      <c r="AI43" s="19"/>
      <c r="AJ43" s="9" t="str">
        <f>+U18</f>
        <v>A8</v>
      </c>
      <c r="AK43" s="28">
        <v>0</v>
      </c>
      <c r="AL43" s="38">
        <f>IF(AK43+AK47=0,0,IF(AK43=AK47,2,IF(AK43&gt;AK47,3,1)))</f>
        <v>0</v>
      </c>
      <c r="AM43" s="10">
        <f>AK43-AK47</f>
        <v>0</v>
      </c>
      <c r="AN43" s="18"/>
      <c r="AO43" s="44">
        <v>35</v>
      </c>
      <c r="AP43" s="279" t="str">
        <f>+Inscrits!D19</f>
        <v>B17</v>
      </c>
      <c r="AQ43" s="247" t="str">
        <f t="shared" si="3"/>
        <v xml:space="preserve"> </v>
      </c>
      <c r="AR43" s="82" t="str">
        <f t="shared" si="4"/>
        <v xml:space="preserve"> </v>
      </c>
      <c r="AS43" s="184" t="str">
        <f t="shared" si="5"/>
        <v xml:space="preserve"> </v>
      </c>
      <c r="AT43" s="250" t="str">
        <f t="shared" si="6"/>
        <v xml:space="preserve"> </v>
      </c>
      <c r="AU43" s="82" t="str">
        <f t="shared" si="7"/>
        <v xml:space="preserve"> </v>
      </c>
      <c r="AV43" s="252" t="str">
        <f t="shared" si="8"/>
        <v xml:space="preserve"> </v>
      </c>
      <c r="AW43" s="247" t="str">
        <f t="shared" si="9"/>
        <v xml:space="preserve"> </v>
      </c>
      <c r="AX43" s="82" t="str">
        <f t="shared" si="10"/>
        <v xml:space="preserve"> </v>
      </c>
      <c r="AY43" s="252" t="str">
        <f t="shared" si="11"/>
        <v xml:space="preserve"> </v>
      </c>
      <c r="AZ43" s="247">
        <f t="shared" si="17"/>
        <v>0</v>
      </c>
      <c r="BA43" s="82">
        <f t="shared" si="12"/>
        <v>0</v>
      </c>
      <c r="BB43" s="252">
        <f t="shared" si="13"/>
        <v>0</v>
      </c>
      <c r="BC43" s="255">
        <f t="shared" si="14"/>
        <v>0</v>
      </c>
      <c r="BD43" s="7">
        <f t="shared" si="15"/>
        <v>0</v>
      </c>
      <c r="BE43" s="183">
        <f t="shared" si="16"/>
        <v>25.00000043</v>
      </c>
      <c r="BF43" s="82">
        <f>IF(AP43="","",SMALL(BE$9:BE$62,ROWS(AZ$9:AZ43)))</f>
        <v>25.00000026</v>
      </c>
      <c r="BG43"/>
      <c r="BH43" s="78" t="str">
        <f>IF(OR(AP43="",AZ43=""),"",INDEX($AP$9:$AP$63,MATCH(BF43,$BE$9:BE$62,0)))</f>
        <v>A18</v>
      </c>
      <c r="BI43" s="255">
        <f t="shared" si="18"/>
        <v>0</v>
      </c>
      <c r="BJ43" s="7">
        <f t="shared" si="19"/>
        <v>0</v>
      </c>
      <c r="BK43" s="7">
        <f t="shared" si="20"/>
        <v>0</v>
      </c>
      <c r="BL43" s="17">
        <f>IF(BF43="","",IF(AND(BI42=BI43,BJ42=BJ43,BK42=BK43),BL42,$BL$9+34))</f>
        <v>25</v>
      </c>
      <c r="BM43" s="22"/>
      <c r="BN43" s="3"/>
    </row>
    <row r="44" spans="1:66" ht="16.2" thickBot="1" x14ac:dyDescent="0.3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P44" s="18"/>
      <c r="Q44" s="18"/>
      <c r="R44" s="18"/>
      <c r="S44" s="18"/>
      <c r="T44" s="18"/>
      <c r="U44" s="18"/>
      <c r="V44" s="18"/>
      <c r="W44" s="18"/>
      <c r="X44" s="18"/>
      <c r="Y44" s="383"/>
      <c r="Z44" s="11" t="str">
        <f>+P18</f>
        <v>B9</v>
      </c>
      <c r="AA44" s="14">
        <f>IF(ISTEXT(Z44),AA43,0)</f>
        <v>0</v>
      </c>
      <c r="AB44" s="14">
        <f>IF(ISTEXT(Z44),AB43,0)</f>
        <v>0</v>
      </c>
      <c r="AC44" s="15">
        <f>IF(ISTEXT(Z44),AC43,0)</f>
        <v>0</v>
      </c>
      <c r="AD44" s="6"/>
      <c r="AE44" s="11" t="str">
        <f>+S18</f>
        <v>B1</v>
      </c>
      <c r="AF44" s="14">
        <f>IF(ISTEXT(AE44),AF43,0)</f>
        <v>0</v>
      </c>
      <c r="AG44" s="48">
        <f>IF(ISTEXT(AE44),AG43,0)</f>
        <v>0</v>
      </c>
      <c r="AH44" s="15">
        <f>IF(ISTEXT(AE44),AH43,0)</f>
        <v>0</v>
      </c>
      <c r="AI44" s="6"/>
      <c r="AJ44" s="11" t="str">
        <f>+V18</f>
        <v>B1</v>
      </c>
      <c r="AK44" s="14">
        <f>IF(ISTEXT(AJ44),AK43,0)</f>
        <v>0</v>
      </c>
      <c r="AL44" s="48">
        <f>IF(ISTEXT(AJ44),AL43,0)</f>
        <v>0</v>
      </c>
      <c r="AM44" s="15">
        <f>IF(ISTEXT(AJ44),AM43,0)</f>
        <v>0</v>
      </c>
      <c r="AN44" s="18"/>
      <c r="AO44" s="44">
        <v>36</v>
      </c>
      <c r="AP44" s="279" t="str">
        <f>+Inscrits!D20</f>
        <v>B18</v>
      </c>
      <c r="AQ44" s="247" t="str">
        <f t="shared" si="3"/>
        <v xml:space="preserve"> </v>
      </c>
      <c r="AR44" s="82" t="str">
        <f t="shared" si="4"/>
        <v xml:space="preserve"> </v>
      </c>
      <c r="AS44" s="184" t="str">
        <f t="shared" si="5"/>
        <v xml:space="preserve"> </v>
      </c>
      <c r="AT44" s="250" t="str">
        <f t="shared" si="6"/>
        <v xml:space="preserve"> </v>
      </c>
      <c r="AU44" s="82" t="str">
        <f t="shared" si="7"/>
        <v xml:space="preserve"> </v>
      </c>
      <c r="AV44" s="252" t="str">
        <f t="shared" si="8"/>
        <v xml:space="preserve"> </v>
      </c>
      <c r="AW44" s="247" t="str">
        <f t="shared" si="9"/>
        <v xml:space="preserve"> </v>
      </c>
      <c r="AX44" s="82" t="str">
        <f t="shared" si="10"/>
        <v xml:space="preserve"> </v>
      </c>
      <c r="AY44" s="252" t="str">
        <f t="shared" si="11"/>
        <v xml:space="preserve"> </v>
      </c>
      <c r="AZ44" s="247">
        <f t="shared" si="17"/>
        <v>0</v>
      </c>
      <c r="BA44" s="82">
        <f t="shared" si="12"/>
        <v>0</v>
      </c>
      <c r="BB44" s="252">
        <f t="shared" si="13"/>
        <v>0</v>
      </c>
      <c r="BC44" s="255">
        <f t="shared" si="14"/>
        <v>0</v>
      </c>
      <c r="BD44" s="7">
        <f t="shared" si="15"/>
        <v>0</v>
      </c>
      <c r="BE44" s="183">
        <f t="shared" si="16"/>
        <v>25.000000440000001</v>
      </c>
      <c r="BF44" s="82">
        <f>IF(AP44="","",SMALL(BE$9:BE$62,ROWS(AZ$9:AZ44)))</f>
        <v>25.000000350000001</v>
      </c>
      <c r="BG44"/>
      <c r="BH44" s="78" t="str">
        <f>IF(OR(AP44="",AZ44=""),"",INDEX($AP$9:$AP$63,MATCH(BF44,$BE$9:BE$62,0)))</f>
        <v>B9</v>
      </c>
      <c r="BI44" s="255">
        <f t="shared" si="18"/>
        <v>0</v>
      </c>
      <c r="BJ44" s="7">
        <f t="shared" si="19"/>
        <v>0</v>
      </c>
      <c r="BK44" s="7">
        <f t="shared" si="20"/>
        <v>0</v>
      </c>
      <c r="BL44" s="17">
        <f>IF(BF44="","",IF(AND(BI43=BI44,BJ43=BJ44,BK43=BK44),BL43,$BL$9+35))</f>
        <v>25</v>
      </c>
      <c r="BM44" s="22"/>
      <c r="BN44" s="3"/>
    </row>
    <row r="45" spans="1:66" ht="15.6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P45" s="18"/>
      <c r="Q45" s="18"/>
      <c r="R45" s="18"/>
      <c r="S45" s="18"/>
      <c r="T45" s="18"/>
      <c r="U45" s="18"/>
      <c r="V45" s="18"/>
      <c r="W45" s="18"/>
      <c r="X45" s="18"/>
      <c r="Y45" s="383"/>
      <c r="Z45" s="11" t="str">
        <f>+Q18</f>
        <v>C9</v>
      </c>
      <c r="AA45" s="55">
        <f>IF(ISTEXT(Z45),AA43,0)</f>
        <v>0</v>
      </c>
      <c r="AB45" s="55">
        <f>IF(ISTEXT(Z45),AB43,0)</f>
        <v>0</v>
      </c>
      <c r="AC45" s="56">
        <f>IF(ISTEXT(Z45),AC43,0)</f>
        <v>0</v>
      </c>
      <c r="AD45" s="6"/>
      <c r="AE45" s="11" t="str">
        <f>+T18</f>
        <v>C4</v>
      </c>
      <c r="AF45" s="55">
        <f>IF(ISTEXT(AE45),AF43,0)</f>
        <v>0</v>
      </c>
      <c r="AG45" s="52">
        <f>IF(ISTEXT(AE45),AG43,0)</f>
        <v>0</v>
      </c>
      <c r="AH45" s="56">
        <f>IF(ISTEXT(AE45),AH43,0)</f>
        <v>0</v>
      </c>
      <c r="AI45" s="6"/>
      <c r="AJ45" s="11" t="str">
        <f>+W18</f>
        <v>C10</v>
      </c>
      <c r="AK45" s="55">
        <f>IF(ISTEXT(AJ45),AK43,0)</f>
        <v>0</v>
      </c>
      <c r="AL45" s="52">
        <f>IF(ISTEXT(AJ45),AL43,0)</f>
        <v>0</v>
      </c>
      <c r="AM45" s="56">
        <f>IF(ISTEXT(AJ45),AM43,0)</f>
        <v>0</v>
      </c>
      <c r="AN45" s="18"/>
      <c r="AO45" s="44">
        <v>37</v>
      </c>
      <c r="AP45" s="5" t="str">
        <f>+Inscrits!F3</f>
        <v>C1</v>
      </c>
      <c r="AQ45" s="247">
        <f t="shared" si="3"/>
        <v>1</v>
      </c>
      <c r="AR45" s="82">
        <f t="shared" si="4"/>
        <v>-2</v>
      </c>
      <c r="AS45" s="184">
        <f t="shared" si="5"/>
        <v>8</v>
      </c>
      <c r="AT45" s="250">
        <f t="shared" si="6"/>
        <v>3</v>
      </c>
      <c r="AU45" s="82">
        <f t="shared" si="7"/>
        <v>4</v>
      </c>
      <c r="AV45" s="252">
        <f t="shared" si="8"/>
        <v>9</v>
      </c>
      <c r="AW45" s="247" t="str">
        <f t="shared" si="9"/>
        <v>0</v>
      </c>
      <c r="AX45" s="82" t="str">
        <f t="shared" si="10"/>
        <v>0</v>
      </c>
      <c r="AY45" s="252" t="str">
        <f t="shared" si="11"/>
        <v>0</v>
      </c>
      <c r="AZ45" s="247">
        <f t="shared" si="17"/>
        <v>4</v>
      </c>
      <c r="BA45" s="82">
        <f t="shared" si="12"/>
        <v>2</v>
      </c>
      <c r="BB45" s="252">
        <f t="shared" si="13"/>
        <v>17</v>
      </c>
      <c r="BC45" s="255">
        <f t="shared" si="14"/>
        <v>0</v>
      </c>
      <c r="BD45" s="7">
        <f t="shared" si="15"/>
        <v>2</v>
      </c>
      <c r="BE45" s="183">
        <f t="shared" si="16"/>
        <v>11.978300450000001</v>
      </c>
      <c r="BF45" s="82">
        <f>IF(AP45="","",SMALL(BE$9:BE$62,ROWS(AZ$9:AZ45)))</f>
        <v>25.000000360000001</v>
      </c>
      <c r="BG45"/>
      <c r="BH45" s="78" t="str">
        <f>IF(OR(AP45="",AZ45=""),"",INDEX($AP$9:$AP$63,MATCH(BF45,$BE$9:BE$62,0)))</f>
        <v>B10</v>
      </c>
      <c r="BI45" s="255">
        <f t="shared" si="18"/>
        <v>0</v>
      </c>
      <c r="BJ45" s="7">
        <f t="shared" si="19"/>
        <v>0</v>
      </c>
      <c r="BK45" s="7">
        <f t="shared" si="20"/>
        <v>0</v>
      </c>
      <c r="BL45" s="17">
        <f>IF(BF45="","",IF(AND(BI44=BI45,BJ44=BJ45,BK44=BK45),BL44,$BL$9+36))</f>
        <v>25</v>
      </c>
      <c r="BM45" s="22"/>
      <c r="BN45" s="3"/>
    </row>
    <row r="46" spans="1:66" ht="15.6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P46" s="18"/>
      <c r="Q46" s="18"/>
      <c r="R46" s="18"/>
      <c r="S46" s="18"/>
      <c r="T46" s="18"/>
      <c r="U46" s="18"/>
      <c r="V46" s="18"/>
      <c r="W46" s="18"/>
      <c r="X46" s="18"/>
      <c r="Y46" s="383"/>
      <c r="Z46" s="24"/>
      <c r="AA46" s="195" t="s">
        <v>5</v>
      </c>
      <c r="AB46" s="16"/>
      <c r="AC46" s="17"/>
      <c r="AD46" s="20"/>
      <c r="AE46" s="24"/>
      <c r="AF46" s="195" t="s">
        <v>5</v>
      </c>
      <c r="AG46" s="16"/>
      <c r="AH46" s="17"/>
      <c r="AI46" s="20"/>
      <c r="AJ46" s="24"/>
      <c r="AK46" s="195" t="s">
        <v>5</v>
      </c>
      <c r="AL46" s="16"/>
      <c r="AM46" s="17"/>
      <c r="AN46" s="18"/>
      <c r="AO46" s="44">
        <v>38</v>
      </c>
      <c r="AP46" s="5" t="str">
        <f>+Inscrits!F4</f>
        <v>C2</v>
      </c>
      <c r="AQ46" s="247">
        <f t="shared" si="3"/>
        <v>3</v>
      </c>
      <c r="AR46" s="82">
        <f t="shared" si="4"/>
        <v>2</v>
      </c>
      <c r="AS46" s="184">
        <f t="shared" si="5"/>
        <v>10</v>
      </c>
      <c r="AT46" s="250">
        <f t="shared" si="6"/>
        <v>1</v>
      </c>
      <c r="AU46" s="82">
        <f t="shared" si="7"/>
        <v>-1</v>
      </c>
      <c r="AV46" s="252">
        <f t="shared" si="8"/>
        <v>7</v>
      </c>
      <c r="AW46" s="247">
        <f t="shared" si="9"/>
        <v>3</v>
      </c>
      <c r="AX46" s="82">
        <f t="shared" si="10"/>
        <v>5</v>
      </c>
      <c r="AY46" s="252">
        <f t="shared" si="11"/>
        <v>10</v>
      </c>
      <c r="AZ46" s="247">
        <f t="shared" si="17"/>
        <v>7</v>
      </c>
      <c r="BA46" s="82">
        <f t="shared" si="12"/>
        <v>6</v>
      </c>
      <c r="BB46" s="252">
        <f t="shared" si="13"/>
        <v>27</v>
      </c>
      <c r="BC46" s="255">
        <f t="shared" si="14"/>
        <v>0</v>
      </c>
      <c r="BD46" s="7">
        <f t="shared" si="15"/>
        <v>6</v>
      </c>
      <c r="BE46" s="183">
        <f t="shared" si="16"/>
        <v>1.9373004600000001</v>
      </c>
      <c r="BF46" s="82">
        <f>IF(AP46="","",SMALL(BE$9:BE$62,ROWS(AZ$9:AZ46)))</f>
        <v>25.000000369999999</v>
      </c>
      <c r="BG46"/>
      <c r="BH46" s="78" t="str">
        <f>IF(OR(AP46="",AZ46=""),"",INDEX($AP$9:$AP$63,MATCH(BF46,$BE$9:BE$62,0)))</f>
        <v>B11</v>
      </c>
      <c r="BI46" s="255">
        <f t="shared" si="18"/>
        <v>0</v>
      </c>
      <c r="BJ46" s="7">
        <f t="shared" si="19"/>
        <v>0</v>
      </c>
      <c r="BK46" s="7">
        <f t="shared" si="20"/>
        <v>0</v>
      </c>
      <c r="BL46" s="17">
        <f>IF(BF46="","",IF(AND(BI45=BI46,BJ45=BJ46,BK45=BK46),BL45,$BL$9+37))</f>
        <v>25</v>
      </c>
      <c r="BM46" s="22"/>
      <c r="BN46" s="3"/>
    </row>
    <row r="47" spans="1:66" ht="15.6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P47" s="18"/>
      <c r="Q47" s="18"/>
      <c r="R47" s="18"/>
      <c r="S47" s="18"/>
      <c r="T47" s="18"/>
      <c r="U47" s="18"/>
      <c r="V47" s="18"/>
      <c r="W47" s="18"/>
      <c r="X47" s="18"/>
      <c r="Y47" s="383"/>
      <c r="Z47" s="11" t="str">
        <f>+O19</f>
        <v>A10</v>
      </c>
      <c r="AA47" s="27">
        <v>0</v>
      </c>
      <c r="AB47" s="23">
        <f>IF(AA43+AA47=0,0,IF(AA43=AA47,2,IF(AA43&lt;AA47,3,1)))</f>
        <v>0</v>
      </c>
      <c r="AC47" s="12">
        <f>AA47-AA43</f>
        <v>0</v>
      </c>
      <c r="AD47" s="19"/>
      <c r="AE47" s="11" t="str">
        <f>+R19</f>
        <v>A1</v>
      </c>
      <c r="AF47" s="108">
        <v>0</v>
      </c>
      <c r="AG47" s="23">
        <f>IF(AF43+AF47=0,0,IF(AF43=AF47,2,IF(AF43&lt;AF47,3,1)))</f>
        <v>0</v>
      </c>
      <c r="AH47" s="12">
        <f>AF47-AF43</f>
        <v>0</v>
      </c>
      <c r="AI47" s="19"/>
      <c r="AJ47" s="11" t="str">
        <f>+U19</f>
        <v>A10</v>
      </c>
      <c r="AK47" s="29">
        <v>0</v>
      </c>
      <c r="AL47" s="23">
        <f>IF(AK43+AK47=0,0,IF(AK43=AK47,2,IF(AK43&lt;AK47,3,1)))</f>
        <v>0</v>
      </c>
      <c r="AM47" s="12">
        <f>AK47-AK43</f>
        <v>0</v>
      </c>
      <c r="AN47" s="18"/>
      <c r="AO47" s="44">
        <v>39</v>
      </c>
      <c r="AP47" s="5" t="str">
        <f>+Inscrits!F5</f>
        <v>C3</v>
      </c>
      <c r="AQ47" s="247">
        <f t="shared" si="3"/>
        <v>1</v>
      </c>
      <c r="AR47" s="82">
        <f t="shared" si="4"/>
        <v>-3</v>
      </c>
      <c r="AS47" s="184">
        <f t="shared" si="5"/>
        <v>8</v>
      </c>
      <c r="AT47" s="250">
        <f t="shared" si="6"/>
        <v>1</v>
      </c>
      <c r="AU47" s="82">
        <f t="shared" si="7"/>
        <v>-4</v>
      </c>
      <c r="AV47" s="252">
        <f t="shared" si="8"/>
        <v>5</v>
      </c>
      <c r="AW47" s="247" t="str">
        <f t="shared" si="9"/>
        <v>0</v>
      </c>
      <c r="AX47" s="82" t="str">
        <f t="shared" si="10"/>
        <v>0</v>
      </c>
      <c r="AY47" s="252" t="str">
        <f t="shared" si="11"/>
        <v>0</v>
      </c>
      <c r="AZ47" s="247">
        <f t="shared" si="17"/>
        <v>2</v>
      </c>
      <c r="BA47" s="82">
        <f t="shared" si="12"/>
        <v>-7</v>
      </c>
      <c r="BB47" s="252">
        <f t="shared" si="13"/>
        <v>13</v>
      </c>
      <c r="BC47" s="255">
        <f t="shared" si="14"/>
        <v>-7</v>
      </c>
      <c r="BD47" s="7">
        <f t="shared" si="15"/>
        <v>0</v>
      </c>
      <c r="BE47" s="183">
        <f t="shared" si="16"/>
        <v>21.06870047</v>
      </c>
      <c r="BF47" s="82">
        <f>IF(AP47="","",SMALL(BE$9:BE$62,ROWS(AZ$9:AZ47)))</f>
        <v>25.000000379999999</v>
      </c>
      <c r="BG47"/>
      <c r="BH47" s="78" t="str">
        <f>IF(OR(AP47="",AZ47=""),"",INDEX($AP$9:$AP$63,MATCH(BF47,$BE$9:BE$62,0)))</f>
        <v>B12</v>
      </c>
      <c r="BI47" s="255">
        <f t="shared" si="18"/>
        <v>0</v>
      </c>
      <c r="BJ47" s="7">
        <f t="shared" si="19"/>
        <v>0</v>
      </c>
      <c r="BK47" s="7">
        <f t="shared" si="20"/>
        <v>0</v>
      </c>
      <c r="BL47" s="17">
        <f>IF(BF47="","",IF(AND(BI46=BI47,BJ46=BJ47,BK46=BK47),BL46,$BL$9+38))</f>
        <v>25</v>
      </c>
      <c r="BM47" s="22"/>
      <c r="BN47" s="3"/>
    </row>
    <row r="48" spans="1:66" ht="16.2" thickBot="1" x14ac:dyDescent="0.3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P48" s="18"/>
      <c r="Q48" s="18"/>
      <c r="R48" s="18"/>
      <c r="S48" s="18"/>
      <c r="T48" s="18"/>
      <c r="U48" s="18"/>
      <c r="V48" s="18"/>
      <c r="W48" s="18"/>
      <c r="X48" s="18"/>
      <c r="Y48" s="383"/>
      <c r="Z48" s="11" t="str">
        <f>+P19</f>
        <v>B10</v>
      </c>
      <c r="AA48" s="14">
        <f>IF(ISTEXT(Z48),AA47,0)</f>
        <v>0</v>
      </c>
      <c r="AB48" s="14">
        <f>IF(ISTEXT(Z48),AB47,0)</f>
        <v>0</v>
      </c>
      <c r="AC48" s="15">
        <f>IF(ISTEXT(Z48),AC47,0)</f>
        <v>0</v>
      </c>
      <c r="AD48" s="6"/>
      <c r="AE48" s="11" t="str">
        <f>+S19</f>
        <v>B9</v>
      </c>
      <c r="AF48" s="14">
        <f>IF(ISTEXT(AE48),AF47,0)</f>
        <v>0</v>
      </c>
      <c r="AG48" s="14">
        <f>IF(ISTEXT(AE48),AG47,0)</f>
        <v>0</v>
      </c>
      <c r="AH48" s="15">
        <f>IF(ISTEXT(AE48),AH47,0)</f>
        <v>0</v>
      </c>
      <c r="AI48" s="6"/>
      <c r="AJ48" s="11" t="str">
        <f>+V19</f>
        <v>B2</v>
      </c>
      <c r="AK48" s="14">
        <f>IF(ISTEXT(AJ48),AK47,0)</f>
        <v>0</v>
      </c>
      <c r="AL48" s="14">
        <f>IF(ISTEXT(AJ48),AL47,0)</f>
        <v>0</v>
      </c>
      <c r="AM48" s="15">
        <f>IF(ISTEXT(AJ48),AM47,0)</f>
        <v>0</v>
      </c>
      <c r="AN48" s="18"/>
      <c r="AO48" s="44">
        <v>40</v>
      </c>
      <c r="AP48" s="5" t="str">
        <f>+Inscrits!F6</f>
        <v>C4</v>
      </c>
      <c r="AQ48" s="247">
        <f t="shared" si="3"/>
        <v>3</v>
      </c>
      <c r="AR48" s="82">
        <f t="shared" si="4"/>
        <v>3</v>
      </c>
      <c r="AS48" s="184">
        <f t="shared" si="5"/>
        <v>11</v>
      </c>
      <c r="AT48" s="250" t="str">
        <f t="shared" si="6"/>
        <v>0</v>
      </c>
      <c r="AU48" s="82" t="str">
        <f t="shared" si="7"/>
        <v>0</v>
      </c>
      <c r="AV48" s="252" t="str">
        <f t="shared" si="8"/>
        <v>0</v>
      </c>
      <c r="AW48" s="247" t="str">
        <f t="shared" si="9"/>
        <v>0</v>
      </c>
      <c r="AX48" s="82" t="str">
        <f t="shared" si="10"/>
        <v>0</v>
      </c>
      <c r="AY48" s="252" t="str">
        <f t="shared" si="11"/>
        <v>0</v>
      </c>
      <c r="AZ48" s="247">
        <f t="shared" si="17"/>
        <v>3</v>
      </c>
      <c r="BA48" s="82">
        <f t="shared" si="12"/>
        <v>3</v>
      </c>
      <c r="BB48" s="252">
        <f t="shared" si="13"/>
        <v>11</v>
      </c>
      <c r="BC48" s="255">
        <f t="shared" si="14"/>
        <v>0</v>
      </c>
      <c r="BD48" s="7">
        <f t="shared" si="15"/>
        <v>3</v>
      </c>
      <c r="BE48" s="183">
        <f t="shared" si="16"/>
        <v>15.968900480000002</v>
      </c>
      <c r="BF48" s="82">
        <f>IF(AP48="","",SMALL(BE$9:BE$62,ROWS(AZ$9:AZ48)))</f>
        <v>25.00000039</v>
      </c>
      <c r="BG48"/>
      <c r="BH48" s="78" t="str">
        <f>IF(OR(AP48="",AZ48=""),"",INDEX($AP$9:$AP$63,MATCH(BF48,$BE$9:BE$62,0)))</f>
        <v>B13</v>
      </c>
      <c r="BI48" s="255">
        <f t="shared" si="18"/>
        <v>0</v>
      </c>
      <c r="BJ48" s="7">
        <f t="shared" si="19"/>
        <v>0</v>
      </c>
      <c r="BK48" s="7">
        <f t="shared" si="20"/>
        <v>0</v>
      </c>
      <c r="BL48" s="17">
        <f>IF(BF48="","",IF(AND(BI47=BI48,BJ47=BJ48,BK47=BK48),BL47,$BL$9+39))</f>
        <v>25</v>
      </c>
      <c r="BM48" s="22"/>
      <c r="BN48" s="3"/>
    </row>
    <row r="49" spans="1:66" ht="16.2" thickBot="1" x14ac:dyDescent="0.3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P49" s="18"/>
      <c r="Q49" s="18"/>
      <c r="R49" s="18"/>
      <c r="S49" s="18"/>
      <c r="T49" s="18"/>
      <c r="U49" s="18"/>
      <c r="V49" s="18"/>
      <c r="W49" s="18"/>
      <c r="X49" s="18"/>
      <c r="Y49" s="384"/>
      <c r="Z49" s="13" t="str">
        <f>+Q19</f>
        <v>C10</v>
      </c>
      <c r="AA49" s="14">
        <f>IF(ISTEXT(Z49),AA47,0)</f>
        <v>0</v>
      </c>
      <c r="AB49" s="14">
        <f>IF(ISTEXT(Z49),AB47,0)</f>
        <v>0</v>
      </c>
      <c r="AC49" s="15">
        <f>IF(ISTEXT(Z49),AC47,0)</f>
        <v>0</v>
      </c>
      <c r="AD49" s="6"/>
      <c r="AE49" s="13" t="str">
        <f>+T19</f>
        <v>C10</v>
      </c>
      <c r="AF49" s="14">
        <f>IF(ISTEXT(AE49),AF47,0)</f>
        <v>0</v>
      </c>
      <c r="AG49" s="14">
        <f>IF(ISTEXT(AE49),AG47,0)</f>
        <v>0</v>
      </c>
      <c r="AH49" s="15">
        <f>IF(ISTEXT(AE49),AH47,0)</f>
        <v>0</v>
      </c>
      <c r="AI49" s="6"/>
      <c r="AJ49" s="13" t="str">
        <f>+W19</f>
        <v>C3</v>
      </c>
      <c r="AK49" s="14">
        <f>IF(ISTEXT(AJ49),AK47,0)</f>
        <v>0</v>
      </c>
      <c r="AL49" s="14">
        <f>IF(ISTEXT(AJ49),AL47,0)</f>
        <v>0</v>
      </c>
      <c r="AM49" s="15">
        <f>IF(ISTEXT(AJ49),AM47,0)</f>
        <v>0</v>
      </c>
      <c r="AN49" s="18"/>
      <c r="AO49" s="44">
        <v>41</v>
      </c>
      <c r="AP49" s="5" t="str">
        <f>+Inscrits!F7</f>
        <v>C5</v>
      </c>
      <c r="AQ49" s="247">
        <f t="shared" si="3"/>
        <v>3</v>
      </c>
      <c r="AR49" s="82">
        <f t="shared" si="4"/>
        <v>12</v>
      </c>
      <c r="AS49" s="184">
        <f t="shared" si="5"/>
        <v>13</v>
      </c>
      <c r="AT49" s="250">
        <f t="shared" si="6"/>
        <v>3</v>
      </c>
      <c r="AU49" s="82">
        <f t="shared" si="7"/>
        <v>2</v>
      </c>
      <c r="AV49" s="252">
        <f t="shared" si="8"/>
        <v>6</v>
      </c>
      <c r="AW49" s="247">
        <f t="shared" si="9"/>
        <v>3</v>
      </c>
      <c r="AX49" s="82">
        <f t="shared" si="10"/>
        <v>11</v>
      </c>
      <c r="AY49" s="252">
        <f t="shared" si="11"/>
        <v>13</v>
      </c>
      <c r="AZ49" s="247">
        <f t="shared" si="17"/>
        <v>9</v>
      </c>
      <c r="BA49" s="82">
        <f t="shared" si="12"/>
        <v>25</v>
      </c>
      <c r="BB49" s="252">
        <f t="shared" si="13"/>
        <v>32</v>
      </c>
      <c r="BC49" s="255">
        <f t="shared" si="14"/>
        <v>0</v>
      </c>
      <c r="BD49" s="7">
        <f t="shared" si="15"/>
        <v>25</v>
      </c>
      <c r="BE49" s="183">
        <f t="shared" si="16"/>
        <v>0.74680049000000004</v>
      </c>
      <c r="BF49" s="82">
        <f>IF(AP49="","",SMALL(BE$9:BE$62,ROWS(AZ$9:AZ49)))</f>
        <v>25.000000400000001</v>
      </c>
      <c r="BG49"/>
      <c r="BH49" s="78" t="str">
        <f>IF(OR(AP49="",AZ49=""),"",INDEX($AP$9:$AP$63,MATCH(BF49,$BE$9:BE$62,0)))</f>
        <v>B14</v>
      </c>
      <c r="BI49" s="255">
        <f t="shared" si="18"/>
        <v>0</v>
      </c>
      <c r="BJ49" s="7">
        <f t="shared" si="19"/>
        <v>0</v>
      </c>
      <c r="BK49" s="7">
        <f t="shared" si="20"/>
        <v>0</v>
      </c>
      <c r="BL49" s="17">
        <f>IF(BF49="","",IF(AND(BI48=BI49,BJ48=BJ49,BK48=BK49),BL48,$BL$9+40))</f>
        <v>25</v>
      </c>
      <c r="BM49" s="22"/>
      <c r="BN49" s="3"/>
    </row>
    <row r="50" spans="1:66" ht="16.2" thickBot="1" x14ac:dyDescent="0.3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P50" s="18"/>
      <c r="Q50" s="18"/>
      <c r="R50" s="18"/>
      <c r="S50" s="18"/>
      <c r="T50" s="18"/>
      <c r="U50" s="18"/>
      <c r="V50" s="18"/>
      <c r="W50" s="18"/>
      <c r="X50" s="18"/>
      <c r="Y50" s="20"/>
      <c r="Z50" s="59"/>
      <c r="AA50" s="199"/>
      <c r="AB50" s="59"/>
      <c r="AC50" s="59"/>
      <c r="AD50" s="199"/>
      <c r="AE50" s="59"/>
      <c r="AF50" s="199"/>
      <c r="AG50" s="59"/>
      <c r="AH50" s="59"/>
      <c r="AI50" s="199"/>
      <c r="AJ50" s="59"/>
      <c r="AK50" s="199"/>
      <c r="AL50" s="59"/>
      <c r="AM50" s="59"/>
      <c r="AN50" s="18"/>
      <c r="AO50" s="44">
        <v>42</v>
      </c>
      <c r="AP50" s="5" t="str">
        <f>+Inscrits!F8</f>
        <v>C6</v>
      </c>
      <c r="AQ50" s="247">
        <f t="shared" si="3"/>
        <v>1</v>
      </c>
      <c r="AR50" s="82">
        <f t="shared" si="4"/>
        <v>-12</v>
      </c>
      <c r="AS50" s="184">
        <f t="shared" si="5"/>
        <v>1</v>
      </c>
      <c r="AT50" s="250">
        <f t="shared" si="6"/>
        <v>1</v>
      </c>
      <c r="AU50" s="82">
        <f t="shared" si="7"/>
        <v>-2</v>
      </c>
      <c r="AV50" s="252">
        <f t="shared" si="8"/>
        <v>4</v>
      </c>
      <c r="AW50" s="247">
        <f t="shared" si="9"/>
        <v>1</v>
      </c>
      <c r="AX50" s="82">
        <f t="shared" si="10"/>
        <v>-11</v>
      </c>
      <c r="AY50" s="252">
        <f t="shared" si="11"/>
        <v>2</v>
      </c>
      <c r="AZ50" s="247">
        <f t="shared" si="17"/>
        <v>3</v>
      </c>
      <c r="BA50" s="82">
        <f t="shared" si="12"/>
        <v>-25</v>
      </c>
      <c r="BB50" s="252">
        <f t="shared" si="13"/>
        <v>7</v>
      </c>
      <c r="BC50" s="255">
        <f t="shared" si="14"/>
        <v>-25</v>
      </c>
      <c r="BD50" s="7">
        <f t="shared" si="15"/>
        <v>0</v>
      </c>
      <c r="BE50" s="183">
        <f t="shared" si="16"/>
        <v>16.2493005</v>
      </c>
      <c r="BF50" s="82">
        <f>IF(AP50="","",SMALL(BE$9:BE$62,ROWS(AZ$9:AZ50)))</f>
        <v>25.000000409999998</v>
      </c>
      <c r="BG50"/>
      <c r="BH50" s="78" t="str">
        <f>IF(OR(AP50="",AZ50=""),"",INDEX($AP$9:$AP$63,MATCH(BF50,$BE$9:BE$62,0)))</f>
        <v>B15</v>
      </c>
      <c r="BI50" s="255">
        <f t="shared" si="18"/>
        <v>0</v>
      </c>
      <c r="BJ50" s="7">
        <f t="shared" si="19"/>
        <v>0</v>
      </c>
      <c r="BK50" s="7">
        <f t="shared" si="20"/>
        <v>0</v>
      </c>
      <c r="BL50" s="17">
        <f>IF(BF50="","",IF(AND(BI49=BI50,BJ49=BJ50,BK49=BK50),BL49,$BL$9+41))</f>
        <v>25</v>
      </c>
      <c r="BM50" s="22"/>
      <c r="BN50" s="3"/>
    </row>
    <row r="51" spans="1:66" ht="15.6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P51" s="18"/>
      <c r="Q51" s="18"/>
      <c r="R51" s="18"/>
      <c r="S51" s="18"/>
      <c r="T51" s="18"/>
      <c r="U51" s="18"/>
      <c r="V51" s="18"/>
      <c r="W51" s="18"/>
      <c r="X51" s="18"/>
      <c r="Y51" s="382">
        <v>6</v>
      </c>
      <c r="Z51" s="9">
        <f>+O20</f>
        <v>0</v>
      </c>
      <c r="AA51" s="25">
        <v>0</v>
      </c>
      <c r="AB51" s="38">
        <f>IF(AA51+AA55=0,0,IF(AA51=AA55,2,IF(AA51&gt;AA55,3,1)))</f>
        <v>0</v>
      </c>
      <c r="AC51" s="10">
        <f>AA51-AA55</f>
        <v>0</v>
      </c>
      <c r="AD51" s="19"/>
      <c r="AE51" s="9">
        <f>+R20</f>
        <v>0</v>
      </c>
      <c r="AF51" s="107">
        <v>0</v>
      </c>
      <c r="AG51" s="38">
        <f>IF(AF51+AF55=0,0,IF(AF51=AF55,2,IF(AF51&gt;AF55,3,1)))</f>
        <v>0</v>
      </c>
      <c r="AH51" s="10">
        <f>AF51-AF55</f>
        <v>0</v>
      </c>
      <c r="AI51" s="19"/>
      <c r="AJ51" s="9">
        <f>+U20</f>
        <v>0</v>
      </c>
      <c r="AK51" s="28">
        <v>0</v>
      </c>
      <c r="AL51" s="38">
        <f>IF(AK51+AK55=0,0,IF(AK51=AK55,2,IF(AK51&gt;AK55,3,1)))</f>
        <v>0</v>
      </c>
      <c r="AM51" s="10">
        <f>AK51-AK55</f>
        <v>0</v>
      </c>
      <c r="AN51" s="18"/>
      <c r="AO51" s="44">
        <v>43</v>
      </c>
      <c r="AP51" s="5" t="str">
        <f>+Inscrits!F9</f>
        <v>C7</v>
      </c>
      <c r="AQ51" s="247" t="str">
        <f t="shared" si="3"/>
        <v>0</v>
      </c>
      <c r="AR51" s="82" t="str">
        <f t="shared" si="4"/>
        <v>0</v>
      </c>
      <c r="AS51" s="184" t="str">
        <f t="shared" si="5"/>
        <v>0</v>
      </c>
      <c r="AT51" s="250">
        <f t="shared" si="6"/>
        <v>3</v>
      </c>
      <c r="AU51" s="82">
        <f t="shared" si="7"/>
        <v>1</v>
      </c>
      <c r="AV51" s="252">
        <f t="shared" si="8"/>
        <v>8</v>
      </c>
      <c r="AW51" s="247">
        <f t="shared" si="9"/>
        <v>1</v>
      </c>
      <c r="AX51" s="82">
        <f t="shared" si="10"/>
        <v>-5</v>
      </c>
      <c r="AY51" s="252">
        <f t="shared" si="11"/>
        <v>5</v>
      </c>
      <c r="AZ51" s="247">
        <f t="shared" si="17"/>
        <v>4</v>
      </c>
      <c r="BA51" s="82">
        <f t="shared" si="12"/>
        <v>-4</v>
      </c>
      <c r="BB51" s="252">
        <f t="shared" si="13"/>
        <v>13</v>
      </c>
      <c r="BC51" s="255">
        <f t="shared" si="14"/>
        <v>-4</v>
      </c>
      <c r="BD51" s="7">
        <f t="shared" si="15"/>
        <v>0</v>
      </c>
      <c r="BE51" s="183">
        <f t="shared" si="16"/>
        <v>12.038700509999998</v>
      </c>
      <c r="BF51" s="82">
        <f>IF(AP51="","",SMALL(BE$9:BE$62,ROWS(AZ$9:AZ51)))</f>
        <v>25.000000419999999</v>
      </c>
      <c r="BG51"/>
      <c r="BH51" s="78" t="str">
        <f>IF(OR(AP51="",AZ51=""),"",INDEX($AP$9:$AP$63,MATCH(BF51,$BE$9:BE$62,0)))</f>
        <v>B16</v>
      </c>
      <c r="BI51" s="255">
        <f t="shared" si="18"/>
        <v>0</v>
      </c>
      <c r="BJ51" s="7">
        <f t="shared" si="19"/>
        <v>0</v>
      </c>
      <c r="BK51" s="7">
        <f t="shared" si="20"/>
        <v>0</v>
      </c>
      <c r="BL51" s="17">
        <f>IF(BF51="","",IF(AND(BI50=BI51,BJ50=BJ51,BK50=BK51),BL50,$BL$9+42))</f>
        <v>25</v>
      </c>
      <c r="BM51" s="22"/>
      <c r="BN51" s="3"/>
    </row>
    <row r="52" spans="1:66" ht="16.2" thickBot="1" x14ac:dyDescent="0.3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P52" s="18"/>
      <c r="Q52" s="18"/>
      <c r="R52" s="18"/>
      <c r="S52" s="18"/>
      <c r="T52" s="18"/>
      <c r="U52" s="18"/>
      <c r="V52" s="18"/>
      <c r="W52" s="18"/>
      <c r="X52" s="18"/>
      <c r="Y52" s="383"/>
      <c r="Z52" s="11">
        <f>+P20</f>
        <v>0</v>
      </c>
      <c r="AA52" s="14">
        <f>IF(ISTEXT(Z52),AA51,0)</f>
        <v>0</v>
      </c>
      <c r="AB52" s="14">
        <f>IF(ISTEXT(Z52),AB51,0)</f>
        <v>0</v>
      </c>
      <c r="AC52" s="15">
        <f>IF(ISTEXT(Z52),AC51,0)</f>
        <v>0</v>
      </c>
      <c r="AD52" s="6"/>
      <c r="AE52" s="11">
        <f>+S20</f>
        <v>0</v>
      </c>
      <c r="AF52" s="14">
        <f>IF(ISTEXT(AE52),AF51,0)</f>
        <v>0</v>
      </c>
      <c r="AG52" s="48">
        <f>IF(ISTEXT(AE52),AG51,0)</f>
        <v>0</v>
      </c>
      <c r="AH52" s="15">
        <f>IF(ISTEXT(AE52),AH51,0)</f>
        <v>0</v>
      </c>
      <c r="AI52" s="6"/>
      <c r="AJ52" s="11">
        <f>+V20</f>
        <v>0</v>
      </c>
      <c r="AK52" s="14">
        <f>IF(ISTEXT(AJ52),AK51,0)</f>
        <v>0</v>
      </c>
      <c r="AL52" s="48">
        <f>IF(ISTEXT(AJ52),AL51,0)</f>
        <v>0</v>
      </c>
      <c r="AM52" s="15">
        <f>IF(ISTEXT(AJ52),AM51,0)</f>
        <v>0</v>
      </c>
      <c r="AN52" s="18"/>
      <c r="AO52" s="44">
        <v>44</v>
      </c>
      <c r="AP52" s="5" t="str">
        <f>+Inscrits!F10</f>
        <v>C8</v>
      </c>
      <c r="AQ52" s="247" t="str">
        <f t="shared" si="3"/>
        <v>0</v>
      </c>
      <c r="AR52" s="82" t="str">
        <f t="shared" si="4"/>
        <v>0</v>
      </c>
      <c r="AS52" s="184" t="str">
        <f t="shared" si="5"/>
        <v>0</v>
      </c>
      <c r="AT52" s="250" t="str">
        <f t="shared" si="6"/>
        <v>0</v>
      </c>
      <c r="AU52" s="82" t="str">
        <f t="shared" si="7"/>
        <v>0</v>
      </c>
      <c r="AV52" s="252" t="str">
        <f t="shared" si="8"/>
        <v>0</v>
      </c>
      <c r="AW52" s="247">
        <f t="shared" si="9"/>
        <v>1</v>
      </c>
      <c r="AX52" s="82">
        <f t="shared" si="10"/>
        <v>-3</v>
      </c>
      <c r="AY52" s="252">
        <f t="shared" si="11"/>
        <v>6</v>
      </c>
      <c r="AZ52" s="247">
        <f t="shared" si="17"/>
        <v>1</v>
      </c>
      <c r="BA52" s="82">
        <f t="shared" si="12"/>
        <v>-3</v>
      </c>
      <c r="BB52" s="252">
        <f t="shared" si="13"/>
        <v>6</v>
      </c>
      <c r="BC52" s="255">
        <f t="shared" si="14"/>
        <v>-3</v>
      </c>
      <c r="BD52" s="7">
        <f t="shared" si="15"/>
        <v>0</v>
      </c>
      <c r="BE52" s="183">
        <f t="shared" si="16"/>
        <v>23.029400520000003</v>
      </c>
      <c r="BF52" s="82">
        <f>IF(AP52="","",SMALL(BE$9:BE$62,ROWS(AZ$9:AZ52)))</f>
        <v>25.00000043</v>
      </c>
      <c r="BG52"/>
      <c r="BH52" s="78" t="str">
        <f>IF(OR(AP52="",AZ52=""),"",INDEX($AP$9:$AP$63,MATCH(BF52,$BE$9:BE$62,0)))</f>
        <v>B17</v>
      </c>
      <c r="BI52" s="255">
        <f t="shared" si="18"/>
        <v>0</v>
      </c>
      <c r="BJ52" s="7">
        <f t="shared" si="19"/>
        <v>0</v>
      </c>
      <c r="BK52" s="7">
        <f t="shared" si="20"/>
        <v>0</v>
      </c>
      <c r="BL52" s="17">
        <f>IF(BF52="","",IF(AND(BI51=BI52,BJ51=BJ52,BK51=BK52),BL51,$BL$9+43))</f>
        <v>25</v>
      </c>
      <c r="BM52" s="22"/>
      <c r="BN52" s="3"/>
    </row>
    <row r="53" spans="1:66" ht="15.6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P53" s="18"/>
      <c r="Q53" s="18"/>
      <c r="R53" s="18"/>
      <c r="S53" s="18"/>
      <c r="T53" s="18"/>
      <c r="U53" s="18"/>
      <c r="V53" s="18"/>
      <c r="W53" s="18"/>
      <c r="X53" s="18"/>
      <c r="Y53" s="383"/>
      <c r="Z53" s="11">
        <f>+Q20</f>
        <v>0</v>
      </c>
      <c r="AA53" s="55">
        <f>IF(ISTEXT(Z53),AA51,0)</f>
        <v>0</v>
      </c>
      <c r="AB53" s="55">
        <f>IF(ISTEXT(Z53),AB51,0)</f>
        <v>0</v>
      </c>
      <c r="AC53" s="56">
        <f>IF(ISTEXT(Z53),AC51,0)</f>
        <v>0</v>
      </c>
      <c r="AD53" s="6"/>
      <c r="AE53" s="11">
        <f>+T20</f>
        <v>0</v>
      </c>
      <c r="AF53" s="55">
        <f>IF(ISTEXT(AE53),AF51,0)</f>
        <v>0</v>
      </c>
      <c r="AG53" s="52">
        <f>IF(ISTEXT(AE53),AG51,0)</f>
        <v>0</v>
      </c>
      <c r="AH53" s="56">
        <f>IF(ISTEXT(AE53),AH51,0)</f>
        <v>0</v>
      </c>
      <c r="AI53" s="6"/>
      <c r="AJ53" s="11">
        <f>+W20</f>
        <v>0</v>
      </c>
      <c r="AK53" s="55">
        <f>IF(ISTEXT(AJ53),AK51,0)</f>
        <v>0</v>
      </c>
      <c r="AL53" s="52">
        <f>IF(ISTEXT(AJ53),AL51,0)</f>
        <v>0</v>
      </c>
      <c r="AM53" s="56">
        <f>IF(ISTEXT(AJ53),AM51,0)</f>
        <v>0</v>
      </c>
      <c r="AN53" s="18"/>
      <c r="AO53" s="44">
        <v>45</v>
      </c>
      <c r="AP53" s="5" t="str">
        <f>+Inscrits!F11</f>
        <v>C9</v>
      </c>
      <c r="AQ53" s="247" t="str">
        <f t="shared" si="3"/>
        <v>0</v>
      </c>
      <c r="AR53" s="82" t="str">
        <f t="shared" si="4"/>
        <v>0</v>
      </c>
      <c r="AS53" s="184" t="str">
        <f t="shared" si="5"/>
        <v>0</v>
      </c>
      <c r="AT53" s="250" t="str">
        <f t="shared" si="6"/>
        <v>0</v>
      </c>
      <c r="AU53" s="82" t="str">
        <f t="shared" si="7"/>
        <v>0</v>
      </c>
      <c r="AV53" s="252" t="str">
        <f t="shared" si="8"/>
        <v>0</v>
      </c>
      <c r="AW53" s="247">
        <f t="shared" si="9"/>
        <v>3</v>
      </c>
      <c r="AX53" s="82">
        <f t="shared" si="10"/>
        <v>3</v>
      </c>
      <c r="AY53" s="252">
        <f t="shared" si="11"/>
        <v>9</v>
      </c>
      <c r="AZ53" s="247">
        <f t="shared" si="17"/>
        <v>3</v>
      </c>
      <c r="BA53" s="82">
        <f t="shared" si="12"/>
        <v>3</v>
      </c>
      <c r="BB53" s="252">
        <f t="shared" si="13"/>
        <v>9</v>
      </c>
      <c r="BC53" s="255">
        <f t="shared" si="14"/>
        <v>0</v>
      </c>
      <c r="BD53" s="7">
        <f t="shared" si="15"/>
        <v>3</v>
      </c>
      <c r="BE53" s="183">
        <f t="shared" si="16"/>
        <v>15.96910053</v>
      </c>
      <c r="BF53" s="82">
        <f>IF(AP53="","",SMALL(BE$9:BE$62,ROWS(AZ$9:AZ53)))</f>
        <v>25.000000440000001</v>
      </c>
      <c r="BG53"/>
      <c r="BH53" s="78" t="str">
        <f>IF(OR(AP53="",AZ53=""),"",INDEX($AP$9:$AP$63,MATCH(BF53,$BE$9:BE$62,0)))</f>
        <v>B18</v>
      </c>
      <c r="BI53" s="255">
        <f t="shared" si="18"/>
        <v>0</v>
      </c>
      <c r="BJ53" s="7">
        <f t="shared" si="19"/>
        <v>0</v>
      </c>
      <c r="BK53" s="7">
        <f t="shared" si="20"/>
        <v>0</v>
      </c>
      <c r="BL53" s="17">
        <f>IF(BF53="","",IF(AND(BI52=BI53,BJ52=BJ53,BK52=BK53),BL52,$BL$9+44))</f>
        <v>25</v>
      </c>
      <c r="BM53" s="22"/>
      <c r="BN53" s="3"/>
    </row>
    <row r="54" spans="1:66" ht="15.6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P54" s="18"/>
      <c r="Q54" s="18"/>
      <c r="R54" s="18"/>
      <c r="S54" s="18"/>
      <c r="T54" s="18"/>
      <c r="U54" s="18"/>
      <c r="V54" s="18"/>
      <c r="W54" s="18"/>
      <c r="X54" s="18"/>
      <c r="Y54" s="383"/>
      <c r="Z54" s="24"/>
      <c r="AA54" s="195" t="s">
        <v>5</v>
      </c>
      <c r="AB54" s="16"/>
      <c r="AC54" s="17"/>
      <c r="AD54" s="20"/>
      <c r="AE54" s="24"/>
      <c r="AF54" s="195" t="s">
        <v>5</v>
      </c>
      <c r="AG54" s="16"/>
      <c r="AH54" s="17"/>
      <c r="AI54" s="20"/>
      <c r="AJ54" s="24"/>
      <c r="AK54" s="195" t="s">
        <v>5</v>
      </c>
      <c r="AL54" s="16"/>
      <c r="AM54" s="17"/>
      <c r="AN54" s="18"/>
      <c r="AO54" s="44">
        <v>46</v>
      </c>
      <c r="AP54" s="5" t="str">
        <f>+Inscrits!F12</f>
        <v>C10</v>
      </c>
      <c r="AQ54" s="247" t="str">
        <f t="shared" si="3"/>
        <v>0</v>
      </c>
      <c r="AR54" s="82" t="str">
        <f t="shared" si="4"/>
        <v>0</v>
      </c>
      <c r="AS54" s="184" t="str">
        <f t="shared" si="5"/>
        <v>0</v>
      </c>
      <c r="AT54" s="250" t="str">
        <f t="shared" si="6"/>
        <v>0</v>
      </c>
      <c r="AU54" s="82" t="str">
        <f t="shared" si="7"/>
        <v>0</v>
      </c>
      <c r="AV54" s="252" t="str">
        <f t="shared" si="8"/>
        <v>0</v>
      </c>
      <c r="AW54" s="247" t="str">
        <f t="shared" si="9"/>
        <v>0</v>
      </c>
      <c r="AX54" s="82" t="str">
        <f t="shared" si="10"/>
        <v>0</v>
      </c>
      <c r="AY54" s="252" t="str">
        <f t="shared" si="11"/>
        <v>0</v>
      </c>
      <c r="AZ54" s="247">
        <f t="shared" si="17"/>
        <v>0</v>
      </c>
      <c r="BA54" s="82">
        <f t="shared" si="12"/>
        <v>0</v>
      </c>
      <c r="BB54" s="252">
        <f t="shared" si="13"/>
        <v>0</v>
      </c>
      <c r="BC54" s="255">
        <f t="shared" si="14"/>
        <v>0</v>
      </c>
      <c r="BD54" s="7">
        <f t="shared" si="15"/>
        <v>0</v>
      </c>
      <c r="BE54" s="183">
        <f t="shared" si="16"/>
        <v>25.000000539999998</v>
      </c>
      <c r="BF54" s="82">
        <f>IF(AP54="","",SMALL(BE$9:BE$62,ROWS(AZ$9:AZ54)))</f>
        <v>25.000000539999998</v>
      </c>
      <c r="BG54"/>
      <c r="BH54" s="78" t="str">
        <f>IF(OR(AP54="",AZ54=""),"",INDEX($AP$9:$AP$63,MATCH(BF54,$BE$9:BE$62,0)))</f>
        <v>C10</v>
      </c>
      <c r="BI54" s="255">
        <f t="shared" si="18"/>
        <v>0</v>
      </c>
      <c r="BJ54" s="7">
        <f t="shared" si="19"/>
        <v>0</v>
      </c>
      <c r="BK54" s="7">
        <f t="shared" si="20"/>
        <v>0</v>
      </c>
      <c r="BL54" s="17">
        <f>IF(BF54="","",IF(AND(BI53=BI54,BJ53=BJ54,BK53=BK54),BL53,$BL$9+45))</f>
        <v>25</v>
      </c>
      <c r="BM54" s="22"/>
      <c r="BN54" s="3"/>
    </row>
    <row r="55" spans="1:66" ht="15.6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P55" s="18"/>
      <c r="Q55" s="18"/>
      <c r="R55" s="18"/>
      <c r="S55" s="18"/>
      <c r="T55" s="18"/>
      <c r="U55" s="18"/>
      <c r="V55" s="18"/>
      <c r="W55" s="18"/>
      <c r="X55" s="18"/>
      <c r="Y55" s="383"/>
      <c r="Z55" s="11">
        <f>+O21</f>
        <v>0</v>
      </c>
      <c r="AA55" s="27">
        <v>0</v>
      </c>
      <c r="AB55" s="23">
        <f>IF(AA51+AA55=0,0,IF(AA51=AA55,2,IF(AA51&lt;AA55,3,1)))</f>
        <v>0</v>
      </c>
      <c r="AC55" s="12">
        <f>AA55-AA51</f>
        <v>0</v>
      </c>
      <c r="AD55" s="19"/>
      <c r="AE55" s="11">
        <f>+R21</f>
        <v>0</v>
      </c>
      <c r="AF55" s="108">
        <v>0</v>
      </c>
      <c r="AG55" s="23">
        <f>IF(AF51+AF55=0,0,IF(AF51=AF55,2,IF(AF51&lt;AF55,3,1)))</f>
        <v>0</v>
      </c>
      <c r="AH55" s="12">
        <f>AF55-AF51</f>
        <v>0</v>
      </c>
      <c r="AI55" s="19"/>
      <c r="AJ55" s="11">
        <f>+U21</f>
        <v>0</v>
      </c>
      <c r="AK55" s="29">
        <v>0</v>
      </c>
      <c r="AL55" s="23">
        <f>IF(AK51+AK55=0,0,IF(AK51=AK55,2,IF(AK51&lt;AK55,3,1)))</f>
        <v>0</v>
      </c>
      <c r="AM55" s="12">
        <f>AK55-AK51</f>
        <v>0</v>
      </c>
      <c r="AN55" s="18"/>
      <c r="AO55" s="44">
        <v>47</v>
      </c>
      <c r="AP55" s="5" t="str">
        <f>+Inscrits!F13</f>
        <v>C11</v>
      </c>
      <c r="AQ55" s="247" t="str">
        <f t="shared" si="3"/>
        <v xml:space="preserve"> </v>
      </c>
      <c r="AR55" s="82" t="str">
        <f t="shared" si="4"/>
        <v xml:space="preserve"> </v>
      </c>
      <c r="AS55" s="184" t="str">
        <f t="shared" si="5"/>
        <v xml:space="preserve"> </v>
      </c>
      <c r="AT55" s="250" t="str">
        <f t="shared" si="6"/>
        <v xml:space="preserve"> </v>
      </c>
      <c r="AU55" s="82" t="str">
        <f t="shared" si="7"/>
        <v xml:space="preserve"> </v>
      </c>
      <c r="AV55" s="252" t="str">
        <f t="shared" si="8"/>
        <v xml:space="preserve"> </v>
      </c>
      <c r="AW55" s="247" t="str">
        <f t="shared" si="9"/>
        <v xml:space="preserve"> </v>
      </c>
      <c r="AX55" s="82" t="str">
        <f t="shared" si="10"/>
        <v xml:space="preserve"> </v>
      </c>
      <c r="AY55" s="252" t="str">
        <f t="shared" si="11"/>
        <v xml:space="preserve"> </v>
      </c>
      <c r="AZ55" s="247">
        <f t="shared" si="17"/>
        <v>0</v>
      </c>
      <c r="BA55" s="82">
        <f t="shared" si="12"/>
        <v>0</v>
      </c>
      <c r="BB55" s="252">
        <f t="shared" si="13"/>
        <v>0</v>
      </c>
      <c r="BC55" s="255">
        <f t="shared" si="14"/>
        <v>0</v>
      </c>
      <c r="BD55" s="7">
        <f t="shared" si="15"/>
        <v>0</v>
      </c>
      <c r="BE55" s="183">
        <f t="shared" si="16"/>
        <v>25.000000549999999</v>
      </c>
      <c r="BF55" s="82">
        <f>IF(AP55="","",SMALL(BE$9:BE$62,ROWS(AZ$9:AZ55)))</f>
        <v>25.000000549999999</v>
      </c>
      <c r="BG55"/>
      <c r="BH55" s="78" t="str">
        <f>IF(OR(AP55="",AZ55=""),"",INDEX($AP$9:$AP$63,MATCH(BF55,$BE$9:BE$62,0)))</f>
        <v>C11</v>
      </c>
      <c r="BI55" s="255">
        <f t="shared" si="18"/>
        <v>0</v>
      </c>
      <c r="BJ55" s="7">
        <f t="shared" si="19"/>
        <v>0</v>
      </c>
      <c r="BK55" s="7">
        <f t="shared" si="20"/>
        <v>0</v>
      </c>
      <c r="BL55" s="17">
        <f>IF(BF55="","",IF(AND(BI54=BI55,BJ54=BJ55,BK54=BK55),BL54,$BL$9+46))</f>
        <v>25</v>
      </c>
      <c r="BM55" s="22"/>
      <c r="BN55" s="3"/>
    </row>
    <row r="56" spans="1:66" ht="16.2" thickBot="1" x14ac:dyDescent="0.35">
      <c r="A56" s="20"/>
      <c r="B56" s="18"/>
      <c r="C56" s="18"/>
      <c r="D56" s="18"/>
      <c r="E56" s="18"/>
      <c r="F56" s="18"/>
      <c r="G56" s="18"/>
      <c r="H56" s="18"/>
      <c r="I56" s="20"/>
      <c r="J56" s="20"/>
      <c r="K56" s="20"/>
      <c r="L56" s="20"/>
      <c r="P56" s="18"/>
      <c r="Q56" s="20"/>
      <c r="R56" s="22"/>
      <c r="S56" s="18"/>
      <c r="T56" s="18"/>
      <c r="U56" s="18"/>
      <c r="V56" s="18"/>
      <c r="W56" s="18"/>
      <c r="X56" s="18"/>
      <c r="Y56" s="383"/>
      <c r="Z56" s="11">
        <f>+P21</f>
        <v>0</v>
      </c>
      <c r="AA56" s="14">
        <f>IF(ISTEXT(Z56),AA55,0)</f>
        <v>0</v>
      </c>
      <c r="AB56" s="14">
        <f>IF(ISTEXT(Z56),AB55,0)</f>
        <v>0</v>
      </c>
      <c r="AC56" s="15">
        <f>IF(ISTEXT(Z56),AC55,0)</f>
        <v>0</v>
      </c>
      <c r="AD56" s="6"/>
      <c r="AE56" s="11">
        <f>+S21</f>
        <v>0</v>
      </c>
      <c r="AF56" s="14">
        <f>IF(ISTEXT(AE56),AF55,0)</f>
        <v>0</v>
      </c>
      <c r="AG56" s="14">
        <f>IF(ISTEXT(AE56),AG55,0)</f>
        <v>0</v>
      </c>
      <c r="AH56" s="15">
        <f>IF(ISTEXT(AE56),AH55,0)</f>
        <v>0</v>
      </c>
      <c r="AI56" s="6"/>
      <c r="AJ56" s="11">
        <f>+V21</f>
        <v>0</v>
      </c>
      <c r="AK56" s="14">
        <f>IF(ISTEXT(AJ56),AK55,0)</f>
        <v>0</v>
      </c>
      <c r="AL56" s="14">
        <f>IF(ISTEXT(AJ56),AL55,0)</f>
        <v>0</v>
      </c>
      <c r="AM56" s="15">
        <f>IF(ISTEXT(AJ56),AM55,0)</f>
        <v>0</v>
      </c>
      <c r="AN56" s="18"/>
      <c r="AO56" s="44">
        <v>48</v>
      </c>
      <c r="AP56" s="5" t="str">
        <f>+Inscrits!F14</f>
        <v>C12</v>
      </c>
      <c r="AQ56" s="247" t="str">
        <f t="shared" si="3"/>
        <v xml:space="preserve"> </v>
      </c>
      <c r="AR56" s="82" t="str">
        <f t="shared" si="4"/>
        <v xml:space="preserve"> </v>
      </c>
      <c r="AS56" s="184" t="str">
        <f t="shared" si="5"/>
        <v xml:space="preserve"> </v>
      </c>
      <c r="AT56" s="250" t="str">
        <f t="shared" si="6"/>
        <v xml:space="preserve"> </v>
      </c>
      <c r="AU56" s="82" t="str">
        <f t="shared" si="7"/>
        <v xml:space="preserve"> </v>
      </c>
      <c r="AV56" s="252" t="str">
        <f t="shared" si="8"/>
        <v xml:space="preserve"> </v>
      </c>
      <c r="AW56" s="247" t="str">
        <f t="shared" si="9"/>
        <v xml:space="preserve"> </v>
      </c>
      <c r="AX56" s="82" t="str">
        <f t="shared" si="10"/>
        <v xml:space="preserve"> </v>
      </c>
      <c r="AY56" s="252" t="str">
        <f t="shared" si="11"/>
        <v xml:space="preserve"> </v>
      </c>
      <c r="AZ56" s="247">
        <f t="shared" si="17"/>
        <v>0</v>
      </c>
      <c r="BA56" s="82">
        <f t="shared" si="12"/>
        <v>0</v>
      </c>
      <c r="BB56" s="252">
        <f t="shared" si="13"/>
        <v>0</v>
      </c>
      <c r="BC56" s="255">
        <f t="shared" si="14"/>
        <v>0</v>
      </c>
      <c r="BD56" s="7">
        <f t="shared" si="15"/>
        <v>0</v>
      </c>
      <c r="BE56" s="183">
        <f t="shared" si="16"/>
        <v>25.00000056</v>
      </c>
      <c r="BF56" s="82">
        <f>IF(AP56="","",SMALL(BE$9:BE$62,ROWS(AZ$9:AZ56)))</f>
        <v>25.00000056</v>
      </c>
      <c r="BG56"/>
      <c r="BH56" s="78" t="str">
        <f>IF(OR(AP56="",AZ56=""),"",INDEX($AP$9:$AP$63,MATCH(BF56,$BE$9:BE$62,0)))</f>
        <v>C12</v>
      </c>
      <c r="BI56" s="255">
        <f t="shared" si="18"/>
        <v>0</v>
      </c>
      <c r="BJ56" s="7">
        <f t="shared" si="19"/>
        <v>0</v>
      </c>
      <c r="BK56" s="7">
        <f t="shared" si="20"/>
        <v>0</v>
      </c>
      <c r="BL56" s="17">
        <f>IF(BF56="","",IF(AND(BI55=BI56,BJ55=BJ56,BK55=BK56),BL55,$BL$9+47))</f>
        <v>25</v>
      </c>
      <c r="BM56" s="22"/>
      <c r="BN56" s="3"/>
    </row>
    <row r="57" spans="1:66" ht="16.2" thickBot="1" x14ac:dyDescent="0.35">
      <c r="A57" s="20"/>
      <c r="B57" s="18"/>
      <c r="C57" s="18"/>
      <c r="D57" s="18"/>
      <c r="E57" s="18"/>
      <c r="F57" s="18"/>
      <c r="G57" s="18"/>
      <c r="H57" s="18"/>
      <c r="I57" s="20"/>
      <c r="J57" s="20"/>
      <c r="K57" s="20"/>
      <c r="L57" s="20"/>
      <c r="P57" s="18"/>
      <c r="Q57" s="20"/>
      <c r="R57" s="22"/>
      <c r="S57" s="18"/>
      <c r="T57" s="18"/>
      <c r="U57" s="18"/>
      <c r="V57" s="18"/>
      <c r="W57" s="18"/>
      <c r="X57" s="18"/>
      <c r="Y57" s="384"/>
      <c r="Z57" s="13">
        <f>+Q21</f>
        <v>0</v>
      </c>
      <c r="AA57" s="14">
        <f>IF(ISTEXT(Z57),AA55,0)</f>
        <v>0</v>
      </c>
      <c r="AB57" s="14">
        <f>IF(ISTEXT(Z57),AB55,0)</f>
        <v>0</v>
      </c>
      <c r="AC57" s="15">
        <f>IF(ISTEXT(Z57),AC55,0)</f>
        <v>0</v>
      </c>
      <c r="AD57" s="6"/>
      <c r="AE57" s="13">
        <f>+T21</f>
        <v>0</v>
      </c>
      <c r="AF57" s="14">
        <f>IF(ISTEXT(AE57),AF55,0)</f>
        <v>0</v>
      </c>
      <c r="AG57" s="14">
        <f>IF(ISTEXT(AE57),AG55,0)</f>
        <v>0</v>
      </c>
      <c r="AH57" s="15">
        <f>IF(ISTEXT(AE57),AH55,0)</f>
        <v>0</v>
      </c>
      <c r="AI57" s="6"/>
      <c r="AJ57" s="13">
        <f>+W21</f>
        <v>0</v>
      </c>
      <c r="AK57" s="14">
        <f>IF(ISTEXT(AJ57),AK55,0)</f>
        <v>0</v>
      </c>
      <c r="AL57" s="14">
        <f>IF(ISTEXT(AJ57),AL55,0)</f>
        <v>0</v>
      </c>
      <c r="AM57" s="15">
        <f>IF(ISTEXT(AJ57),AM55,0)</f>
        <v>0</v>
      </c>
      <c r="AN57" s="18"/>
      <c r="AO57" s="44">
        <v>49</v>
      </c>
      <c r="AP57" s="5" t="str">
        <f>+Inscrits!F15</f>
        <v>C13</v>
      </c>
      <c r="AQ57" s="247" t="str">
        <f t="shared" si="3"/>
        <v xml:space="preserve"> </v>
      </c>
      <c r="AR57" s="82" t="str">
        <f t="shared" si="4"/>
        <v xml:space="preserve"> </v>
      </c>
      <c r="AS57" s="184" t="str">
        <f t="shared" si="5"/>
        <v xml:space="preserve"> </v>
      </c>
      <c r="AT57" s="250" t="str">
        <f t="shared" si="6"/>
        <v xml:space="preserve"> </v>
      </c>
      <c r="AU57" s="82" t="str">
        <f t="shared" si="7"/>
        <v xml:space="preserve"> </v>
      </c>
      <c r="AV57" s="252" t="str">
        <f t="shared" si="8"/>
        <v xml:space="preserve"> </v>
      </c>
      <c r="AW57" s="247" t="str">
        <f t="shared" si="9"/>
        <v xml:space="preserve"> </v>
      </c>
      <c r="AX57" s="82" t="str">
        <f t="shared" si="10"/>
        <v xml:space="preserve"> </v>
      </c>
      <c r="AY57" s="252" t="str">
        <f t="shared" si="11"/>
        <v xml:space="preserve"> </v>
      </c>
      <c r="AZ57" s="247">
        <f t="shared" si="17"/>
        <v>0</v>
      </c>
      <c r="BA57" s="82">
        <f t="shared" si="12"/>
        <v>0</v>
      </c>
      <c r="BB57" s="252">
        <f t="shared" si="13"/>
        <v>0</v>
      </c>
      <c r="BC57" s="255">
        <f t="shared" si="14"/>
        <v>0</v>
      </c>
      <c r="BD57" s="7">
        <f t="shared" si="15"/>
        <v>0</v>
      </c>
      <c r="BE57" s="183">
        <f t="shared" si="16"/>
        <v>25.000000570000001</v>
      </c>
      <c r="BF57" s="82">
        <f>IF(AP57="","",SMALL(BE$9:BE$62,ROWS(AZ$9:AZ57)))</f>
        <v>25.000000570000001</v>
      </c>
      <c r="BG57"/>
      <c r="BH57" s="78" t="str">
        <f>IF(OR(AP57="",AZ57=""),"",INDEX($AP$9:$AP$63,MATCH(BF57,$BE$9:BE$62,0)))</f>
        <v>C13</v>
      </c>
      <c r="BI57" s="255">
        <f t="shared" si="18"/>
        <v>0</v>
      </c>
      <c r="BJ57" s="7">
        <f t="shared" si="19"/>
        <v>0</v>
      </c>
      <c r="BK57" s="7">
        <f t="shared" si="20"/>
        <v>0</v>
      </c>
      <c r="BL57" s="17">
        <f>IF(BF57="","",IF(AND(BI56=BI57,BJ56=BJ57,BK56=BK57),BL56,$BL$9+48))</f>
        <v>25</v>
      </c>
      <c r="BM57" s="22"/>
      <c r="BN57" s="3"/>
    </row>
    <row r="58" spans="1:66" ht="16.2" thickBot="1" x14ac:dyDescent="0.35">
      <c r="A58" s="20"/>
      <c r="B58" s="18"/>
      <c r="C58" s="18"/>
      <c r="D58" s="18"/>
      <c r="E58" s="18"/>
      <c r="F58" s="20"/>
      <c r="G58" s="20"/>
      <c r="H58" s="18"/>
      <c r="I58" s="20"/>
      <c r="J58" s="20"/>
      <c r="K58" s="20"/>
      <c r="L58" s="20"/>
      <c r="P58" s="18"/>
      <c r="Q58" s="20"/>
      <c r="R58" s="22"/>
      <c r="S58" s="18"/>
      <c r="T58" s="18"/>
      <c r="U58" s="18"/>
      <c r="V58" s="18"/>
      <c r="W58" s="18"/>
      <c r="X58" s="18"/>
      <c r="Y58" s="20"/>
      <c r="Z58" s="58"/>
      <c r="AA58" s="196"/>
      <c r="AB58" s="58"/>
      <c r="AC58" s="58"/>
      <c r="AD58" s="199"/>
      <c r="AE58" s="59"/>
      <c r="AF58" s="199"/>
      <c r="AG58" s="58"/>
      <c r="AH58" s="58"/>
      <c r="AI58" s="199"/>
      <c r="AJ58" s="59"/>
      <c r="AK58" s="196"/>
      <c r="AL58" s="58"/>
      <c r="AM58" s="58"/>
      <c r="AN58" s="18"/>
      <c r="AO58" s="44">
        <v>50</v>
      </c>
      <c r="AP58" s="5" t="str">
        <f>+Inscrits!F16</f>
        <v>C14</v>
      </c>
      <c r="AQ58" s="247" t="str">
        <f t="shared" si="3"/>
        <v xml:space="preserve"> </v>
      </c>
      <c r="AR58" s="82" t="str">
        <f t="shared" si="4"/>
        <v xml:space="preserve"> </v>
      </c>
      <c r="AS58" s="184" t="str">
        <f t="shared" si="5"/>
        <v xml:space="preserve"> </v>
      </c>
      <c r="AT58" s="250" t="str">
        <f t="shared" si="6"/>
        <v xml:space="preserve"> </v>
      </c>
      <c r="AU58" s="82" t="str">
        <f t="shared" si="7"/>
        <v xml:space="preserve"> </v>
      </c>
      <c r="AV58" s="252" t="str">
        <f t="shared" si="8"/>
        <v xml:space="preserve"> </v>
      </c>
      <c r="AW58" s="247" t="str">
        <f t="shared" si="9"/>
        <v xml:space="preserve"> </v>
      </c>
      <c r="AX58" s="82" t="str">
        <f t="shared" si="10"/>
        <v xml:space="preserve"> </v>
      </c>
      <c r="AY58" s="252" t="str">
        <f t="shared" si="11"/>
        <v xml:space="preserve"> </v>
      </c>
      <c r="AZ58" s="247">
        <f t="shared" si="17"/>
        <v>0</v>
      </c>
      <c r="BA58" s="82">
        <f t="shared" si="12"/>
        <v>0</v>
      </c>
      <c r="BB58" s="252">
        <f t="shared" si="13"/>
        <v>0</v>
      </c>
      <c r="BC58" s="255">
        <f t="shared" si="14"/>
        <v>0</v>
      </c>
      <c r="BD58" s="7">
        <f t="shared" si="15"/>
        <v>0</v>
      </c>
      <c r="BE58" s="183">
        <f t="shared" si="16"/>
        <v>25.000000579999998</v>
      </c>
      <c r="BF58" s="82">
        <f>IF(AP58="","",SMALL(BE$9:BE$62,ROWS(AZ$9:AZ58)))</f>
        <v>25.000000579999998</v>
      </c>
      <c r="BG58"/>
      <c r="BH58" s="78" t="str">
        <f>IF(OR(AP58="",AZ58=""),"",INDEX($AP$9:$AP$63,MATCH(BF58,$BE$9:BE$62,0)))</f>
        <v>C14</v>
      </c>
      <c r="BI58" s="255">
        <f t="shared" si="18"/>
        <v>0</v>
      </c>
      <c r="BJ58" s="7">
        <f t="shared" si="19"/>
        <v>0</v>
      </c>
      <c r="BK58" s="7">
        <f t="shared" si="20"/>
        <v>0</v>
      </c>
      <c r="BL58" s="17">
        <f>IF(BF58="","",IF(AND(BI57=BI58,BJ57=BJ58,BK57=BK58),BL57,$BL$9+49))</f>
        <v>25</v>
      </c>
      <c r="BM58" s="22"/>
      <c r="BN58" s="3"/>
    </row>
    <row r="59" spans="1:66" ht="15.6" x14ac:dyDescent="0.3">
      <c r="A59" s="20"/>
      <c r="B59" s="18"/>
      <c r="C59" s="18"/>
      <c r="D59" s="18"/>
      <c r="E59" s="18"/>
      <c r="F59" s="20"/>
      <c r="G59" s="20"/>
      <c r="H59" s="18"/>
      <c r="I59" s="20"/>
      <c r="J59" s="20"/>
      <c r="K59" s="20"/>
      <c r="L59" s="20"/>
      <c r="P59" s="18"/>
      <c r="Q59" s="20"/>
      <c r="R59" s="22"/>
      <c r="S59" s="18"/>
      <c r="T59" s="18"/>
      <c r="U59" s="18"/>
      <c r="V59" s="18"/>
      <c r="W59" s="18"/>
      <c r="X59" s="18"/>
      <c r="Y59" s="382">
        <v>7</v>
      </c>
      <c r="Z59" s="9">
        <f>+O22</f>
        <v>0</v>
      </c>
      <c r="AA59" s="25">
        <v>0</v>
      </c>
      <c r="AB59" s="38">
        <f>IF(AA59+AA63=0,0,IF(AA59=AA63,2,IF(AA59&gt;AA63,3,1)))</f>
        <v>0</v>
      </c>
      <c r="AC59" s="10">
        <f>AA59-AA63</f>
        <v>0</v>
      </c>
      <c r="AD59" s="19"/>
      <c r="AE59" s="9">
        <f>+R22</f>
        <v>0</v>
      </c>
      <c r="AF59" s="107">
        <v>0</v>
      </c>
      <c r="AG59" s="38">
        <f>IF(AF59+AF63=0,0,IF(AF59=AF63,2,IF(AF59&gt;AF63,3,1)))</f>
        <v>0</v>
      </c>
      <c r="AH59" s="10">
        <f>AF59-AF63</f>
        <v>0</v>
      </c>
      <c r="AI59" s="19"/>
      <c r="AJ59" s="9">
        <f>+U22</f>
        <v>0</v>
      </c>
      <c r="AK59" s="28">
        <v>0</v>
      </c>
      <c r="AL59" s="38">
        <f>IF(AK59+AK63=0,0,IF(AK59=AK63,2,IF(AK59&gt;AK63,3,1)))</f>
        <v>0</v>
      </c>
      <c r="AM59" s="10">
        <f>AK59-AK63</f>
        <v>0</v>
      </c>
      <c r="AN59" s="18"/>
      <c r="AO59" s="44">
        <v>51</v>
      </c>
      <c r="AP59" s="5" t="str">
        <f>+Inscrits!F17</f>
        <v>C15</v>
      </c>
      <c r="AQ59" s="247" t="str">
        <f t="shared" si="3"/>
        <v xml:space="preserve"> </v>
      </c>
      <c r="AR59" s="82" t="str">
        <f t="shared" si="4"/>
        <v xml:space="preserve"> </v>
      </c>
      <c r="AS59" s="184" t="str">
        <f t="shared" si="5"/>
        <v xml:space="preserve"> </v>
      </c>
      <c r="AT59" s="250" t="str">
        <f t="shared" si="6"/>
        <v xml:space="preserve"> </v>
      </c>
      <c r="AU59" s="82" t="str">
        <f t="shared" si="7"/>
        <v xml:space="preserve"> </v>
      </c>
      <c r="AV59" s="252" t="str">
        <f t="shared" si="8"/>
        <v xml:space="preserve"> </v>
      </c>
      <c r="AW59" s="247" t="str">
        <f t="shared" si="9"/>
        <v xml:space="preserve"> </v>
      </c>
      <c r="AX59" s="82" t="str">
        <f t="shared" si="10"/>
        <v xml:space="preserve"> </v>
      </c>
      <c r="AY59" s="252" t="str">
        <f t="shared" si="11"/>
        <v xml:space="preserve"> </v>
      </c>
      <c r="AZ59" s="247">
        <f t="shared" si="17"/>
        <v>0</v>
      </c>
      <c r="BA59" s="82">
        <f t="shared" si="12"/>
        <v>0</v>
      </c>
      <c r="BB59" s="252">
        <f t="shared" si="13"/>
        <v>0</v>
      </c>
      <c r="BC59" s="255">
        <f t="shared" si="14"/>
        <v>0</v>
      </c>
      <c r="BD59" s="7">
        <f t="shared" si="15"/>
        <v>0</v>
      </c>
      <c r="BE59" s="183">
        <f t="shared" si="16"/>
        <v>25.000000589999999</v>
      </c>
      <c r="BF59" s="82">
        <f>IF(AP59="","",SMALL(BE$9:BE$62,ROWS(AZ$9:AZ59)))</f>
        <v>25.000000589999999</v>
      </c>
      <c r="BG59"/>
      <c r="BH59" s="78" t="str">
        <f>IF(OR(AP59="",AZ59=""),"",INDEX($AP$9:$AP$63,MATCH(BF59,$BE$9:BE$62,0)))</f>
        <v>C15</v>
      </c>
      <c r="BI59" s="255">
        <f t="shared" si="18"/>
        <v>0</v>
      </c>
      <c r="BJ59" s="7">
        <f t="shared" si="19"/>
        <v>0</v>
      </c>
      <c r="BK59" s="7">
        <f t="shared" si="20"/>
        <v>0</v>
      </c>
      <c r="BL59" s="17">
        <f>IF(BF59="","",IF(AND(BI58=BI59,BJ58=BJ59,BK58=BK59),BL58,$BL$9+50))</f>
        <v>25</v>
      </c>
      <c r="BM59" s="22"/>
      <c r="BN59" s="3"/>
    </row>
    <row r="60" spans="1:66" ht="16.2" thickBot="1" x14ac:dyDescent="0.35">
      <c r="A60" s="20"/>
      <c r="B60" s="22"/>
      <c r="C60" s="22"/>
      <c r="D60" s="20"/>
      <c r="E60" s="20"/>
      <c r="F60" s="20"/>
      <c r="G60" s="20"/>
      <c r="H60" s="18"/>
      <c r="I60" s="20"/>
      <c r="J60" s="20"/>
      <c r="K60" s="20"/>
      <c r="L60" s="20"/>
      <c r="P60" s="18"/>
      <c r="Q60" s="20"/>
      <c r="R60" s="22"/>
      <c r="S60" s="22"/>
      <c r="T60" s="22"/>
      <c r="U60" s="18"/>
      <c r="V60" s="18"/>
      <c r="W60" s="18"/>
      <c r="X60" s="18"/>
      <c r="Y60" s="383"/>
      <c r="Z60" s="11">
        <f>+P22</f>
        <v>0</v>
      </c>
      <c r="AA60" s="197">
        <f>IF(ISTEXT(Z60),AA59,0)</f>
        <v>0</v>
      </c>
      <c r="AB60" s="14">
        <f>IF(ISTEXT(Z60),AB59,0)</f>
        <v>0</v>
      </c>
      <c r="AC60" s="15">
        <f>IF(ISTEXT(Z60),AC59,0)</f>
        <v>0</v>
      </c>
      <c r="AD60" s="19"/>
      <c r="AE60" s="11">
        <f>+S22</f>
        <v>0</v>
      </c>
      <c r="AF60" s="197">
        <f>IF(ISTEXT(AE60),AF59,0)</f>
        <v>0</v>
      </c>
      <c r="AG60" s="48">
        <f>IF(ISTEXT(AE60),AG59,0)</f>
        <v>0</v>
      </c>
      <c r="AH60" s="15">
        <f>IF(ISTEXT(AE60),AH59,0)</f>
        <v>0</v>
      </c>
      <c r="AI60" s="19"/>
      <c r="AJ60" s="11">
        <f>+V22</f>
        <v>0</v>
      </c>
      <c r="AK60" s="197">
        <f>IF(ISTEXT(AJ60),AK59,0)</f>
        <v>0</v>
      </c>
      <c r="AL60" s="48">
        <f>IF(ISTEXT(AJ60),AL59,0)</f>
        <v>0</v>
      </c>
      <c r="AM60" s="15">
        <f>IF(ISTEXT(AJ60),AM59,0)</f>
        <v>0</v>
      </c>
      <c r="AN60" s="18"/>
      <c r="AO60" s="44">
        <v>52</v>
      </c>
      <c r="AP60" s="5" t="str">
        <f>+Inscrits!F18</f>
        <v>C16</v>
      </c>
      <c r="AQ60" s="247" t="str">
        <f t="shared" si="3"/>
        <v xml:space="preserve"> </v>
      </c>
      <c r="AR60" s="82" t="str">
        <f t="shared" si="4"/>
        <v xml:space="preserve"> </v>
      </c>
      <c r="AS60" s="184" t="str">
        <f t="shared" si="5"/>
        <v xml:space="preserve"> </v>
      </c>
      <c r="AT60" s="250" t="str">
        <f t="shared" si="6"/>
        <v xml:space="preserve"> </v>
      </c>
      <c r="AU60" s="82" t="str">
        <f t="shared" si="7"/>
        <v xml:space="preserve"> </v>
      </c>
      <c r="AV60" s="252" t="str">
        <f t="shared" si="8"/>
        <v xml:space="preserve"> </v>
      </c>
      <c r="AW60" s="247" t="str">
        <f t="shared" si="9"/>
        <v xml:space="preserve"> </v>
      </c>
      <c r="AX60" s="82" t="str">
        <f t="shared" si="10"/>
        <v xml:space="preserve"> </v>
      </c>
      <c r="AY60" s="252" t="str">
        <f t="shared" si="11"/>
        <v xml:space="preserve"> </v>
      </c>
      <c r="AZ60" s="247">
        <f t="shared" si="17"/>
        <v>0</v>
      </c>
      <c r="BA60" s="82">
        <f t="shared" si="12"/>
        <v>0</v>
      </c>
      <c r="BB60" s="252">
        <f t="shared" si="13"/>
        <v>0</v>
      </c>
      <c r="BC60" s="255">
        <f t="shared" si="14"/>
        <v>0</v>
      </c>
      <c r="BD60" s="7">
        <f t="shared" si="15"/>
        <v>0</v>
      </c>
      <c r="BE60" s="183">
        <f t="shared" si="16"/>
        <v>25.0000006</v>
      </c>
      <c r="BF60" s="82">
        <f>IF(AP60="","",SMALL(BE$9:BE$62,ROWS(AZ$9:AZ60)))</f>
        <v>25.0000006</v>
      </c>
      <c r="BG60"/>
      <c r="BH60" s="78" t="str">
        <f>IF(OR(AP60="",AZ60=""),"",INDEX($AP$9:$AP$63,MATCH(BF60,$BE$9:BE$62,0)))</f>
        <v>C16</v>
      </c>
      <c r="BI60" s="255">
        <f t="shared" si="18"/>
        <v>0</v>
      </c>
      <c r="BJ60" s="7">
        <f t="shared" si="19"/>
        <v>0</v>
      </c>
      <c r="BK60" s="7">
        <f t="shared" si="20"/>
        <v>0</v>
      </c>
      <c r="BL60" s="17">
        <f>IF(BF60="","",IF(AND(BI59=BI60,BJ59=BJ60,BK59=BK60),BL59,$BL$9+51))</f>
        <v>25</v>
      </c>
      <c r="BM60" s="22"/>
      <c r="BN60" s="3"/>
    </row>
    <row r="61" spans="1:66" ht="15.6" x14ac:dyDescent="0.3">
      <c r="A61" s="20"/>
      <c r="B61" s="22"/>
      <c r="C61" s="22"/>
      <c r="D61" s="20"/>
      <c r="E61" s="20"/>
      <c r="F61" s="20"/>
      <c r="G61" s="20"/>
      <c r="H61" s="18"/>
      <c r="I61" s="20"/>
      <c r="J61" s="20"/>
      <c r="K61" s="20"/>
      <c r="L61" s="20"/>
      <c r="P61" s="18"/>
      <c r="Q61" s="20"/>
      <c r="R61" s="22"/>
      <c r="S61" s="22"/>
      <c r="T61" s="22"/>
      <c r="U61" s="22"/>
      <c r="V61" s="18"/>
      <c r="W61" s="18"/>
      <c r="X61" s="18"/>
      <c r="Y61" s="383"/>
      <c r="Z61" s="11">
        <f>+Q22</f>
        <v>0</v>
      </c>
      <c r="AA61" s="198">
        <f>IF(ISTEXT(Z61),AA59,0)</f>
        <v>0</v>
      </c>
      <c r="AB61" s="55">
        <f>IF(ISTEXT(Z61),AB59,0)</f>
        <v>0</v>
      </c>
      <c r="AC61" s="56">
        <f>IF(ISTEXT(Z61),AC59,0)</f>
        <v>0</v>
      </c>
      <c r="AD61" s="19"/>
      <c r="AE61" s="11">
        <f>+T22</f>
        <v>0</v>
      </c>
      <c r="AF61" s="198">
        <f>IF(ISTEXT(AE61),AF59,0)</f>
        <v>0</v>
      </c>
      <c r="AG61" s="52">
        <f>IF(ISTEXT(AE61),AG59,0)</f>
        <v>0</v>
      </c>
      <c r="AH61" s="56">
        <f>IF(ISTEXT(AE61),AH59,0)</f>
        <v>0</v>
      </c>
      <c r="AI61" s="19"/>
      <c r="AJ61" s="11">
        <f>+W22</f>
        <v>0</v>
      </c>
      <c r="AK61" s="198">
        <f>IF(ISTEXT(AJ61),AK59,0)</f>
        <v>0</v>
      </c>
      <c r="AL61" s="52">
        <f>IF(ISTEXT(AJ61),AL59,0)</f>
        <v>0</v>
      </c>
      <c r="AM61" s="56">
        <f>IF(ISTEXT(AJ61),AM59,0)</f>
        <v>0</v>
      </c>
      <c r="AN61" s="18"/>
      <c r="AO61" s="44">
        <v>53</v>
      </c>
      <c r="AP61" s="5" t="str">
        <f>+Inscrits!F19</f>
        <v>C17</v>
      </c>
      <c r="AQ61" s="247" t="str">
        <f t="shared" si="3"/>
        <v xml:space="preserve"> </v>
      </c>
      <c r="AR61" s="82" t="str">
        <f t="shared" si="4"/>
        <v xml:space="preserve"> </v>
      </c>
      <c r="AS61" s="184" t="str">
        <f t="shared" si="5"/>
        <v xml:space="preserve"> </v>
      </c>
      <c r="AT61" s="250" t="str">
        <f t="shared" si="6"/>
        <v xml:space="preserve"> </v>
      </c>
      <c r="AU61" s="82" t="str">
        <f t="shared" si="7"/>
        <v xml:space="preserve"> </v>
      </c>
      <c r="AV61" s="252" t="str">
        <f t="shared" si="8"/>
        <v xml:space="preserve"> </v>
      </c>
      <c r="AW61" s="247" t="str">
        <f t="shared" si="9"/>
        <v xml:space="preserve"> </v>
      </c>
      <c r="AX61" s="82" t="str">
        <f t="shared" si="10"/>
        <v xml:space="preserve"> </v>
      </c>
      <c r="AY61" s="252" t="str">
        <f t="shared" si="11"/>
        <v xml:space="preserve"> </v>
      </c>
      <c r="AZ61" s="247">
        <f t="shared" si="17"/>
        <v>0</v>
      </c>
      <c r="BA61" s="82">
        <f t="shared" si="12"/>
        <v>0</v>
      </c>
      <c r="BB61" s="252">
        <f t="shared" si="13"/>
        <v>0</v>
      </c>
      <c r="BC61" s="255">
        <f t="shared" si="14"/>
        <v>0</v>
      </c>
      <c r="BD61" s="7">
        <f t="shared" si="15"/>
        <v>0</v>
      </c>
      <c r="BE61" s="183">
        <f t="shared" si="16"/>
        <v>25.000000610000001</v>
      </c>
      <c r="BF61" s="82">
        <f>IF(AP61="","",SMALL(BE$9:BE$62,ROWS(AZ$9:AZ61)))</f>
        <v>25.000000610000001</v>
      </c>
      <c r="BG61"/>
      <c r="BH61" s="78" t="str">
        <f>IF(OR(AP61="",AZ61=""),"",INDEX($AP$9:$AP$63,MATCH(BF61,$BE$9:BE$62,0)))</f>
        <v>C17</v>
      </c>
      <c r="BI61" s="255">
        <f t="shared" si="18"/>
        <v>0</v>
      </c>
      <c r="BJ61" s="7">
        <f t="shared" si="19"/>
        <v>0</v>
      </c>
      <c r="BK61" s="7">
        <f t="shared" si="20"/>
        <v>0</v>
      </c>
      <c r="BL61" s="17">
        <f>IF(BF61="","",IF(AND(BI60=BI61,BJ60=BJ61,BK60=BK61),BL60,$BL$9+52))</f>
        <v>25</v>
      </c>
      <c r="BM61" s="22"/>
      <c r="BN61" s="228"/>
    </row>
    <row r="62" spans="1:66" ht="16.2" thickBot="1" x14ac:dyDescent="0.35">
      <c r="A62" s="20"/>
      <c r="B62" s="22"/>
      <c r="C62" s="22"/>
      <c r="D62" s="20"/>
      <c r="E62" s="20"/>
      <c r="F62" s="20"/>
      <c r="G62" s="20"/>
      <c r="H62" s="18"/>
      <c r="I62" s="20"/>
      <c r="J62" s="20"/>
      <c r="K62" s="20"/>
      <c r="L62" s="20"/>
      <c r="P62" s="18"/>
      <c r="Q62" s="20"/>
      <c r="R62" s="22"/>
      <c r="S62" s="22"/>
      <c r="T62" s="22"/>
      <c r="U62" s="22"/>
      <c r="V62" s="18"/>
      <c r="W62" s="18"/>
      <c r="X62" s="18"/>
      <c r="Y62" s="383"/>
      <c r="Z62" s="24"/>
      <c r="AA62" s="195" t="s">
        <v>5</v>
      </c>
      <c r="AB62" s="16"/>
      <c r="AC62" s="17"/>
      <c r="AD62" s="20"/>
      <c r="AE62" s="24"/>
      <c r="AF62" s="195" t="s">
        <v>5</v>
      </c>
      <c r="AG62" s="16"/>
      <c r="AH62" s="17"/>
      <c r="AI62" s="20"/>
      <c r="AJ62" s="24"/>
      <c r="AK62" s="195" t="s">
        <v>5</v>
      </c>
      <c r="AL62" s="16"/>
      <c r="AM62" s="17"/>
      <c r="AN62" s="18"/>
      <c r="AO62" s="283">
        <v>54</v>
      </c>
      <c r="AP62" s="280" t="str">
        <f>+Inscrits!F20</f>
        <v>C18</v>
      </c>
      <c r="AQ62" s="248" t="str">
        <f t="shared" si="3"/>
        <v xml:space="preserve"> </v>
      </c>
      <c r="AR62" s="189" t="str">
        <f t="shared" si="4"/>
        <v xml:space="preserve"> </v>
      </c>
      <c r="AS62" s="190" t="str">
        <f t="shared" si="5"/>
        <v xml:space="preserve"> </v>
      </c>
      <c r="AT62" s="251" t="str">
        <f t="shared" si="6"/>
        <v xml:space="preserve"> </v>
      </c>
      <c r="AU62" s="189" t="str">
        <f t="shared" si="7"/>
        <v xml:space="preserve"> </v>
      </c>
      <c r="AV62" s="253" t="str">
        <f t="shared" si="8"/>
        <v xml:space="preserve"> </v>
      </c>
      <c r="AW62" s="248" t="str">
        <f t="shared" si="9"/>
        <v xml:space="preserve"> </v>
      </c>
      <c r="AX62" s="189" t="str">
        <f t="shared" si="10"/>
        <v xml:space="preserve"> </v>
      </c>
      <c r="AY62" s="253" t="str">
        <f t="shared" si="11"/>
        <v xml:space="preserve"> </v>
      </c>
      <c r="AZ62" s="248">
        <f t="shared" si="17"/>
        <v>0</v>
      </c>
      <c r="BA62" s="189">
        <f t="shared" si="12"/>
        <v>0</v>
      </c>
      <c r="BB62" s="253">
        <f t="shared" si="13"/>
        <v>0</v>
      </c>
      <c r="BC62" s="256">
        <f t="shared" si="14"/>
        <v>0</v>
      </c>
      <c r="BD62" s="244">
        <f t="shared" si="15"/>
        <v>0</v>
      </c>
      <c r="BE62" s="183">
        <f t="shared" si="16"/>
        <v>25.000000620000002</v>
      </c>
      <c r="BF62" s="82">
        <f>IF(AP62="","",SMALL(BE$9:BE$62,ROWS(AZ$9:AZ62)))</f>
        <v>25.000000620000002</v>
      </c>
      <c r="BG62"/>
      <c r="BH62" s="309" t="str">
        <f>IF(OR(AP62="",AZ62=""),"",INDEX($AP$9:$AP$63,MATCH(BF62,$BE$9:BE$62,0)))</f>
        <v>C18</v>
      </c>
      <c r="BI62" s="256">
        <f t="shared" si="18"/>
        <v>0</v>
      </c>
      <c r="BJ62" s="244">
        <f t="shared" si="19"/>
        <v>0</v>
      </c>
      <c r="BK62" s="244">
        <f t="shared" si="20"/>
        <v>0</v>
      </c>
      <c r="BL62" s="17">
        <f>IF(BF62="","",IF(AND(BI61=BI62,BJ61=BJ62,BK61=BK62),BL61,$BL$9+53))</f>
        <v>25</v>
      </c>
      <c r="BM62" s="22"/>
      <c r="BN62" s="228"/>
    </row>
    <row r="63" spans="1:66" ht="15.6" x14ac:dyDescent="0.3">
      <c r="A63" s="20"/>
      <c r="B63" s="22"/>
      <c r="C63" s="22"/>
      <c r="D63" s="20"/>
      <c r="E63" s="20"/>
      <c r="F63" s="20"/>
      <c r="G63" s="20"/>
      <c r="H63" s="18"/>
      <c r="I63" s="20"/>
      <c r="J63" s="20"/>
      <c r="K63" s="20"/>
      <c r="L63" s="20"/>
      <c r="P63" s="18"/>
      <c r="Q63" s="20"/>
      <c r="R63" s="22"/>
      <c r="S63" s="22"/>
      <c r="T63" s="22"/>
      <c r="U63" s="22"/>
      <c r="V63" s="18"/>
      <c r="W63" s="18"/>
      <c r="X63" s="18"/>
      <c r="Y63" s="383"/>
      <c r="Z63" s="11">
        <f>+O23</f>
        <v>0</v>
      </c>
      <c r="AA63" s="27">
        <v>0</v>
      </c>
      <c r="AB63" s="23">
        <f>IF(AA59+AA63=0,0,IF(AA59=AA63,2,IF(AA59&lt;AA63,3,1)))</f>
        <v>0</v>
      </c>
      <c r="AC63" s="12">
        <f>AA63-AA59</f>
        <v>0</v>
      </c>
      <c r="AD63" s="19"/>
      <c r="AE63" s="11">
        <f>+R23</f>
        <v>0</v>
      </c>
      <c r="AF63" s="108">
        <v>0</v>
      </c>
      <c r="AG63" s="23">
        <f>IF(AF59+AF63=0,0,IF(AF59=AF63,2,IF(AF59&lt;AF63,3,1)))</f>
        <v>0</v>
      </c>
      <c r="AH63" s="12">
        <f>AF63-AF59</f>
        <v>0</v>
      </c>
      <c r="AI63" s="19"/>
      <c r="AJ63" s="11">
        <f>+U23</f>
        <v>0</v>
      </c>
      <c r="AK63" s="29">
        <v>0</v>
      </c>
      <c r="AL63" s="23">
        <f>IF(AK59+AK63=0,0,IF(AK59=AK63,2,IF(AK59&lt;AK63,3,1)))</f>
        <v>0</v>
      </c>
      <c r="AM63" s="12">
        <f>AK63-AK59</f>
        <v>0</v>
      </c>
      <c r="AN63" s="18"/>
      <c r="AO63"/>
      <c r="AP63" s="4"/>
      <c r="AQ63" s="61">
        <f>SUM(IF(ISNA(AQ9:AQ62),0,AQ9:AQ62))</f>
        <v>36</v>
      </c>
      <c r="AR63" s="61">
        <f t="array" ref="AR63">SUM(IF(ISNA(AR9:AR62),0,AR9:AR62))</f>
        <v>0</v>
      </c>
      <c r="AS63" s="61"/>
      <c r="AT63" s="61">
        <f>SUM(IF(ISNA(AT9:AT62),0,AT9:AT62))</f>
        <v>36</v>
      </c>
      <c r="AU63" s="61">
        <f t="array" ref="AU63">SUM(IF(ISNA(AU9:AU62),0,AU9:AU62))</f>
        <v>0</v>
      </c>
      <c r="AV63" s="61"/>
      <c r="AW63" s="61">
        <f t="array" ref="AW63">SUM(IF(ISNA(AW9:AW62),0,AW9:AW62))</f>
        <v>36</v>
      </c>
      <c r="AX63" s="61">
        <f t="array" ref="AX63">SUM(IF(ISNA(AX9:AX62),0,AX9:AX62))</f>
        <v>0</v>
      </c>
      <c r="AY63" s="61"/>
      <c r="AZ63" s="6">
        <f t="array" ref="AZ63">SUM(AZ9:AZ62)</f>
        <v>108</v>
      </c>
      <c r="BA63" s="6">
        <f t="array" ref="BA63">SUM(BA9:BA62)</f>
        <v>0</v>
      </c>
      <c r="BB63" s="6"/>
      <c r="BC63" s="6"/>
      <c r="BD63" s="6"/>
      <c r="BE63" s="6"/>
      <c r="BF63" s="6"/>
      <c r="BH63" s="6"/>
      <c r="BI63" s="1"/>
      <c r="BJ63" s="6">
        <f t="array" ref="BJ63">SUM(BJ9:BJ62)</f>
        <v>0</v>
      </c>
      <c r="BK63" s="6"/>
      <c r="BL63" s="4"/>
      <c r="BM63" s="22"/>
    </row>
    <row r="64" spans="1:66" ht="16.2" thickBot="1" x14ac:dyDescent="0.35">
      <c r="A64" s="20"/>
      <c r="B64" s="22"/>
      <c r="C64" s="22"/>
      <c r="D64" s="20"/>
      <c r="E64" s="20"/>
      <c r="F64" s="20"/>
      <c r="G64" s="20"/>
      <c r="H64" s="18"/>
      <c r="I64" s="20"/>
      <c r="J64" s="20"/>
      <c r="K64" s="20"/>
      <c r="L64" s="20"/>
      <c r="P64" s="18"/>
      <c r="Q64" s="20"/>
      <c r="R64" s="22"/>
      <c r="S64" s="22"/>
      <c r="T64" s="22"/>
      <c r="U64" s="22"/>
      <c r="V64" s="18"/>
      <c r="W64" s="18"/>
      <c r="X64" s="18"/>
      <c r="Y64" s="383"/>
      <c r="Z64" s="11">
        <f>+P23</f>
        <v>0</v>
      </c>
      <c r="AA64" s="14">
        <f>IF(ISTEXT(Z64),AA63,0)</f>
        <v>0</v>
      </c>
      <c r="AB64" s="14">
        <f>IF(ISTEXT(Z64),AB63,0)</f>
        <v>0</v>
      </c>
      <c r="AC64" s="15">
        <f>IF(ISTEXT(Z64),AC63,0)</f>
        <v>0</v>
      </c>
      <c r="AD64" s="6"/>
      <c r="AE64" s="11">
        <f>+S23</f>
        <v>0</v>
      </c>
      <c r="AF64" s="14">
        <f>IF(ISTEXT(AE64),AF63,0)</f>
        <v>0</v>
      </c>
      <c r="AG64" s="14">
        <f>IF(ISTEXT(AE64),AG63,0)</f>
        <v>0</v>
      </c>
      <c r="AH64" s="15">
        <f>IF(ISTEXT(AE64),AH63,0)</f>
        <v>0</v>
      </c>
      <c r="AI64" s="6"/>
      <c r="AJ64" s="11">
        <f>+V23</f>
        <v>0</v>
      </c>
      <c r="AK64" s="14">
        <f>IF(ISTEXT(AJ64),AK63,0)</f>
        <v>0</v>
      </c>
      <c r="AL64" s="14">
        <f>IF(ISTEXT(AJ64),AL63,0)</f>
        <v>0</v>
      </c>
      <c r="AM64" s="15">
        <f>IF(ISTEXT(AJ64),AM63,0)</f>
        <v>0</v>
      </c>
      <c r="AN64" s="18"/>
      <c r="AO64"/>
      <c r="AP64" s="4"/>
      <c r="AQ64" s="6"/>
      <c r="AR64" s="1" t="str">
        <f>IF(AR63=0,"OK","ERREUR")</f>
        <v>OK</v>
      </c>
      <c r="AS64" s="61"/>
      <c r="AT64" s="6"/>
      <c r="AU64" s="1" t="str">
        <f>IF(AU63=0,"OK","ERREUR")</f>
        <v>OK</v>
      </c>
      <c r="AV64" s="61"/>
      <c r="AW64" s="6"/>
      <c r="AX64" s="1" t="str">
        <f>IF(AX63=0,"OK","ERREUR")</f>
        <v>OK</v>
      </c>
      <c r="AY64" s="61"/>
      <c r="AZ64" s="4"/>
      <c r="BA64" s="1" t="str">
        <f>IF(BA63=0,"OK","ERREUR")</f>
        <v>OK</v>
      </c>
      <c r="BB64" s="61"/>
      <c r="BC64" s="6"/>
      <c r="BD64" s="6"/>
      <c r="BE64" s="6"/>
      <c r="BF64" s="6"/>
      <c r="BH64" s="6"/>
      <c r="BI64" s="1"/>
      <c r="BJ64" s="1" t="str">
        <f>IF(BJ63=0,"OK","ERREUR")</f>
        <v>OK</v>
      </c>
      <c r="BK64" s="61"/>
      <c r="BL64" s="4"/>
      <c r="BM64" s="22"/>
    </row>
    <row r="65" spans="1:65" ht="16.2" thickBot="1" x14ac:dyDescent="0.35">
      <c r="A65" s="20"/>
      <c r="B65" s="22"/>
      <c r="C65" s="22"/>
      <c r="D65" s="20"/>
      <c r="E65" s="20"/>
      <c r="F65" s="20"/>
      <c r="G65" s="20"/>
      <c r="H65" s="18"/>
      <c r="I65" s="20"/>
      <c r="J65" s="20"/>
      <c r="K65" s="20"/>
      <c r="L65" s="20"/>
      <c r="P65" s="18"/>
      <c r="Q65" s="20"/>
      <c r="R65" s="22"/>
      <c r="S65" s="22"/>
      <c r="T65" s="22"/>
      <c r="U65" s="22"/>
      <c r="V65" s="18"/>
      <c r="W65" s="18"/>
      <c r="X65" s="18"/>
      <c r="Y65" s="384"/>
      <c r="Z65" s="13">
        <f>+Q23</f>
        <v>0</v>
      </c>
      <c r="AA65" s="14">
        <f>IF(ISTEXT(Z65),AA63,0)</f>
        <v>0</v>
      </c>
      <c r="AB65" s="14">
        <f>IF(ISTEXT(Z65),AB63,0)</f>
        <v>0</v>
      </c>
      <c r="AC65" s="15">
        <f>IF(ISTEXT(Z65),AC63,0)</f>
        <v>0</v>
      </c>
      <c r="AD65" s="6"/>
      <c r="AE65" s="13">
        <f>+T23</f>
        <v>0</v>
      </c>
      <c r="AF65" s="14">
        <f>IF(ISTEXT(AE65),AF63,0)</f>
        <v>0</v>
      </c>
      <c r="AG65" s="14">
        <f>IF(ISTEXT(AE65),AG63,0)</f>
        <v>0</v>
      </c>
      <c r="AH65" s="15">
        <f>IF(ISTEXT(AE65),AH63,0)</f>
        <v>0</v>
      </c>
      <c r="AI65" s="6"/>
      <c r="AJ65" s="13">
        <f>+W23</f>
        <v>0</v>
      </c>
      <c r="AK65" s="14">
        <f>IF(ISTEXT(AJ65),AK63,0)</f>
        <v>0</v>
      </c>
      <c r="AL65" s="14">
        <f>IF(ISTEXT(AJ65),AL63,0)</f>
        <v>0</v>
      </c>
      <c r="AM65" s="15">
        <f>IF(ISTEXT(AJ65),AM63,0)</f>
        <v>0</v>
      </c>
      <c r="AN65" s="18"/>
      <c r="AO65" s="20"/>
      <c r="AP65" s="4"/>
      <c r="AQ65" s="6"/>
      <c r="AR65" s="61"/>
      <c r="AS65" s="61"/>
      <c r="AT65" s="6"/>
      <c r="AU65" s="61"/>
      <c r="AV65" s="61"/>
      <c r="AW65" s="6"/>
      <c r="AX65" s="61"/>
      <c r="AY65" s="61"/>
      <c r="AZ65" s="4"/>
      <c r="BA65" s="61"/>
      <c r="BB65" s="61"/>
      <c r="BC65" s="6"/>
      <c r="BD65" s="6"/>
      <c r="BE65" s="6"/>
      <c r="BF65" s="6"/>
      <c r="BH65" s="6"/>
      <c r="BI65" s="1"/>
      <c r="BJ65" s="61"/>
      <c r="BK65" s="61"/>
      <c r="BL65" s="4"/>
      <c r="BM65" s="22"/>
    </row>
    <row r="66" spans="1:65" ht="16.2" thickBot="1" x14ac:dyDescent="0.35">
      <c r="A66" s="20"/>
      <c r="B66" s="22"/>
      <c r="C66" s="22"/>
      <c r="D66" s="20"/>
      <c r="E66" s="20"/>
      <c r="F66" s="20"/>
      <c r="G66" s="20"/>
      <c r="H66" s="18"/>
      <c r="I66" s="20"/>
      <c r="J66" s="20"/>
      <c r="K66" s="20"/>
      <c r="L66" s="20"/>
      <c r="P66" s="18"/>
      <c r="Q66" s="20"/>
      <c r="R66" s="22"/>
      <c r="S66" s="22"/>
      <c r="T66" s="22"/>
      <c r="U66" s="22"/>
      <c r="V66" s="18"/>
      <c r="W66" s="18"/>
      <c r="X66" s="18"/>
      <c r="Y66" s="20"/>
      <c r="Z66" s="59"/>
      <c r="AA66" s="199"/>
      <c r="AB66" s="59"/>
      <c r="AC66" s="59"/>
      <c r="AD66" s="199"/>
      <c r="AE66" s="59"/>
      <c r="AF66" s="199"/>
      <c r="AG66" s="59"/>
      <c r="AH66" s="59"/>
      <c r="AI66" s="199"/>
      <c r="AJ66" s="59"/>
      <c r="AK66" s="199"/>
      <c r="AL66" s="59"/>
      <c r="AM66" s="59"/>
      <c r="AN66" s="18"/>
      <c r="AO66" s="20"/>
      <c r="AP66" s="18"/>
      <c r="AR66" s="19"/>
      <c r="AS66" s="19"/>
      <c r="AX66" s="19"/>
      <c r="AY66" s="19"/>
      <c r="AZ66" s="19"/>
      <c r="BA66" s="19"/>
      <c r="BB66" s="19"/>
      <c r="BC66" s="19"/>
      <c r="BD66" s="19"/>
      <c r="BE66" s="19"/>
      <c r="BF66" s="19"/>
      <c r="BH66" s="19"/>
      <c r="BI66" s="20"/>
      <c r="BJ66" s="20"/>
      <c r="BK66" s="20"/>
      <c r="BL66" s="18"/>
      <c r="BM66" s="22"/>
    </row>
    <row r="67" spans="1:65" ht="15.6" x14ac:dyDescent="0.3">
      <c r="A67" s="20"/>
      <c r="B67" s="22"/>
      <c r="C67" s="22"/>
      <c r="D67" s="20"/>
      <c r="E67" s="20"/>
      <c r="F67" s="20"/>
      <c r="G67" s="20"/>
      <c r="H67" s="18"/>
      <c r="I67" s="20"/>
      <c r="J67" s="20"/>
      <c r="K67" s="20"/>
      <c r="L67" s="20"/>
      <c r="P67" s="18"/>
      <c r="Q67" s="20"/>
      <c r="R67" s="22"/>
      <c r="S67" s="22"/>
      <c r="T67" s="22"/>
      <c r="U67" s="22"/>
      <c r="V67" s="18"/>
      <c r="W67" s="18"/>
      <c r="X67" s="18"/>
      <c r="Y67" s="382">
        <v>8</v>
      </c>
      <c r="Z67" s="9">
        <f>+O24</f>
        <v>0</v>
      </c>
      <c r="AA67" s="25">
        <v>0</v>
      </c>
      <c r="AB67" s="38">
        <f>IF(AA67+AA71=0,0,IF(AA67=AA71,2,IF(AA67&gt;AA71,3,1)))</f>
        <v>0</v>
      </c>
      <c r="AC67" s="10">
        <f>AA67-AA71</f>
        <v>0</v>
      </c>
      <c r="AD67" s="19"/>
      <c r="AE67" s="9">
        <f>+R24</f>
        <v>0</v>
      </c>
      <c r="AF67" s="107">
        <v>0</v>
      </c>
      <c r="AG67" s="38">
        <f>IF(AF67+AF71=0,0,IF(AF67=AF71,2,IF(AF67&gt;AF71,3,1)))</f>
        <v>0</v>
      </c>
      <c r="AH67" s="10">
        <f>AF67-AF71</f>
        <v>0</v>
      </c>
      <c r="AI67" s="19"/>
      <c r="AJ67" s="9">
        <f>+U24</f>
        <v>0</v>
      </c>
      <c r="AK67" s="28">
        <v>0</v>
      </c>
      <c r="AL67" s="38">
        <f>IF(AK67+AK71=0,0,IF(AK67=AK71,2,IF(AK67&gt;AK71,3,1)))</f>
        <v>0</v>
      </c>
      <c r="AM67" s="10">
        <f>AK67-AK71</f>
        <v>0</v>
      </c>
      <c r="AN67" s="18"/>
      <c r="AO67" s="20"/>
      <c r="AP67" s="326" t="s">
        <v>28</v>
      </c>
      <c r="AQ67" s="323">
        <f>COUNTIF(AQ9:AQ56,1)</f>
        <v>9</v>
      </c>
      <c r="AR67" s="324"/>
      <c r="AS67" s="324"/>
      <c r="AT67" s="323">
        <f>COUNTIF(AT9:AT56,1)</f>
        <v>9</v>
      </c>
      <c r="AU67" s="323"/>
      <c r="AV67" s="323"/>
      <c r="AW67" s="323">
        <f>COUNTIF(AW9:AW56,1)</f>
        <v>9</v>
      </c>
      <c r="AX67" s="324"/>
      <c r="AY67" s="324"/>
      <c r="AZ67" s="323">
        <f>COUNTIF(AZ9:AZ62,3)</f>
        <v>5</v>
      </c>
      <c r="BC67" s="21">
        <f>COUNTIF(BC9:BC56,1)</f>
        <v>0</v>
      </c>
      <c r="BD67" s="21"/>
      <c r="BE67" s="21"/>
      <c r="BF67" s="21">
        <f>COUNTIF(BF9:BF56,1)</f>
        <v>0</v>
      </c>
      <c r="BH67" s="18"/>
      <c r="BI67" s="18"/>
      <c r="BJ67" s="18"/>
      <c r="BK67" s="18"/>
      <c r="BL67" s="18"/>
      <c r="BM67" s="22"/>
    </row>
    <row r="68" spans="1:65" ht="16.2" thickBot="1" x14ac:dyDescent="0.35">
      <c r="A68" s="20"/>
      <c r="B68" s="22"/>
      <c r="C68" s="22"/>
      <c r="D68" s="20"/>
      <c r="E68" s="20"/>
      <c r="F68" s="20"/>
      <c r="G68" s="20"/>
      <c r="H68" s="18"/>
      <c r="I68" s="20"/>
      <c r="J68" s="20"/>
      <c r="K68" s="20"/>
      <c r="L68" s="20"/>
      <c r="P68" s="18"/>
      <c r="Q68" s="20"/>
      <c r="R68" s="22"/>
      <c r="S68" s="22"/>
      <c r="T68" s="22"/>
      <c r="U68" s="22"/>
      <c r="V68" s="18"/>
      <c r="W68" s="18"/>
      <c r="X68" s="18"/>
      <c r="Y68" s="383"/>
      <c r="Z68" s="11">
        <f>+P24</f>
        <v>0</v>
      </c>
      <c r="AA68" s="14">
        <f>IF(ISTEXT(Z68),AA67,0)</f>
        <v>0</v>
      </c>
      <c r="AB68" s="14">
        <f>IF(ISTEXT(Z68),AB67,0)</f>
        <v>0</v>
      </c>
      <c r="AC68" s="15">
        <f>IF(ISTEXT(Z68),AC67,0)</f>
        <v>0</v>
      </c>
      <c r="AD68" s="6"/>
      <c r="AE68" s="11">
        <f>+S24</f>
        <v>0</v>
      </c>
      <c r="AF68" s="14">
        <f>IF(ISTEXT(AE68),AF67,0)</f>
        <v>0</v>
      </c>
      <c r="AG68" s="48">
        <f>IF(ISTEXT(AE68),AG67,0)</f>
        <v>0</v>
      </c>
      <c r="AH68" s="15">
        <f>IF(ISTEXT(AE68),AH67,0)</f>
        <v>0</v>
      </c>
      <c r="AI68" s="6"/>
      <c r="AJ68" s="11">
        <f>+V24</f>
        <v>0</v>
      </c>
      <c r="AK68" s="14">
        <f>IF(ISTEXT(AJ68),AK67,0)</f>
        <v>0</v>
      </c>
      <c r="AL68" s="48">
        <f>IF(ISTEXT(AJ68),AL67,0)</f>
        <v>0</v>
      </c>
      <c r="AM68" s="15">
        <f>IF(ISTEXT(AJ68),AM67,0)</f>
        <v>0</v>
      </c>
      <c r="AN68" s="18"/>
      <c r="AO68" s="20"/>
      <c r="AP68" s="326" t="s">
        <v>44</v>
      </c>
      <c r="AQ68" s="323">
        <f>COUNTIF(AQ9:AQ56,2)</f>
        <v>0</v>
      </c>
      <c r="AR68" s="324"/>
      <c r="AS68" s="324"/>
      <c r="AT68" s="323">
        <f>COUNTIF(AT9:AT56,2)</f>
        <v>0</v>
      </c>
      <c r="AU68" s="324"/>
      <c r="AV68" s="324"/>
      <c r="AW68" s="323">
        <f>COUNTIF(AW9:AW56,2)</f>
        <v>0</v>
      </c>
      <c r="AX68" s="324"/>
      <c r="AY68" s="324"/>
      <c r="AZ68" s="323">
        <f>COUNTIF(AZ9:AZ62,5)</f>
        <v>3</v>
      </c>
      <c r="BC68" s="21">
        <f>COUNTIF(BC9:BC56,2)</f>
        <v>0</v>
      </c>
      <c r="BD68" s="200"/>
      <c r="BE68" s="200"/>
      <c r="BF68" s="21">
        <f>COUNTIF(BF9:BF56,2)</f>
        <v>0</v>
      </c>
      <c r="BH68" s="315" t="s">
        <v>31</v>
      </c>
      <c r="BI68" s="18"/>
      <c r="BJ68" s="18"/>
      <c r="BK68" s="18"/>
      <c r="BL68" s="18"/>
      <c r="BM68" s="22"/>
    </row>
    <row r="69" spans="1:65" ht="15.6" x14ac:dyDescent="0.3">
      <c r="A69" s="20"/>
      <c r="B69" s="22"/>
      <c r="C69" s="22"/>
      <c r="D69" s="20"/>
      <c r="E69" s="20"/>
      <c r="F69" s="20"/>
      <c r="G69" s="20"/>
      <c r="H69" s="18"/>
      <c r="I69" s="20"/>
      <c r="J69" s="20"/>
      <c r="K69" s="20"/>
      <c r="L69" s="20"/>
      <c r="P69" s="18"/>
      <c r="Q69" s="20"/>
      <c r="R69" s="22"/>
      <c r="S69" s="22"/>
      <c r="T69" s="22"/>
      <c r="U69" s="22"/>
      <c r="V69" s="18"/>
      <c r="W69" s="18"/>
      <c r="X69" s="18"/>
      <c r="Y69" s="383"/>
      <c r="Z69" s="11">
        <f>+Q24</f>
        <v>0</v>
      </c>
      <c r="AA69" s="55">
        <f>IF(ISTEXT(Z69),AA67,0)</f>
        <v>0</v>
      </c>
      <c r="AB69" s="55">
        <f>IF(ISTEXT(Z69),AB67,0)</f>
        <v>0</v>
      </c>
      <c r="AC69" s="56">
        <f>IF(ISTEXT(Z69),AC67,0)</f>
        <v>0</v>
      </c>
      <c r="AD69" s="6"/>
      <c r="AE69" s="11">
        <f>+T24</f>
        <v>0</v>
      </c>
      <c r="AF69" s="55">
        <f>IF(ISTEXT(AE69),AF67,0)</f>
        <v>0</v>
      </c>
      <c r="AG69" s="52">
        <f>IF(ISTEXT(AE69),AG67,0)</f>
        <v>0</v>
      </c>
      <c r="AH69" s="56">
        <f>IF(ISTEXT(AE69),AH67,0)</f>
        <v>0</v>
      </c>
      <c r="AI69" s="6"/>
      <c r="AJ69" s="11">
        <f>+W24</f>
        <v>0</v>
      </c>
      <c r="AK69" s="55">
        <f>IF(ISTEXT(AJ69),AK67,0)</f>
        <v>0</v>
      </c>
      <c r="AL69" s="52">
        <f>IF(ISTEXT(AJ69),AL67,0)</f>
        <v>0</v>
      </c>
      <c r="AM69" s="56">
        <f>IF(ISTEXT(AJ69),AM67,0)</f>
        <v>0</v>
      </c>
      <c r="AN69" s="18"/>
      <c r="AO69" s="18"/>
      <c r="AP69" s="326" t="s">
        <v>47</v>
      </c>
      <c r="AQ69" s="323"/>
      <c r="AR69" s="324"/>
      <c r="AS69" s="324"/>
      <c r="AT69" s="323"/>
      <c r="AU69" s="324"/>
      <c r="AV69" s="324"/>
      <c r="AW69" s="323"/>
      <c r="AX69" s="324"/>
      <c r="AY69" s="324"/>
      <c r="AZ69" s="323">
        <f>COUNTIF(AZ10:AZ63,6)</f>
        <v>2</v>
      </c>
      <c r="BC69" s="21">
        <f>COUNTIF(BC9:BC56,3)</f>
        <v>0</v>
      </c>
      <c r="BD69" s="200"/>
      <c r="BE69" s="200"/>
      <c r="BF69" s="21">
        <f>COUNTIF(BF9:BF56,3)</f>
        <v>0</v>
      </c>
      <c r="BH69" s="18"/>
      <c r="BI69" s="18"/>
      <c r="BJ69" s="18"/>
      <c r="BK69" s="18"/>
      <c r="BL69" s="18"/>
      <c r="BM69" s="22"/>
    </row>
    <row r="70" spans="1:65" ht="15.6" x14ac:dyDescent="0.3">
      <c r="A70" s="20"/>
      <c r="B70" s="22"/>
      <c r="C70" s="22"/>
      <c r="D70" s="20"/>
      <c r="E70" s="20"/>
      <c r="F70" s="20"/>
      <c r="G70" s="20"/>
      <c r="H70" s="18"/>
      <c r="I70" s="20"/>
      <c r="J70" s="20"/>
      <c r="K70" s="20"/>
      <c r="L70" s="20"/>
      <c r="P70" s="18"/>
      <c r="Q70" s="20"/>
      <c r="R70" s="22"/>
      <c r="S70" s="22"/>
      <c r="T70" s="22"/>
      <c r="U70" s="22"/>
      <c r="V70" s="18"/>
      <c r="W70" s="18"/>
      <c r="X70" s="18"/>
      <c r="Y70" s="383"/>
      <c r="Z70" s="24"/>
      <c r="AA70" s="195" t="s">
        <v>5</v>
      </c>
      <c r="AB70" s="16"/>
      <c r="AC70" s="17"/>
      <c r="AD70" s="20"/>
      <c r="AE70" s="24"/>
      <c r="AF70" s="195" t="s">
        <v>5</v>
      </c>
      <c r="AG70" s="16"/>
      <c r="AH70" s="17"/>
      <c r="AI70" s="20"/>
      <c r="AJ70" s="24"/>
      <c r="AK70" s="195" t="s">
        <v>5</v>
      </c>
      <c r="AL70" s="16"/>
      <c r="AM70" s="17"/>
      <c r="AN70" s="18"/>
      <c r="AO70" s="18"/>
      <c r="AP70" s="326" t="s">
        <v>45</v>
      </c>
      <c r="AQ70" s="323">
        <f>COUNTIF(AQ9:AQ56,3)</f>
        <v>9</v>
      </c>
      <c r="AR70" s="324"/>
      <c r="AS70" s="324"/>
      <c r="AT70" s="323">
        <f>COUNTIF(AT9:AT56,3)</f>
        <v>9</v>
      </c>
      <c r="AU70" s="324"/>
      <c r="AV70" s="324"/>
      <c r="AW70" s="323">
        <f>COUNTIF(AW9:AW56,3)</f>
        <v>9</v>
      </c>
      <c r="AX70" s="324"/>
      <c r="AY70" s="324"/>
      <c r="AZ70" s="323">
        <f>COUNTIF(AZ9:AZ62,7)</f>
        <v>5</v>
      </c>
      <c r="BC70" s="21">
        <f>COUNTIF(BC9:BC56,0)</f>
        <v>38</v>
      </c>
      <c r="BD70" s="200"/>
      <c r="BE70" s="200"/>
      <c r="BF70" s="21">
        <f>COUNTIF(BF9:BF56,0)</f>
        <v>0</v>
      </c>
      <c r="BG70" s="18"/>
      <c r="BH70" s="18"/>
      <c r="BI70" s="18"/>
      <c r="BJ70" s="18"/>
      <c r="BK70" s="18"/>
      <c r="BL70" s="18"/>
      <c r="BM70" s="22"/>
    </row>
    <row r="71" spans="1:65" ht="15.6" x14ac:dyDescent="0.3">
      <c r="A71" s="20"/>
      <c r="B71" s="22"/>
      <c r="C71" s="22"/>
      <c r="D71" s="20"/>
      <c r="E71" s="20"/>
      <c r="F71" s="20"/>
      <c r="G71" s="20"/>
      <c r="H71" s="18"/>
      <c r="I71" s="20"/>
      <c r="J71" s="20"/>
      <c r="K71" s="20"/>
      <c r="L71" s="20"/>
      <c r="P71" s="18"/>
      <c r="Q71" s="20"/>
      <c r="R71" s="22"/>
      <c r="S71" s="22"/>
      <c r="T71" s="22"/>
      <c r="U71" s="22"/>
      <c r="V71" s="18"/>
      <c r="W71" s="18"/>
      <c r="X71" s="18"/>
      <c r="Y71" s="383"/>
      <c r="Z71" s="11">
        <f>+O25</f>
        <v>0</v>
      </c>
      <c r="AA71" s="27">
        <v>0</v>
      </c>
      <c r="AB71" s="23">
        <f>IF(AA67+AA71=0,0,IF(AA67=AA71,2,IF(AA67&lt;AA71,3,1)))</f>
        <v>0</v>
      </c>
      <c r="AC71" s="12">
        <f>AA71-AA67</f>
        <v>0</v>
      </c>
      <c r="AD71" s="19"/>
      <c r="AE71" s="11">
        <f>+R25</f>
        <v>0</v>
      </c>
      <c r="AF71" s="108">
        <v>0</v>
      </c>
      <c r="AG71" s="23">
        <f>IF(AF67+AF71=0,0,IF(AF67=AF71,2,IF(AF67&lt;AF71,3,1)))</f>
        <v>0</v>
      </c>
      <c r="AH71" s="12">
        <f>AF71-AF67</f>
        <v>0</v>
      </c>
      <c r="AI71" s="19"/>
      <c r="AJ71" s="11">
        <f>+U25</f>
        <v>0</v>
      </c>
      <c r="AK71" s="29">
        <v>0</v>
      </c>
      <c r="AL71" s="23">
        <f>IF(AK67+AK71=0,0,IF(AK67=AK71,2,IF(AK67&lt;AK71,3,1)))</f>
        <v>0</v>
      </c>
      <c r="AM71" s="12">
        <f>AK71-AK67</f>
        <v>0</v>
      </c>
      <c r="AN71" s="18"/>
      <c r="AO71" s="18"/>
      <c r="AP71" s="326" t="s">
        <v>46</v>
      </c>
      <c r="AQ71" s="323">
        <f>COUNTIF(AQ9:AQ56,0)</f>
        <v>12</v>
      </c>
      <c r="AR71" s="324"/>
      <c r="AS71" s="324"/>
      <c r="AT71" s="323">
        <f>COUNTIF(AT9:AT56,0)</f>
        <v>12</v>
      </c>
      <c r="AU71" s="324"/>
      <c r="AV71" s="324"/>
      <c r="AW71" s="323">
        <f>COUNTIF(AW9:AW56,0)</f>
        <v>12</v>
      </c>
      <c r="AX71" s="324"/>
      <c r="AY71" s="324"/>
      <c r="AZ71" s="323">
        <f>COUNTIF(AZ10:AZ63,9)</f>
        <v>1</v>
      </c>
      <c r="BC71" s="21">
        <f>COUNTIF(BC9:BC63,#N/A)</f>
        <v>0</v>
      </c>
      <c r="BD71" s="200"/>
      <c r="BE71" s="200"/>
      <c r="BF71" s="21">
        <f>COUNTIF(BF9:BF63,#N/A)</f>
        <v>0</v>
      </c>
      <c r="BG71" s="18"/>
      <c r="BH71" s="18"/>
      <c r="BI71" s="18"/>
      <c r="BJ71" s="18"/>
      <c r="BK71" s="18"/>
      <c r="BL71" s="18"/>
      <c r="BM71" s="22"/>
    </row>
    <row r="72" spans="1:65" ht="16.2" thickBot="1" x14ac:dyDescent="0.35">
      <c r="A72" s="20"/>
      <c r="B72" s="22"/>
      <c r="C72" s="22"/>
      <c r="D72" s="20"/>
      <c r="E72" s="20"/>
      <c r="F72" s="20"/>
      <c r="G72" s="20"/>
      <c r="H72" s="18"/>
      <c r="I72" s="20"/>
      <c r="J72" s="20"/>
      <c r="K72" s="20"/>
      <c r="L72" s="20"/>
      <c r="P72" s="18"/>
      <c r="Q72" s="20"/>
      <c r="R72" s="22"/>
      <c r="S72" s="22"/>
      <c r="T72" s="22"/>
      <c r="U72" s="22"/>
      <c r="V72" s="18"/>
      <c r="W72" s="18"/>
      <c r="X72" s="18"/>
      <c r="Y72" s="383"/>
      <c r="Z72" s="11">
        <f>+P25</f>
        <v>0</v>
      </c>
      <c r="AA72" s="14">
        <f>IF(ISTEXT(Z72),AA71,0)</f>
        <v>0</v>
      </c>
      <c r="AB72" s="14">
        <f>IF(ISTEXT(Z72),AB71,0)</f>
        <v>0</v>
      </c>
      <c r="AC72" s="15">
        <f>IF(ISTEXT(Z72),AC71,0)</f>
        <v>0</v>
      </c>
      <c r="AD72" s="6"/>
      <c r="AE72" s="11">
        <f>+S25</f>
        <v>0</v>
      </c>
      <c r="AF72" s="14">
        <f>IF(ISTEXT(AE72),AF71,0)</f>
        <v>0</v>
      </c>
      <c r="AG72" s="14">
        <f>IF(ISTEXT(AE72),AG71,0)</f>
        <v>0</v>
      </c>
      <c r="AH72" s="15">
        <f>IF(ISTEXT(AE72),AH71,0)</f>
        <v>0</v>
      </c>
      <c r="AI72" s="6"/>
      <c r="AJ72" s="11">
        <f>+V25</f>
        <v>0</v>
      </c>
      <c r="AK72" s="14">
        <f>IF(ISTEXT(AJ72),AK71,0)</f>
        <v>0</v>
      </c>
      <c r="AL72" s="14">
        <f>IF(ISTEXT(AJ72),AL71,0)</f>
        <v>0</v>
      </c>
      <c r="AM72" s="15">
        <f>IF(ISTEXT(AJ72),AM71,0)</f>
        <v>0</v>
      </c>
      <c r="AN72" s="18"/>
      <c r="AO72" s="18"/>
      <c r="AP72" s="326" t="e">
        <v>#N/A</v>
      </c>
      <c r="AQ72" s="323">
        <f>COUNTIF(AQ9:AQ63,#N/A)</f>
        <v>0</v>
      </c>
      <c r="AR72" s="324"/>
      <c r="AS72" s="324"/>
      <c r="AT72" s="323">
        <f>COUNTIF(AT9:AT63,#N/A)</f>
        <v>0</v>
      </c>
      <c r="AU72" s="324"/>
      <c r="AV72" s="324"/>
      <c r="AW72" s="323">
        <f>COUNTIF(AW9:AW63,#N/A)</f>
        <v>0</v>
      </c>
      <c r="AX72" s="324"/>
      <c r="AY72" s="324"/>
      <c r="AZ72" s="323">
        <f>COUNTIF(AZ9:AZ62,#N/A)</f>
        <v>0</v>
      </c>
      <c r="BC72" s="21">
        <f>SUM(BC67:BC71)</f>
        <v>38</v>
      </c>
      <c r="BD72" s="21"/>
      <c r="BE72" s="21"/>
      <c r="BF72" s="21">
        <f>SUM(BF67:BF71)</f>
        <v>0</v>
      </c>
      <c r="BG72" s="18"/>
      <c r="BH72" s="18"/>
      <c r="BI72" s="18"/>
      <c r="BJ72" s="18"/>
      <c r="BK72" s="18"/>
      <c r="BL72" s="18"/>
      <c r="BM72" s="22"/>
    </row>
    <row r="73" spans="1:65" ht="16.2" thickBot="1" x14ac:dyDescent="0.35">
      <c r="A73" s="20"/>
      <c r="B73" s="22"/>
      <c r="C73" s="22"/>
      <c r="D73" s="20"/>
      <c r="E73" s="20"/>
      <c r="F73" s="20"/>
      <c r="G73" s="20"/>
      <c r="H73" s="18"/>
      <c r="I73" s="20"/>
      <c r="J73" s="20"/>
      <c r="K73" s="20"/>
      <c r="L73" s="20"/>
      <c r="P73" s="18"/>
      <c r="Q73" s="20"/>
      <c r="R73" s="22"/>
      <c r="S73" s="22"/>
      <c r="T73" s="22"/>
      <c r="U73" s="22"/>
      <c r="V73" s="18"/>
      <c r="W73" s="18"/>
      <c r="X73" s="18"/>
      <c r="Y73" s="384"/>
      <c r="Z73" s="13">
        <f>+Q25</f>
        <v>0</v>
      </c>
      <c r="AA73" s="14">
        <f>IF(ISTEXT(Z73),AA71,0)</f>
        <v>0</v>
      </c>
      <c r="AB73" s="14">
        <f>IF(ISTEXT(Z73),AB71,0)</f>
        <v>0</v>
      </c>
      <c r="AC73" s="15">
        <f>IF(ISTEXT(Z73),AC71,0)</f>
        <v>0</v>
      </c>
      <c r="AD73" s="6"/>
      <c r="AE73" s="13">
        <f>+T25</f>
        <v>0</v>
      </c>
      <c r="AF73" s="14">
        <f>IF(ISTEXT(AE73),AF71,0)</f>
        <v>0</v>
      </c>
      <c r="AG73" s="14">
        <f>IF(ISTEXT(AE73),AG71,0)</f>
        <v>0</v>
      </c>
      <c r="AH73" s="15">
        <f>IF(ISTEXT(AE73),AH71,0)</f>
        <v>0</v>
      </c>
      <c r="AI73" s="6"/>
      <c r="AJ73" s="13">
        <f>+W25</f>
        <v>0</v>
      </c>
      <c r="AK73" s="14">
        <f>IF(ISTEXT(AJ73),AK71,0)</f>
        <v>0</v>
      </c>
      <c r="AL73" s="14">
        <f>IF(ISTEXT(AJ73),AL71,0)</f>
        <v>0</v>
      </c>
      <c r="AM73" s="15">
        <f>IF(ISTEXT(AJ73),AM71,0)</f>
        <v>0</v>
      </c>
      <c r="AN73" s="18"/>
      <c r="AO73" s="18"/>
      <c r="AP73" s="326"/>
      <c r="AQ73" s="323">
        <f>SUM(AQ67:AQ72)</f>
        <v>30</v>
      </c>
      <c r="AR73" s="323"/>
      <c r="AS73" s="323"/>
      <c r="AT73" s="323">
        <f>SUM(AT67:AT72)</f>
        <v>30</v>
      </c>
      <c r="AU73" s="323"/>
      <c r="AV73" s="323"/>
      <c r="AW73" s="323">
        <f>SUM(AW67:AW72)</f>
        <v>30</v>
      </c>
      <c r="AX73" s="324"/>
      <c r="AY73" s="324"/>
      <c r="AZ73" s="323">
        <f>SUM(AZ67:AZ72)</f>
        <v>16</v>
      </c>
      <c r="BA73" s="18"/>
      <c r="BB73" s="18"/>
      <c r="BC73" s="18"/>
      <c r="BD73" s="18"/>
      <c r="BE73" s="18"/>
      <c r="BF73" s="18"/>
      <c r="BG73" s="18"/>
      <c r="BH73" s="18"/>
      <c r="BI73" s="18"/>
      <c r="BJ73" s="22"/>
      <c r="BK73" s="22"/>
      <c r="BL73" s="22"/>
      <c r="BM73" s="22"/>
    </row>
    <row r="74" spans="1:65" ht="16.2" thickBot="1" x14ac:dyDescent="0.35">
      <c r="A74" s="20"/>
      <c r="B74" s="22"/>
      <c r="C74" s="22"/>
      <c r="D74" s="20"/>
      <c r="E74" s="20"/>
      <c r="F74" s="20"/>
      <c r="G74" s="20"/>
      <c r="H74" s="18"/>
      <c r="I74" s="20"/>
      <c r="J74" s="20"/>
      <c r="K74" s="20"/>
      <c r="L74" s="20"/>
      <c r="P74" s="18"/>
      <c r="Q74" s="20"/>
      <c r="R74" s="22"/>
      <c r="S74" s="22"/>
      <c r="T74" s="22"/>
      <c r="U74" s="22"/>
      <c r="V74" s="18"/>
      <c r="W74" s="18"/>
      <c r="X74" s="18"/>
      <c r="Y74" s="20"/>
      <c r="Z74" s="58"/>
      <c r="AA74" s="196"/>
      <c r="AB74" s="58"/>
      <c r="AC74" s="58"/>
      <c r="AD74" s="196"/>
      <c r="AE74" s="58"/>
      <c r="AF74" s="196"/>
      <c r="AG74" s="58"/>
      <c r="AH74" s="58"/>
      <c r="AI74" s="196"/>
      <c r="AJ74" s="58"/>
      <c r="AK74" s="196"/>
      <c r="AL74" s="58"/>
      <c r="AM74" s="58"/>
      <c r="AN74" s="18"/>
      <c r="AO74" s="18"/>
      <c r="AP74" s="324"/>
      <c r="AQ74" s="324"/>
      <c r="AR74" s="324"/>
      <c r="AS74" s="324"/>
      <c r="AT74" s="324"/>
      <c r="AU74" s="324"/>
      <c r="AV74" s="324"/>
      <c r="AW74" s="324"/>
      <c r="AX74" s="324"/>
      <c r="AY74" s="324"/>
      <c r="AZ74" s="324"/>
      <c r="BA74" s="18"/>
      <c r="BB74" s="18"/>
      <c r="BC74" s="18"/>
      <c r="BD74" s="18"/>
      <c r="BE74" s="18"/>
      <c r="BF74" s="18"/>
      <c r="BG74" s="18"/>
      <c r="BH74" s="18"/>
      <c r="BI74" s="18"/>
      <c r="BJ74" s="22"/>
      <c r="BK74" s="22"/>
      <c r="BL74" s="22"/>
      <c r="BM74" s="22"/>
    </row>
    <row r="75" spans="1:65" ht="15.6" x14ac:dyDescent="0.3">
      <c r="A75" s="20"/>
      <c r="B75" s="22"/>
      <c r="C75" s="22"/>
      <c r="D75" s="20"/>
      <c r="E75" s="20"/>
      <c r="F75" s="20"/>
      <c r="G75" s="20"/>
      <c r="H75" s="18"/>
      <c r="I75" s="20"/>
      <c r="J75" s="20"/>
      <c r="K75" s="20"/>
      <c r="L75" s="20"/>
      <c r="P75" s="18"/>
      <c r="Q75" s="20"/>
      <c r="R75" s="22"/>
      <c r="S75" s="22"/>
      <c r="T75" s="22"/>
      <c r="U75" s="22"/>
      <c r="V75" s="18"/>
      <c r="W75" s="18"/>
      <c r="X75" s="18"/>
      <c r="Y75" s="382">
        <v>9</v>
      </c>
      <c r="Z75" s="9">
        <f>+O26</f>
        <v>0</v>
      </c>
      <c r="AA75" s="25">
        <v>0</v>
      </c>
      <c r="AB75" s="38">
        <f>IF(AA75+AA79=0,0,IF(AA75=AA79,2,IF(AA75&gt;AA79,3,1)))</f>
        <v>0</v>
      </c>
      <c r="AC75" s="10">
        <f>AA75-AA79</f>
        <v>0</v>
      </c>
      <c r="AD75" s="19"/>
      <c r="AE75" s="9">
        <f>+R26</f>
        <v>0</v>
      </c>
      <c r="AF75" s="107">
        <v>0</v>
      </c>
      <c r="AG75" s="38">
        <f>IF(AF75+AF79=0,0,IF(AF75=AF79,2,IF(AF75&gt;AF79,3,1)))</f>
        <v>0</v>
      </c>
      <c r="AH75" s="10">
        <f>AF75-AF79</f>
        <v>0</v>
      </c>
      <c r="AI75" s="19"/>
      <c r="AJ75" s="9">
        <f>+U26</f>
        <v>0</v>
      </c>
      <c r="AK75" s="28">
        <v>0</v>
      </c>
      <c r="AL75" s="38">
        <f>IF(AK75+AK79=0,0,IF(AK75=AK79,2,IF(AK75&gt;AK79,3,1)))</f>
        <v>0</v>
      </c>
      <c r="AM75" s="10">
        <f>AK75-AK79</f>
        <v>0</v>
      </c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22"/>
      <c r="BK75" s="22"/>
      <c r="BL75" s="22"/>
      <c r="BM75" s="22"/>
    </row>
    <row r="76" spans="1:65" ht="16.2" thickBot="1" x14ac:dyDescent="0.35">
      <c r="A76" s="20"/>
      <c r="B76" s="22"/>
      <c r="C76" s="22"/>
      <c r="D76" s="20"/>
      <c r="E76" s="20"/>
      <c r="F76" s="20"/>
      <c r="G76" s="20"/>
      <c r="H76" s="18"/>
      <c r="I76" s="20"/>
      <c r="J76" s="20"/>
      <c r="K76" s="20"/>
      <c r="L76" s="20"/>
      <c r="P76" s="18"/>
      <c r="Q76" s="20"/>
      <c r="R76" s="22"/>
      <c r="S76" s="22"/>
      <c r="T76" s="22"/>
      <c r="U76" s="22"/>
      <c r="V76" s="18"/>
      <c r="W76" s="18"/>
      <c r="X76" s="18"/>
      <c r="Y76" s="383"/>
      <c r="Z76" s="11">
        <f>+P26</f>
        <v>0</v>
      </c>
      <c r="AA76" s="14">
        <f>IF(ISTEXT(Z76),AA75,0)</f>
        <v>0</v>
      </c>
      <c r="AB76" s="14">
        <f>IF(ISTEXT(Z76),AB75,0)</f>
        <v>0</v>
      </c>
      <c r="AC76" s="15">
        <f>IF(ISTEXT(Z76),AC75,0)</f>
        <v>0</v>
      </c>
      <c r="AD76" s="6"/>
      <c r="AE76" s="11">
        <f>+S26</f>
        <v>0</v>
      </c>
      <c r="AF76" s="14">
        <f>IF(ISTEXT(AE76),AF75,0)</f>
        <v>0</v>
      </c>
      <c r="AG76" s="48">
        <f>IF(ISTEXT(AE76),AG75,0)</f>
        <v>0</v>
      </c>
      <c r="AH76" s="15">
        <f>IF(ISTEXT(AE76),AH75,0)</f>
        <v>0</v>
      </c>
      <c r="AI76" s="6"/>
      <c r="AJ76" s="11">
        <f>+V26</f>
        <v>0</v>
      </c>
      <c r="AK76" s="14">
        <f>IF(ISTEXT(AJ76),AK75,0)</f>
        <v>0</v>
      </c>
      <c r="AL76" s="48">
        <f>IF(ISTEXT(AJ76),AL75,0)</f>
        <v>0</v>
      </c>
      <c r="AM76" s="15">
        <f>IF(ISTEXT(AJ76),AM75,0)</f>
        <v>0</v>
      </c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22"/>
      <c r="BK76" s="22"/>
      <c r="BL76" s="22"/>
      <c r="BM76" s="22"/>
    </row>
    <row r="77" spans="1:65" ht="15.6" x14ac:dyDescent="0.3">
      <c r="A77" s="20"/>
      <c r="B77" s="22"/>
      <c r="C77" s="22"/>
      <c r="D77" s="20"/>
      <c r="E77" s="20"/>
      <c r="F77" s="20"/>
      <c r="G77" s="20"/>
      <c r="H77" s="18"/>
      <c r="I77" s="20"/>
      <c r="J77" s="20"/>
      <c r="K77" s="20"/>
      <c r="L77" s="20"/>
      <c r="P77" s="18"/>
      <c r="Q77" s="20"/>
      <c r="R77" s="22"/>
      <c r="S77" s="22"/>
      <c r="T77" s="22"/>
      <c r="U77" s="22"/>
      <c r="V77" s="18"/>
      <c r="W77" s="18"/>
      <c r="X77" s="18"/>
      <c r="Y77" s="383"/>
      <c r="Z77" s="11">
        <f>+Q26</f>
        <v>0</v>
      </c>
      <c r="AA77" s="55">
        <f>IF(ISTEXT(Z77),AA75,0)</f>
        <v>0</v>
      </c>
      <c r="AB77" s="55">
        <f>IF(ISTEXT(Z77),AB75,0)</f>
        <v>0</v>
      </c>
      <c r="AC77" s="56">
        <f>IF(ISTEXT(Z77),AC75,0)</f>
        <v>0</v>
      </c>
      <c r="AD77" s="6"/>
      <c r="AE77" s="11">
        <f>+T26</f>
        <v>0</v>
      </c>
      <c r="AF77" s="55">
        <f>IF(ISTEXT(AE77),AF75,0)</f>
        <v>0</v>
      </c>
      <c r="AG77" s="52">
        <f>IF(ISTEXT(AE77),AG75,0)</f>
        <v>0</v>
      </c>
      <c r="AH77" s="56">
        <f>IF(ISTEXT(AE77),AH75,0)</f>
        <v>0</v>
      </c>
      <c r="AI77" s="6"/>
      <c r="AJ77" s="11">
        <f>+W26</f>
        <v>0</v>
      </c>
      <c r="AK77" s="55">
        <f>IF(ISTEXT(AJ77),AK75,0)</f>
        <v>0</v>
      </c>
      <c r="AL77" s="52">
        <f>IF(ISTEXT(AJ77),AL75,0)</f>
        <v>0</v>
      </c>
      <c r="AM77" s="56">
        <f>IF(ISTEXT(AJ77),AM75,0)</f>
        <v>0</v>
      </c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22"/>
      <c r="BK77" s="22"/>
      <c r="BL77" s="22"/>
      <c r="BM77" s="22"/>
    </row>
    <row r="78" spans="1:65" ht="15.6" x14ac:dyDescent="0.3">
      <c r="A78" s="20"/>
      <c r="B78" s="22"/>
      <c r="C78" s="22"/>
      <c r="D78" s="20"/>
      <c r="E78" s="20"/>
      <c r="F78" s="20"/>
      <c r="G78" s="20"/>
      <c r="H78" s="18"/>
      <c r="I78" s="20"/>
      <c r="J78" s="20"/>
      <c r="K78" s="20"/>
      <c r="L78" s="20"/>
      <c r="P78" s="18"/>
      <c r="Q78" s="20"/>
      <c r="R78" s="22"/>
      <c r="S78" s="22"/>
      <c r="T78" s="22"/>
      <c r="U78" s="22"/>
      <c r="V78" s="18"/>
      <c r="W78" s="18"/>
      <c r="X78" s="18"/>
      <c r="Y78" s="383"/>
      <c r="Z78" s="24"/>
      <c r="AA78" s="195" t="s">
        <v>5</v>
      </c>
      <c r="AB78" s="16"/>
      <c r="AC78" s="17"/>
      <c r="AD78" s="20"/>
      <c r="AE78" s="24"/>
      <c r="AF78" s="195" t="s">
        <v>5</v>
      </c>
      <c r="AG78" s="16"/>
      <c r="AH78" s="17"/>
      <c r="AI78" s="20"/>
      <c r="AJ78" s="24"/>
      <c r="AK78" s="195" t="s">
        <v>5</v>
      </c>
      <c r="AL78" s="16"/>
      <c r="AM78" s="17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22"/>
      <c r="BK78" s="22"/>
      <c r="BL78" s="22"/>
      <c r="BM78" s="22"/>
    </row>
    <row r="79" spans="1:65" ht="15.6" x14ac:dyDescent="0.3">
      <c r="A79" s="20"/>
      <c r="B79" s="22"/>
      <c r="C79" s="22"/>
      <c r="D79" s="20"/>
      <c r="E79" s="20"/>
      <c r="F79" s="20"/>
      <c r="G79" s="20"/>
      <c r="H79" s="18"/>
      <c r="I79" s="20"/>
      <c r="J79" s="20"/>
      <c r="K79" s="20"/>
      <c r="L79" s="20"/>
      <c r="P79" s="18"/>
      <c r="Q79" s="20"/>
      <c r="R79" s="22"/>
      <c r="S79" s="22"/>
      <c r="T79" s="22"/>
      <c r="U79" s="22"/>
      <c r="V79" s="18"/>
      <c r="W79" s="18"/>
      <c r="X79" s="18"/>
      <c r="Y79" s="383"/>
      <c r="Z79" s="11">
        <f>+O27</f>
        <v>0</v>
      </c>
      <c r="AA79" s="27">
        <v>0</v>
      </c>
      <c r="AB79" s="23">
        <f>IF(AA75+AA79=0,0,IF(AA75=AA79,2,IF(AA75&lt;AA79,3,1)))</f>
        <v>0</v>
      </c>
      <c r="AC79" s="12">
        <f>AA79-AA75</f>
        <v>0</v>
      </c>
      <c r="AD79" s="19"/>
      <c r="AE79" s="11">
        <f>+R27</f>
        <v>0</v>
      </c>
      <c r="AF79" s="108">
        <v>0</v>
      </c>
      <c r="AG79" s="23">
        <f>IF(AF75+AF79=0,0,IF(AF75=AF79,2,IF(AF75&lt;AF79,3,1)))</f>
        <v>0</v>
      </c>
      <c r="AH79" s="12">
        <f>AF79-AF75</f>
        <v>0</v>
      </c>
      <c r="AI79" s="19"/>
      <c r="AJ79" s="11">
        <f>+U27</f>
        <v>0</v>
      </c>
      <c r="AK79" s="29">
        <v>0</v>
      </c>
      <c r="AL79" s="23">
        <f>IF(AK75+AK79=0,0,IF(AK75=AK79,2,IF(AK75&lt;AK79,3,1)))</f>
        <v>0</v>
      </c>
      <c r="AM79" s="12">
        <f>AK79-AK75</f>
        <v>0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22"/>
      <c r="BK79" s="22"/>
      <c r="BL79" s="22"/>
      <c r="BM79" s="22"/>
    </row>
    <row r="80" spans="1:65" ht="16.2" thickBot="1" x14ac:dyDescent="0.35">
      <c r="A80" s="20"/>
      <c r="B80" s="22"/>
      <c r="C80" s="22"/>
      <c r="D80" s="20"/>
      <c r="E80" s="20"/>
      <c r="F80" s="20"/>
      <c r="G80" s="20"/>
      <c r="H80" s="18"/>
      <c r="I80" s="20"/>
      <c r="J80" s="20"/>
      <c r="K80" s="20"/>
      <c r="L80" s="20"/>
      <c r="P80" s="18"/>
      <c r="Q80" s="20"/>
      <c r="R80" s="22"/>
      <c r="S80" s="22"/>
      <c r="T80" s="22"/>
      <c r="U80" s="22"/>
      <c r="V80" s="18"/>
      <c r="W80" s="18"/>
      <c r="X80" s="18"/>
      <c r="Y80" s="383"/>
      <c r="Z80" s="11">
        <f>+P27</f>
        <v>0</v>
      </c>
      <c r="AA80" s="14">
        <f>IF(ISTEXT(Z80),AA79,0)</f>
        <v>0</v>
      </c>
      <c r="AB80" s="14">
        <f>IF(ISTEXT(Z80),AB79,0)</f>
        <v>0</v>
      </c>
      <c r="AC80" s="15">
        <f>IF(ISTEXT(Z80),AC79,0)</f>
        <v>0</v>
      </c>
      <c r="AD80" s="6"/>
      <c r="AE80" s="11">
        <f>+S27</f>
        <v>0</v>
      </c>
      <c r="AF80" s="14">
        <f>IF(ISTEXT(AE80),AF79,0)</f>
        <v>0</v>
      </c>
      <c r="AG80" s="14">
        <f>IF(ISTEXT(AE80),AG79,0)</f>
        <v>0</v>
      </c>
      <c r="AH80" s="15">
        <f>IF(ISTEXT(AE80),AH79,0)</f>
        <v>0</v>
      </c>
      <c r="AI80" s="6"/>
      <c r="AJ80" s="11">
        <f>+V27</f>
        <v>0</v>
      </c>
      <c r="AK80" s="14">
        <f>IF(ISTEXT(AJ80),AK79,0)</f>
        <v>0</v>
      </c>
      <c r="AL80" s="14">
        <f>IF(ISTEXT(AJ80),AL79,0)</f>
        <v>0</v>
      </c>
      <c r="AM80" s="15">
        <f>IF(ISTEXT(AJ80),AM79,0)</f>
        <v>0</v>
      </c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22"/>
      <c r="BK80" s="22"/>
      <c r="BL80" s="22"/>
      <c r="BM80" s="22"/>
    </row>
    <row r="81" spans="1:65" ht="16.2" thickBot="1" x14ac:dyDescent="0.35">
      <c r="A81" s="20"/>
      <c r="B81" s="22"/>
      <c r="C81" s="22"/>
      <c r="D81" s="20"/>
      <c r="E81" s="20"/>
      <c r="F81" s="20"/>
      <c r="G81" s="20"/>
      <c r="H81" s="18"/>
      <c r="I81" s="20"/>
      <c r="J81" s="20"/>
      <c r="K81" s="20"/>
      <c r="L81" s="20"/>
      <c r="P81" s="18"/>
      <c r="Q81" s="20"/>
      <c r="R81" s="22"/>
      <c r="S81" s="22"/>
      <c r="T81" s="22"/>
      <c r="U81" s="22"/>
      <c r="V81" s="18"/>
      <c r="W81" s="18"/>
      <c r="X81" s="18"/>
      <c r="Y81" s="384"/>
      <c r="Z81" s="13">
        <f>+Q27</f>
        <v>0</v>
      </c>
      <c r="AA81" s="14">
        <f>IF(ISTEXT(Z81),AA79,0)</f>
        <v>0</v>
      </c>
      <c r="AB81" s="14">
        <f>IF(ISTEXT(Z81),AB79,0)</f>
        <v>0</v>
      </c>
      <c r="AC81" s="15">
        <f>IF(ISTEXT(Z81),AC79,0)</f>
        <v>0</v>
      </c>
      <c r="AD81" s="6"/>
      <c r="AE81" s="13">
        <f>+T27</f>
        <v>0</v>
      </c>
      <c r="AF81" s="14">
        <f>IF(ISTEXT(AE81),AF79,0)</f>
        <v>0</v>
      </c>
      <c r="AG81" s="14">
        <f>IF(ISTEXT(AE81),AG79,0)</f>
        <v>0</v>
      </c>
      <c r="AH81" s="15">
        <f>IF(ISTEXT(AE81),AH79,0)</f>
        <v>0</v>
      </c>
      <c r="AI81" s="6"/>
      <c r="AJ81" s="13">
        <f>+W27</f>
        <v>0</v>
      </c>
      <c r="AK81" s="14">
        <f>IF(ISTEXT(AJ81),AK79,0)</f>
        <v>0</v>
      </c>
      <c r="AL81" s="14">
        <f>IF(ISTEXT(AJ81),AL79,0)</f>
        <v>0</v>
      </c>
      <c r="AM81" s="15">
        <f>IF(ISTEXT(AJ81),AM79,0)</f>
        <v>0</v>
      </c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22"/>
      <c r="BK81" s="22"/>
      <c r="BL81" s="22"/>
      <c r="BM81" s="22"/>
    </row>
    <row r="82" spans="1:65" ht="15.6" x14ac:dyDescent="0.3">
      <c r="A82" s="20"/>
      <c r="B82" s="22"/>
      <c r="C82" s="22"/>
      <c r="D82" s="20"/>
      <c r="E82" s="20"/>
      <c r="F82" s="20"/>
      <c r="G82" s="20"/>
      <c r="H82" s="18"/>
      <c r="I82" s="20"/>
      <c r="J82" s="20"/>
      <c r="K82" s="20"/>
      <c r="L82" s="20"/>
      <c r="P82" s="18"/>
      <c r="Q82" s="20"/>
      <c r="R82" s="22"/>
      <c r="S82" s="22"/>
      <c r="T82" s="22"/>
      <c r="U82" s="22"/>
      <c r="V82" s="18"/>
      <c r="W82" s="18"/>
      <c r="X82" s="18"/>
      <c r="Y82" s="20"/>
      <c r="Z82" s="196"/>
      <c r="AA82" s="196"/>
      <c r="AB82" s="58"/>
      <c r="AC82" s="58"/>
      <c r="AD82" s="196"/>
      <c r="AE82" s="196"/>
      <c r="AF82" s="196"/>
      <c r="AG82" s="58"/>
      <c r="AH82" s="58"/>
      <c r="AI82" s="196"/>
      <c r="AJ82" s="196"/>
      <c r="AK82" s="196"/>
      <c r="AL82" s="58"/>
      <c r="AM82" s="5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</row>
    <row r="83" spans="1:65" ht="15.6" x14ac:dyDescent="0.3">
      <c r="A83" s="20"/>
      <c r="B83" s="22"/>
      <c r="C83" s="22"/>
      <c r="D83" s="20"/>
      <c r="E83" s="20"/>
      <c r="F83" s="20"/>
      <c r="G83" s="20"/>
      <c r="H83" s="18"/>
      <c r="I83" s="20"/>
      <c r="J83" s="20"/>
      <c r="K83" s="20"/>
      <c r="L83" s="20"/>
      <c r="P83" s="18"/>
      <c r="Q83" s="20"/>
      <c r="R83" s="22"/>
      <c r="S83" s="22"/>
      <c r="T83" s="22"/>
      <c r="U83" s="22"/>
      <c r="V83" s="18"/>
      <c r="W83" s="18"/>
      <c r="X83" s="18"/>
      <c r="Y83" s="20"/>
      <c r="Z83" s="18"/>
      <c r="AA83" s="18"/>
      <c r="AB83" s="1">
        <f t="array" ref="AB83">SUM(AB11:AB81)</f>
        <v>36</v>
      </c>
      <c r="AC83" s="1">
        <f t="array" ref="AC83">SUM(AC11:AC81)</f>
        <v>0</v>
      </c>
      <c r="AD83" s="18"/>
      <c r="AE83" s="18"/>
      <c r="AF83" s="18"/>
      <c r="AG83" s="1">
        <f t="array" ref="AG83">SUM(AG11:AG81)</f>
        <v>36</v>
      </c>
      <c r="AH83" s="1">
        <f t="array" ref="AH83">SUM(AH11:AH81)</f>
        <v>0</v>
      </c>
      <c r="AI83" s="18"/>
      <c r="AJ83" s="18"/>
      <c r="AK83" s="18"/>
      <c r="AL83" s="1">
        <f t="array" ref="AL83">SUM(AL11:AL81)</f>
        <v>36</v>
      </c>
      <c r="AM83" s="1">
        <f t="array" ref="AM83">SUM(AM11:AM81)</f>
        <v>0</v>
      </c>
      <c r="AN83" s="18"/>
      <c r="AO83" s="18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</row>
    <row r="84" spans="1:65" ht="15.6" x14ac:dyDescent="0.3">
      <c r="A84" s="20"/>
      <c r="B84" s="22"/>
      <c r="C84" s="22"/>
      <c r="D84" s="20"/>
      <c r="E84" s="20"/>
      <c r="F84" s="20"/>
      <c r="G84" s="20"/>
      <c r="H84" s="18"/>
      <c r="I84" s="20"/>
      <c r="J84" s="20"/>
      <c r="K84" s="20"/>
      <c r="L84" s="20"/>
      <c r="P84" s="18"/>
      <c r="Q84" s="20"/>
      <c r="R84" s="22"/>
      <c r="S84" s="22"/>
      <c r="T84" s="22"/>
      <c r="U84" s="22"/>
      <c r="V84" s="18"/>
      <c r="W84" s="18"/>
      <c r="X84" s="18"/>
      <c r="Y84" s="20"/>
      <c r="Z84" s="18"/>
      <c r="AA84" s="18"/>
      <c r="AB84" s="4"/>
      <c r="AC84" s="1" t="str">
        <f>IF(AC83=0,"OK","ERREUR")</f>
        <v>OK</v>
      </c>
      <c r="AD84" s="18"/>
      <c r="AE84" s="18"/>
      <c r="AF84" s="18"/>
      <c r="AG84" s="4"/>
      <c r="AH84" s="1" t="str">
        <f>IF(AH83=0,"OK","ERREUR")</f>
        <v>OK</v>
      </c>
      <c r="AI84" s="18"/>
      <c r="AJ84" s="18"/>
      <c r="AK84" s="18"/>
      <c r="AL84" s="4"/>
      <c r="AM84" s="1" t="str">
        <f>IF(AM83=0,"OK","ERREUR")</f>
        <v>OK</v>
      </c>
      <c r="AN84" s="18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</row>
    <row r="85" spans="1:65" ht="15.6" x14ac:dyDescent="0.3">
      <c r="A85" s="20"/>
      <c r="B85" s="22"/>
      <c r="C85" s="22"/>
      <c r="D85" s="20"/>
      <c r="E85" s="20"/>
      <c r="F85" s="20"/>
      <c r="G85" s="20"/>
      <c r="H85" s="18"/>
      <c r="I85" s="20"/>
      <c r="J85" s="20"/>
      <c r="K85" s="20"/>
      <c r="L85" s="20"/>
      <c r="P85" s="18"/>
      <c r="Q85" s="20"/>
      <c r="R85" s="22"/>
      <c r="S85" s="22"/>
      <c r="T85" s="22"/>
      <c r="U85" s="22"/>
      <c r="V85" s="18"/>
      <c r="W85" s="18"/>
      <c r="X85" s="18"/>
      <c r="Y85" s="20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</row>
    <row r="86" spans="1:65" ht="15.6" x14ac:dyDescent="0.3">
      <c r="A86" s="20"/>
      <c r="B86" s="22"/>
      <c r="C86" s="22"/>
      <c r="D86" s="20"/>
      <c r="E86" s="20"/>
      <c r="F86" s="20"/>
      <c r="G86" s="20"/>
      <c r="H86" s="18"/>
      <c r="I86" s="20"/>
      <c r="J86" s="20"/>
      <c r="K86" s="20"/>
      <c r="L86" s="20"/>
      <c r="P86" s="18"/>
      <c r="Q86" s="20"/>
      <c r="R86" s="22"/>
      <c r="S86" s="22"/>
      <c r="T86" s="22"/>
      <c r="U86" s="22"/>
      <c r="V86" s="18"/>
      <c r="W86" s="18"/>
      <c r="X86" s="18"/>
      <c r="Y86" s="20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</row>
    <row r="87" spans="1:65" ht="15.6" x14ac:dyDescent="0.3">
      <c r="A87" s="20"/>
      <c r="B87" s="22"/>
      <c r="C87" s="22"/>
      <c r="D87" s="20"/>
      <c r="E87" s="20"/>
      <c r="F87" s="20"/>
      <c r="G87" s="20"/>
      <c r="H87" s="18"/>
      <c r="I87" s="20"/>
      <c r="J87" s="20"/>
      <c r="K87" s="20"/>
      <c r="L87" s="20"/>
      <c r="P87" s="18"/>
      <c r="Q87" s="20"/>
      <c r="R87" s="22"/>
      <c r="S87" s="22"/>
      <c r="T87" s="22"/>
      <c r="U87" s="22"/>
      <c r="V87" s="18"/>
      <c r="W87" s="18"/>
      <c r="X87" s="18"/>
      <c r="AN87" s="22"/>
      <c r="AO87" s="22"/>
      <c r="BM87" s="22"/>
    </row>
    <row r="88" spans="1:65" ht="15.6" x14ac:dyDescent="0.3">
      <c r="A88" s="20"/>
      <c r="B88" s="22"/>
      <c r="C88" s="22"/>
      <c r="D88" s="20"/>
      <c r="E88" s="20"/>
      <c r="F88" s="20"/>
      <c r="G88" s="20"/>
      <c r="H88" s="18"/>
      <c r="I88" s="20"/>
      <c r="J88" s="20"/>
      <c r="K88" s="20"/>
      <c r="L88" s="20"/>
      <c r="P88" s="18"/>
      <c r="Q88" s="20"/>
      <c r="R88" s="22"/>
      <c r="S88" s="22"/>
      <c r="T88" s="22"/>
      <c r="U88" s="22"/>
      <c r="V88" s="18"/>
      <c r="W88" s="18"/>
      <c r="X88" s="18"/>
      <c r="AN88" s="22"/>
      <c r="AO88" s="22"/>
      <c r="BM88" s="22"/>
    </row>
    <row r="89" spans="1:65" ht="15.6" x14ac:dyDescent="0.3">
      <c r="A89" s="20"/>
      <c r="B89" s="22"/>
      <c r="C89" s="22"/>
      <c r="D89" s="20"/>
      <c r="E89" s="20"/>
      <c r="F89" s="20"/>
      <c r="G89" s="20"/>
      <c r="H89" s="18"/>
      <c r="I89" s="20"/>
      <c r="J89" s="20"/>
      <c r="K89" s="20"/>
      <c r="L89" s="20"/>
      <c r="P89" s="18"/>
      <c r="Q89" s="20"/>
      <c r="R89" s="22"/>
      <c r="S89" s="22"/>
      <c r="T89" s="22"/>
      <c r="U89" s="22"/>
      <c r="V89" s="18"/>
      <c r="W89" s="18"/>
      <c r="X89" s="18"/>
      <c r="AN89" s="22"/>
      <c r="BM89" s="22"/>
    </row>
  </sheetData>
  <sheetProtection sheet="1" objects="1" scenarios="1" formatCells="0" formatColumns="0" formatRows="0" insertColumns="0" insertRows="0" insertHyperlinks="0" deleteColumns="0" deleteRows="0" sort="0"/>
  <sortState xmlns:xlrd2="http://schemas.microsoft.com/office/spreadsheetml/2017/richdata2" ref="BN9:BN62">
    <sortCondition descending="1" ref="BN8"/>
  </sortState>
  <mergeCells count="34">
    <mergeCell ref="R9:T9"/>
    <mergeCell ref="U9:W9"/>
    <mergeCell ref="Y51:Y57"/>
    <mergeCell ref="Y59:Y65"/>
    <mergeCell ref="Y67:Y73"/>
    <mergeCell ref="Y75:Y81"/>
    <mergeCell ref="Y11:Y17"/>
    <mergeCell ref="Y19:Y25"/>
    <mergeCell ref="Y27:Y33"/>
    <mergeCell ref="Y35:Y41"/>
    <mergeCell ref="Y43:Y49"/>
    <mergeCell ref="D8:E8"/>
    <mergeCell ref="O8:W8"/>
    <mergeCell ref="Q5:Q6"/>
    <mergeCell ref="S5:S6"/>
    <mergeCell ref="T5:T6"/>
    <mergeCell ref="B5:D5"/>
    <mergeCell ref="B9:C9"/>
    <mergeCell ref="D9:E9"/>
    <mergeCell ref="F9:G9"/>
    <mergeCell ref="J9:L9"/>
    <mergeCell ref="O9:Q9"/>
    <mergeCell ref="BH7:BL7"/>
    <mergeCell ref="Z7:AC7"/>
    <mergeCell ref="AE7:AH7"/>
    <mergeCell ref="AJ7:AM7"/>
    <mergeCell ref="AQ7:AS7"/>
    <mergeCell ref="AT7:AV7"/>
    <mergeCell ref="AW7:AY7"/>
    <mergeCell ref="B1:D1"/>
    <mergeCell ref="D7:E7"/>
    <mergeCell ref="Q3:R3"/>
    <mergeCell ref="N1:P1"/>
    <mergeCell ref="AZ7:BB7"/>
  </mergeCells>
  <conditionalFormatting sqref="C10:C27 G10:G27">
    <cfRule type="cellIs" dxfId="102" priority="52" operator="equal">
      <formula>0</formula>
    </cfRule>
  </conditionalFormatting>
  <conditionalFormatting sqref="E10:E27">
    <cfRule type="top10" dxfId="101" priority="42" rank="1"/>
    <cfRule type="cellIs" dxfId="100" priority="43" operator="equal">
      <formula>0</formula>
    </cfRule>
    <cfRule type="cellIs" dxfId="99" priority="54" operator="equal">
      <formula>6.5</formula>
    </cfRule>
  </conditionalFormatting>
  <conditionalFormatting sqref="J10:L27">
    <cfRule type="duplicateValues" dxfId="98" priority="72"/>
  </conditionalFormatting>
  <conditionalFormatting sqref="O10:Q27">
    <cfRule type="duplicateValues" dxfId="97" priority="71"/>
  </conditionalFormatting>
  <conditionalFormatting sqref="O10:W27">
    <cfRule type="cellIs" dxfId="96" priority="24" operator="equal">
      <formula>0</formula>
    </cfRule>
    <cfRule type="cellIs" dxfId="95" priority="66" operator="equal">
      <formula>0</formula>
    </cfRule>
  </conditionalFormatting>
  <conditionalFormatting sqref="R10:T27">
    <cfRule type="duplicateValues" dxfId="94" priority="69"/>
  </conditionalFormatting>
  <conditionalFormatting sqref="U10:W27">
    <cfRule type="duplicateValues" dxfId="93" priority="67"/>
  </conditionalFormatting>
  <conditionalFormatting sqref="AC83">
    <cfRule type="colorScale" priority="3">
      <colorScale>
        <cfvo type="num" val="-1"/>
        <cfvo type="num" val="0"/>
        <cfvo type="num" val="1"/>
        <color rgb="FFFFC000"/>
        <color rgb="FF66FF33"/>
        <color rgb="FFFFC000"/>
      </colorScale>
    </cfRule>
    <cfRule type="colorScale" priority="6">
      <colorScale>
        <cfvo type="num" val="-1"/>
        <cfvo type="num" val="0"/>
        <cfvo type="num" val="1"/>
        <color rgb="FFFFC000"/>
        <color rgb="FFFFC000"/>
        <color rgb="FFFFC000"/>
      </colorScale>
    </cfRule>
  </conditionalFormatting>
  <conditionalFormatting sqref="AC84 AH84 AR64 AU64 AX64 BA64 BJ64 AM84">
    <cfRule type="containsText" dxfId="92" priority="61" operator="containsText" text="ERREUR">
      <formula>NOT(ISERROR(SEARCH("ERREUR",AC64)))</formula>
    </cfRule>
  </conditionalFormatting>
  <conditionalFormatting sqref="AC84 AH84">
    <cfRule type="containsText" dxfId="91" priority="60" operator="containsText" text="OK">
      <formula>NOT(ISERROR(SEARCH("OK",AC84)))</formula>
    </cfRule>
  </conditionalFormatting>
  <conditionalFormatting sqref="AH83">
    <cfRule type="colorScale" priority="63">
      <colorScale>
        <cfvo type="num" val="-1"/>
        <cfvo type="percentile" val="0"/>
        <cfvo type="num" val="1"/>
        <color rgb="FFFFC000"/>
        <color rgb="FF66FF33"/>
        <color rgb="FFFFC000"/>
      </colorScale>
    </cfRule>
  </conditionalFormatting>
  <conditionalFormatting sqref="AM83 BA63 AR63 AU63 AX63 BJ63">
    <cfRule type="colorScale" priority="32">
      <colorScale>
        <cfvo type="num" val="-1"/>
        <cfvo type="num" val="0"/>
        <cfvo type="num" val="1"/>
        <color rgb="FFFFC000"/>
        <color rgb="FF66FF33"/>
        <color rgb="FFFFC000"/>
      </colorScale>
    </cfRule>
  </conditionalFormatting>
  <conditionalFormatting sqref="AR64 AU64 AX64 BA64 BJ64 AC84 AH84 AM84">
    <cfRule type="containsText" dxfId="90" priority="62" operator="containsText" text="OK">
      <formula>NOT(ISERROR(SEARCH("OK",AC64)))</formula>
    </cfRule>
  </conditionalFormatting>
  <conditionalFormatting sqref="BA62:BB62 BJ62:BK62 AR64:AS65 AU64:AV65 AX64:AY65 BA64:BB65 BJ64:BK65">
    <cfRule type="containsText" dxfId="89" priority="57" operator="containsText" text="ERREUR">
      <formula>NOT(ISERROR(SEARCH("ERREUR",AR62)))</formula>
    </cfRule>
    <cfRule type="containsText" dxfId="88" priority="58" operator="containsText" text="OK">
      <formula>NOT(ISERROR(SEARCH("OK",AR62)))</formula>
    </cfRule>
  </conditionalFormatting>
  <conditionalFormatting sqref="BC9:BD62 AC11:AC12 AH11:AH12 AM11:AM13 AC15:AC17 AH15:AH17 AM15:AM17 AC19:AC21 AH19:AH21 AM19:AM21 AC23:AC25 AH23:AH25 AM23:AM25 AC27:AC29 AH27:AH29 AM27:AM29 AC31:AC37 AH31:AH37 AM31:AM37 AC39:AC45 AH39:AH45 AM39:AM45 AC47:AC53 AH47:AH53 AM47:AM53 AC55:AC57 AH55:AH57 AM55:AM57 AC59:AC61 AH59:AH61 AM59:AM61 AC63:AC69 AH63:AH69 AM63:AM69 AC71:AC81 AH71:AH81 AM71:AM81">
    <cfRule type="cellIs" dxfId="87" priority="65" stopIfTrue="1" operator="lessThan">
      <formula>0</formula>
    </cfRule>
  </conditionalFormatting>
  <conditionalFormatting sqref="BL9:BL62">
    <cfRule type="duplicateValues" dxfId="86" priority="202"/>
  </conditionalFormatting>
  <conditionalFormatting sqref="BL55:BL62">
    <cfRule type="duplicateValues" dxfId="85" priority="55"/>
  </conditionalFormatting>
  <conditionalFormatting sqref="BL62">
    <cfRule type="duplicateValues" dxfId="84" priority="2"/>
  </conditionalFormatting>
  <conditionalFormatting sqref="BN9:BN18">
    <cfRule type="duplicateValues" dxfId="83" priority="40"/>
  </conditionalFormatting>
  <conditionalFormatting sqref="BN9:BN62">
    <cfRule type="duplicateValues" dxfId="82" priority="37"/>
  </conditionalFormatting>
  <conditionalFormatting sqref="BN57:BN62">
    <cfRule type="duplicateValues" dxfId="81" priority="36"/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17</xdr:col>
                    <xdr:colOff>251460</xdr:colOff>
                    <xdr:row>3</xdr:row>
                    <xdr:rowOff>137160</xdr:rowOff>
                  </from>
                  <to>
                    <xdr:col>17</xdr:col>
                    <xdr:colOff>594360</xdr:colOff>
                    <xdr:row>6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BN89"/>
  <sheetViews>
    <sheetView zoomScale="70" zoomScaleNormal="70" workbookViewId="0">
      <selection activeCell="G29" sqref="G29"/>
    </sheetView>
  </sheetViews>
  <sheetFormatPr baseColWidth="10" defaultRowHeight="13.2" x14ac:dyDescent="0.25"/>
  <cols>
    <col min="1" max="1" width="8.44140625" customWidth="1"/>
    <col min="2" max="2" width="21" customWidth="1"/>
    <col min="3" max="3" width="6.5546875" customWidth="1"/>
    <col min="4" max="4" width="26" customWidth="1"/>
    <col min="5" max="5" width="7.5546875" customWidth="1"/>
    <col min="6" max="6" width="26.109375" customWidth="1"/>
    <col min="7" max="7" width="6.6640625" customWidth="1"/>
    <col min="8" max="12" width="11.44140625" hidden="1" customWidth="1"/>
    <col min="13" max="13" width="7.109375" customWidth="1"/>
    <col min="15" max="15" width="21" customWidth="1"/>
    <col min="16" max="16" width="23.5546875" customWidth="1"/>
    <col min="17" max="17" width="23.33203125" customWidth="1"/>
    <col min="18" max="18" width="22.88671875" customWidth="1"/>
    <col min="19" max="19" width="23.6640625" customWidth="1"/>
    <col min="20" max="20" width="23.33203125" customWidth="1"/>
    <col min="21" max="21" width="22.6640625" customWidth="1"/>
    <col min="22" max="22" width="23.33203125" customWidth="1"/>
    <col min="23" max="23" width="22.33203125" customWidth="1"/>
    <col min="24" max="24" width="6.5546875" customWidth="1"/>
    <col min="25" max="25" width="8.5546875" customWidth="1"/>
    <col min="26" max="26" width="20.88671875" customWidth="1"/>
    <col min="27" max="27" width="6.6640625" customWidth="1"/>
    <col min="28" max="28" width="7.33203125" customWidth="1"/>
    <col min="29" max="29" width="6.109375" customWidth="1"/>
    <col min="30" max="30" width="4.109375" customWidth="1"/>
    <col min="31" max="31" width="20" customWidth="1"/>
    <col min="32" max="32" width="7.33203125" customWidth="1"/>
    <col min="33" max="33" width="7.6640625" customWidth="1"/>
    <col min="34" max="34" width="7" customWidth="1"/>
    <col min="35" max="35" width="3.6640625" customWidth="1"/>
    <col min="36" max="36" width="20.109375" customWidth="1"/>
    <col min="37" max="37" width="8.6640625" customWidth="1"/>
    <col min="38" max="38" width="7" customWidth="1"/>
    <col min="39" max="39" width="7.6640625" customWidth="1"/>
    <col min="40" max="40" width="6.109375" customWidth="1"/>
    <col min="41" max="41" width="11.44140625" customWidth="1"/>
    <col min="42" max="42" width="24" customWidth="1"/>
    <col min="43" max="43" width="8.5546875" customWidth="1"/>
    <col min="44" max="45" width="8.109375" customWidth="1"/>
    <col min="46" max="47" width="8.5546875" customWidth="1"/>
    <col min="48" max="48" width="7.6640625" customWidth="1"/>
    <col min="49" max="49" width="7.5546875" customWidth="1"/>
    <col min="50" max="51" width="7.109375" customWidth="1"/>
    <col min="52" max="53" width="8.6640625" customWidth="1"/>
    <col min="54" max="54" width="12.33203125" customWidth="1"/>
    <col min="55" max="55" width="8.5546875" hidden="1" customWidth="1"/>
    <col min="56" max="56" width="8.109375" hidden="1" customWidth="1"/>
    <col min="57" max="57" width="15.5546875" hidden="1" customWidth="1"/>
    <col min="58" max="58" width="11.88671875" hidden="1" customWidth="1"/>
    <col min="59" max="59" width="7.6640625" customWidth="1"/>
    <col min="60" max="60" width="22.33203125" customWidth="1"/>
    <col min="66" max="66" width="0" hidden="1" customWidth="1"/>
  </cols>
  <sheetData>
    <row r="1" spans="1:66" ht="25.8" thickBot="1" x14ac:dyDescent="0.45">
      <c r="A1" s="20"/>
      <c r="B1" s="356" t="s">
        <v>36</v>
      </c>
      <c r="C1" s="356"/>
      <c r="D1" s="356"/>
      <c r="E1" s="112"/>
      <c r="F1" s="112"/>
      <c r="G1" s="112"/>
      <c r="H1" s="112"/>
      <c r="I1" s="112"/>
      <c r="J1" s="69"/>
      <c r="K1" s="69"/>
      <c r="L1" s="113" t="s">
        <v>37</v>
      </c>
      <c r="N1" s="379" t="s">
        <v>121</v>
      </c>
      <c r="O1" s="380"/>
      <c r="P1" s="381"/>
      <c r="R1" s="69"/>
      <c r="S1" s="69"/>
      <c r="T1" s="112"/>
      <c r="Y1" s="114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</row>
    <row r="2" spans="1:66" ht="18" x14ac:dyDescent="0.35">
      <c r="A2" s="20"/>
      <c r="B2" s="22"/>
      <c r="C2" s="22"/>
      <c r="D2" s="65"/>
      <c r="E2" s="65"/>
      <c r="F2" s="20"/>
      <c r="G2" s="20"/>
      <c r="H2" s="18"/>
      <c r="I2" s="20"/>
      <c r="J2" s="20"/>
      <c r="K2" s="20"/>
      <c r="L2" s="20"/>
      <c r="P2" s="18"/>
      <c r="Q2" s="20"/>
      <c r="R2" s="22"/>
      <c r="S2" s="22"/>
      <c r="T2" s="22"/>
      <c r="U2" s="22"/>
      <c r="V2" s="20"/>
      <c r="W2" s="18"/>
      <c r="X2" s="18"/>
      <c r="Y2" s="34"/>
      <c r="Z2" s="18"/>
      <c r="AA2" s="36"/>
      <c r="AB2" s="36"/>
      <c r="AC2" s="36" t="s">
        <v>8</v>
      </c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315" t="s">
        <v>41</v>
      </c>
      <c r="BA2" s="18"/>
      <c r="BB2" s="18"/>
      <c r="BC2" s="18"/>
      <c r="BD2" s="18"/>
      <c r="BE2" s="18"/>
      <c r="BF2" s="18"/>
      <c r="BG2" s="18"/>
      <c r="BH2" s="18"/>
      <c r="BI2" s="18"/>
      <c r="BJ2" s="22"/>
      <c r="BK2" s="22"/>
      <c r="BL2" s="22"/>
      <c r="BM2" s="22"/>
    </row>
    <row r="3" spans="1:66" ht="22.8" x14ac:dyDescent="0.4">
      <c r="A3" s="114"/>
      <c r="B3" s="240" t="s">
        <v>62</v>
      </c>
      <c r="C3" s="22"/>
      <c r="D3" s="239" t="s">
        <v>50</v>
      </c>
      <c r="E3" s="65"/>
      <c r="F3" s="20"/>
      <c r="G3" s="20"/>
      <c r="H3" s="18"/>
      <c r="I3" s="20"/>
      <c r="J3" s="20"/>
      <c r="K3" s="20"/>
      <c r="L3" s="20"/>
      <c r="P3" s="18"/>
      <c r="Q3" s="378" t="s">
        <v>38</v>
      </c>
      <c r="R3" s="378"/>
      <c r="S3" s="113"/>
      <c r="T3" s="22"/>
      <c r="U3" s="114"/>
      <c r="V3" s="114"/>
      <c r="W3" s="114"/>
      <c r="X3" s="114"/>
      <c r="Y3" s="20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22"/>
      <c r="BK3" s="22"/>
      <c r="BL3" s="22"/>
      <c r="BM3" s="22"/>
    </row>
    <row r="4" spans="1:66" ht="23.4" thickBot="1" x14ac:dyDescent="0.4">
      <c r="A4" s="114"/>
      <c r="B4" s="114"/>
      <c r="C4" s="22"/>
      <c r="D4" s="65"/>
      <c r="E4" s="65"/>
      <c r="F4" s="20"/>
      <c r="G4" s="20"/>
      <c r="H4" s="18"/>
      <c r="I4" s="20"/>
      <c r="J4" s="20"/>
      <c r="K4" s="20"/>
      <c r="L4" s="20"/>
      <c r="P4" s="18"/>
      <c r="Q4" s="20"/>
      <c r="R4" s="131"/>
      <c r="S4" s="131"/>
      <c r="V4" s="114"/>
      <c r="W4" s="114"/>
      <c r="Y4" s="35" t="s">
        <v>22</v>
      </c>
      <c r="Z4" s="36"/>
      <c r="AA4" s="36"/>
      <c r="AB4" s="37"/>
      <c r="AC4" s="34"/>
      <c r="AD4" s="37"/>
      <c r="AE4" s="37"/>
      <c r="AF4" s="36"/>
      <c r="AG4" s="36"/>
      <c r="AH4" s="36"/>
      <c r="AI4" s="36"/>
      <c r="AJ4" s="36"/>
      <c r="AK4" s="36"/>
      <c r="AL4" s="36"/>
      <c r="AM4" s="36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22"/>
      <c r="BI4" s="22"/>
      <c r="BJ4" s="22"/>
      <c r="BK4" s="22"/>
      <c r="BL4" s="22"/>
      <c r="BM4" s="22"/>
    </row>
    <row r="5" spans="1:66" ht="25.2" thickBot="1" x14ac:dyDescent="0.4">
      <c r="A5" s="115">
        <f>+Q5</f>
        <v>30</v>
      </c>
      <c r="B5" s="360" t="s">
        <v>120</v>
      </c>
      <c r="C5" s="361"/>
      <c r="D5" s="362"/>
      <c r="P5" s="69"/>
      <c r="Q5" s="387">
        <v>30</v>
      </c>
      <c r="R5" s="69"/>
      <c r="S5" s="415">
        <f>IF(Q5=8,2,IF($Q$5=9,2,IF($Q$5=10,2,IF($Q$5=11,2,IF($Q$5=12,2,IF($Q$5=13,3,IF(Q5=14,3,IF($Q$5=15,3,IF(Q5=16,3,IF($Q$5=17,3,IF(Q5=18,3,IF($Q$5=19,4,IF(Q5=20,4,IF($Q$5=21,4,IF(Q5=22,4,IF($Q$5=23,4,IF(Q5=24,4,IF($Q$5=25,5,IF(Q5=26,5,IF($Q$5=27,5,IF(Q5=28,5,IF($Q$5=29,5,IF(Q5=30,5,IF($Q$5=31,6,IF(Q5=32,6,IF($Q$5=33,6,IF($Q$5=34,6,IF($Q$5=35,6,IF($Q$5=36,6,IF($Q$5=37,7,IF($Q$5=38,7,IF($Q$5=39,7,IF($Q$5=40,7,IF($Q$5=41,7,IF($Q$5=42,7,IF($Q$5=43,8,IF($Q$5=44,8,IF($Q$5=45,8,IF($Q$5=46,8,IF($Q$5=47,8,IF($Q$5=48,8,IF($Q$5=49,9,IF($Q$5=50,9,IF($Q$5=51,9,IF($Q$5=52,9,IF($Q$5=53,9,IF($Q$5=54,9,0)))))))))))))))))))))))))))))))))))))))))))))))</f>
        <v>5</v>
      </c>
      <c r="T5" s="413" t="s">
        <v>39</v>
      </c>
      <c r="Y5" s="20"/>
      <c r="Z5" s="18"/>
      <c r="AA5" s="18"/>
      <c r="AB5" s="18"/>
      <c r="AC5" s="18"/>
      <c r="AD5" s="18"/>
      <c r="AE5" s="36" t="s">
        <v>23</v>
      </c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22"/>
      <c r="BI5" s="22"/>
      <c r="BJ5" s="22"/>
      <c r="BK5" s="22"/>
      <c r="BL5" s="22"/>
      <c r="BM5" s="22"/>
    </row>
    <row r="6" spans="1:66" ht="27" customHeight="1" thickBot="1" x14ac:dyDescent="0.35">
      <c r="P6" s="69"/>
      <c r="Q6" s="388"/>
      <c r="R6" s="69"/>
      <c r="S6" s="416"/>
      <c r="T6" s="414"/>
      <c r="Y6" s="20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40"/>
      <c r="BI6" s="40"/>
      <c r="BJ6" s="40"/>
      <c r="BK6" s="40"/>
      <c r="BL6" s="40"/>
      <c r="BM6" s="40"/>
    </row>
    <row r="7" spans="1:66" ht="31.5" customHeight="1" thickTop="1" thickBot="1" x14ac:dyDescent="0.3">
      <c r="D7" s="376" t="s">
        <v>60</v>
      </c>
      <c r="E7" s="377"/>
      <c r="P7" s="69"/>
      <c r="Q7" s="69"/>
      <c r="R7" s="69"/>
      <c r="S7" s="69"/>
      <c r="Y7" s="20"/>
      <c r="Z7" s="363" t="s">
        <v>1</v>
      </c>
      <c r="AA7" s="364"/>
      <c r="AB7" s="364"/>
      <c r="AC7" s="365"/>
      <c r="AD7" s="20"/>
      <c r="AE7" s="366" t="s">
        <v>2</v>
      </c>
      <c r="AF7" s="367"/>
      <c r="AG7" s="367"/>
      <c r="AH7" s="368"/>
      <c r="AI7" s="20"/>
      <c r="AJ7" s="369" t="s">
        <v>3</v>
      </c>
      <c r="AK7" s="370"/>
      <c r="AL7" s="370"/>
      <c r="AM7" s="371"/>
      <c r="AO7" s="20"/>
      <c r="AP7" s="316" t="s">
        <v>0</v>
      </c>
      <c r="AQ7" s="357" t="s">
        <v>1</v>
      </c>
      <c r="AR7" s="358"/>
      <c r="AS7" s="359"/>
      <c r="AT7" s="401" t="s">
        <v>2</v>
      </c>
      <c r="AU7" s="402"/>
      <c r="AV7" s="412"/>
      <c r="AW7" s="406" t="s">
        <v>3</v>
      </c>
      <c r="AX7" s="407"/>
      <c r="AY7" s="408"/>
      <c r="AZ7" s="398" t="s">
        <v>7</v>
      </c>
      <c r="BA7" s="399"/>
      <c r="BB7" s="400"/>
      <c r="BC7" s="302"/>
      <c r="BD7" s="303"/>
      <c r="BE7" s="20"/>
      <c r="BF7" s="20"/>
      <c r="BG7" s="269"/>
      <c r="BH7" s="398" t="s">
        <v>21</v>
      </c>
      <c r="BI7" s="399"/>
      <c r="BJ7" s="399"/>
      <c r="BK7" s="399"/>
      <c r="BL7" s="400"/>
      <c r="BM7" s="69"/>
    </row>
    <row r="8" spans="1:66" ht="34.5" customHeight="1" thickTop="1" thickBot="1" x14ac:dyDescent="0.45">
      <c r="A8" s="163"/>
      <c r="D8" s="389" t="s">
        <v>61</v>
      </c>
      <c r="E8" s="390"/>
      <c r="G8" s="164"/>
      <c r="H8" s="109"/>
      <c r="I8" s="164"/>
      <c r="J8" s="164"/>
      <c r="K8" s="164"/>
      <c r="L8" s="164"/>
      <c r="M8" s="164"/>
      <c r="N8" s="163"/>
      <c r="O8" s="409" t="s">
        <v>9</v>
      </c>
      <c r="P8" s="410"/>
      <c r="Q8" s="410"/>
      <c r="R8" s="410"/>
      <c r="S8" s="410"/>
      <c r="T8" s="410"/>
      <c r="U8" s="410"/>
      <c r="V8" s="410"/>
      <c r="W8" s="411"/>
      <c r="X8" s="109"/>
      <c r="Y8" s="20"/>
      <c r="Z8" s="19"/>
      <c r="AA8" s="19"/>
      <c r="AB8" s="19"/>
      <c r="AC8" s="19"/>
      <c r="AD8" s="20"/>
      <c r="AE8" s="19"/>
      <c r="AF8" s="19"/>
      <c r="AG8" s="19"/>
      <c r="AH8" s="18"/>
      <c r="AI8" s="19"/>
      <c r="AJ8" s="19"/>
      <c r="AK8" s="20"/>
      <c r="AL8" s="20"/>
      <c r="AM8" s="19"/>
      <c r="AN8" s="109"/>
      <c r="AO8" s="20"/>
      <c r="AP8" s="87" t="s">
        <v>6</v>
      </c>
      <c r="AQ8" s="88" t="s">
        <v>10</v>
      </c>
      <c r="AR8" s="89" t="s">
        <v>11</v>
      </c>
      <c r="AS8" s="92" t="s">
        <v>12</v>
      </c>
      <c r="AT8" s="94" t="s">
        <v>10</v>
      </c>
      <c r="AU8" s="92" t="s">
        <v>11</v>
      </c>
      <c r="AV8" s="187" t="s">
        <v>12</v>
      </c>
      <c r="AW8" s="91" t="s">
        <v>10</v>
      </c>
      <c r="AX8" s="92" t="s">
        <v>11</v>
      </c>
      <c r="AY8" s="187" t="s">
        <v>12</v>
      </c>
      <c r="AZ8" s="105" t="s">
        <v>16</v>
      </c>
      <c r="BA8" s="95" t="s">
        <v>11</v>
      </c>
      <c r="BB8" s="188" t="s">
        <v>12</v>
      </c>
      <c r="BC8" s="84" t="s">
        <v>19</v>
      </c>
      <c r="BD8" s="186" t="s">
        <v>20</v>
      </c>
      <c r="BE8" s="185" t="s">
        <v>14</v>
      </c>
      <c r="BF8" s="317" t="s">
        <v>15</v>
      </c>
      <c r="BG8" s="69"/>
      <c r="BH8" s="100" t="s">
        <v>6</v>
      </c>
      <c r="BI8" s="104" t="s">
        <v>16</v>
      </c>
      <c r="BJ8" s="39" t="s">
        <v>17</v>
      </c>
      <c r="BK8" s="243" t="s">
        <v>12</v>
      </c>
      <c r="BL8" s="233" t="s">
        <v>18</v>
      </c>
      <c r="BM8" s="164"/>
      <c r="BN8" s="224" t="s">
        <v>16</v>
      </c>
    </row>
    <row r="9" spans="1:66" ht="21.6" thickBot="1" x14ac:dyDescent="0.45">
      <c r="A9" s="109"/>
      <c r="B9" s="391" t="s">
        <v>33</v>
      </c>
      <c r="C9" s="392"/>
      <c r="D9" s="393" t="s">
        <v>34</v>
      </c>
      <c r="E9" s="392"/>
      <c r="F9" s="394" t="s">
        <v>35</v>
      </c>
      <c r="G9" s="392"/>
      <c r="H9" s="18"/>
      <c r="I9" s="116"/>
      <c r="J9" s="395" t="s">
        <v>40</v>
      </c>
      <c r="K9" s="396"/>
      <c r="L9" s="397"/>
      <c r="M9" s="129"/>
      <c r="N9" s="66"/>
      <c r="O9" s="386" t="s">
        <v>1</v>
      </c>
      <c r="P9" s="386"/>
      <c r="Q9" s="386"/>
      <c r="R9" s="401" t="s">
        <v>2</v>
      </c>
      <c r="S9" s="402"/>
      <c r="T9" s="402"/>
      <c r="U9" s="406" t="s">
        <v>3</v>
      </c>
      <c r="V9" s="407"/>
      <c r="W9" s="408"/>
      <c r="X9" s="18"/>
      <c r="Y9" s="220" t="s">
        <v>30</v>
      </c>
      <c r="Z9" s="221" t="s">
        <v>4</v>
      </c>
      <c r="AA9" s="221" t="s">
        <v>12</v>
      </c>
      <c r="AB9" s="221" t="s">
        <v>10</v>
      </c>
      <c r="AC9" s="221" t="s">
        <v>11</v>
      </c>
      <c r="AD9" s="222"/>
      <c r="AE9" s="221" t="s">
        <v>4</v>
      </c>
      <c r="AF9" s="221" t="s">
        <v>12</v>
      </c>
      <c r="AG9" s="221" t="s">
        <v>10</v>
      </c>
      <c r="AH9" s="221" t="s">
        <v>11</v>
      </c>
      <c r="AI9" s="222"/>
      <c r="AJ9" s="221" t="s">
        <v>4</v>
      </c>
      <c r="AK9" s="221" t="s">
        <v>12</v>
      </c>
      <c r="AL9" s="221" t="s">
        <v>10</v>
      </c>
      <c r="AM9" s="221" t="s">
        <v>11</v>
      </c>
      <c r="AN9" s="18"/>
      <c r="AO9" s="43">
        <v>1</v>
      </c>
      <c r="AP9" s="277" t="str">
        <f>+Inscrits!B3</f>
        <v>A1</v>
      </c>
      <c r="AQ9" s="246">
        <f>IF(ISNA(VLOOKUP(AP9,$Z$11:$AC$81,3,0))," ",IF(VLOOKUP(AP9,$Z$11:$AC$81,3,0)=0,"0",VLOOKUP(AP9,$Z$11:$AC$81,3,0)))</f>
        <v>1</v>
      </c>
      <c r="AR9" s="30">
        <f>IF(ISNA(VLOOKUP(AP9,$Z$11:$AC$81,4,0))," ",IF(VLOOKUP(AP9,$Z$11:$AC$81,4,0)=0,"0",VLOOKUP(AP9,$Z$11:$AC$81,4,0)))</f>
        <v>-5</v>
      </c>
      <c r="AS9" s="77">
        <f>IF(ISNA(VLOOKUP(AP9,$Z$11:$AC$81,2,0))," ",IF(VLOOKUP(AP9,$Z$11:$AC$81,2,0)=0,"0",VLOOKUP(AP9,$Z$11:$AC$81,2,0)))</f>
        <v>5</v>
      </c>
      <c r="AT9" s="74">
        <f>IF(ISNA(VLOOKUP(AP9,$AE$11:$AH$81,3,0))," ",IF(VLOOKUP(AP9,$AE$11:$AH$81,3,0)=0,"0",VLOOKUP(AP9,$AE$11:$AH$81,3,0)))</f>
        <v>1</v>
      </c>
      <c r="AU9" s="30">
        <f>IF(ISNA(VLOOKUP(AP9,$AE$11:$AH$81,4,0))," ",IF(VLOOKUP(AP9,$AE$11:$AH$81,4,0)=0,"0",VLOOKUP(AP9,$AE$11:$AH$81,4,0)))</f>
        <v>-6</v>
      </c>
      <c r="AV9" s="249">
        <f>IF(ISNA(VLOOKUP(AP9,$AE$11:$AH$81,2,0))," ",IF(VLOOKUP(AP9,$AE$11:$AH$81,2,0)=0,"0",VLOOKUP(AP9,$AE$11:$AH$81,2,0)))</f>
        <v>7</v>
      </c>
      <c r="AW9" s="246">
        <f>IF(ISNA(VLOOKUP(AP9,$AJ$11:$AM$81,3,0))," ",IF(VLOOKUP(AP9,$AJ$11:$AM$81,3,0)=0,"0",VLOOKUP(AP9,$AJ$11:$AM$81,3,0)))</f>
        <v>3</v>
      </c>
      <c r="AX9" s="30">
        <f>IF(ISNA(VLOOKUP(AP9,$AJ$11:$AM$81,4,0))," ",IF(VLOOKUP(AP9,$AJ$11:$AM$81,4,0)=0,"0",VLOOKUP(AP9,$AJ$11:$AM$81,4,0)))</f>
        <v>4</v>
      </c>
      <c r="AY9" s="249">
        <f>IF(ISNA(VLOOKUP(AP9,$AJ$11:$AM$81,2,0))," ",IF(VLOOKUP(AP9,$AJ$11:$AM$81,2,0)=0,"0",VLOOKUP(AP9,$AJ$11:$AM$81,2,0)))</f>
        <v>9</v>
      </c>
      <c r="AZ9" s="246">
        <f>SUMIFS(AQ9:AW9,$AQ$8:$AW$8,"Pts",AQ9:AW9,"&lt;&gt;#N/A")</f>
        <v>5</v>
      </c>
      <c r="BA9" s="30">
        <f>SUMIFS(AQ9:AX9,$AQ$8:$AX$8,"GA",AQ9:AX9,"&lt;&gt;#N/A")</f>
        <v>-7</v>
      </c>
      <c r="BB9" s="249">
        <f>SUMIFS(AQ9:AY9,$AQ$8:$AY$8,"Score",AQ9:AY9,"&lt;&gt;#N/A")</f>
        <v>21</v>
      </c>
      <c r="BC9" s="254">
        <f>IF(BA9="","",IF(BA9&lt;0,BA9,0))</f>
        <v>-7</v>
      </c>
      <c r="BD9" s="182">
        <f>IF(BA9="","",IF(BA9&gt;0,BA9,0))</f>
        <v>0</v>
      </c>
      <c r="BE9" s="183">
        <f>IF(OR(AP9="",AZ9="",BA9="",BB9=""),"",RANK(AZ9,$AZ$9:$AZ$62)+SUM(-BA9/100)-(+BB9/10000)+COUNTIF(AP$9:AP$62,"&lt;="&amp;AP9+1)/1000000+ROW()/100000000)</f>
        <v>18.067900090000002</v>
      </c>
      <c r="BF9" s="182">
        <f>IF(AP9="","",SMALL(BE$9:BE$62,ROWS(AZ$9:AZ9)))</f>
        <v>0.80630032000000007</v>
      </c>
      <c r="BH9" s="74" t="str">
        <f>IF(OR(AP9="",AZ9=""),"",INDEX($AP$9:$AP$63,MATCH(BF9,$BE$9:BE$62,0)))</f>
        <v>B6</v>
      </c>
      <c r="BI9" s="2">
        <f t="shared" ref="BI9:BI40" si="0">IF(AP9="","",INDEX($AZ$9:$AZ$63,MATCH(BF9,$BE$9:$BE$62,0)))</f>
        <v>9</v>
      </c>
      <c r="BJ9" s="2">
        <f t="shared" ref="BJ9:BJ40" si="1">IF(AP9="","",INDEX($BA$9:$BA$63,MATCH(BF9,$BE$9:$BE$62,0)))</f>
        <v>19</v>
      </c>
      <c r="BK9" s="2">
        <f t="shared" ref="BK9:BK40" si="2">IF(AP9="","",INDEX($BB$9:$BB$63,MATCH(BF9,$BE$9:$BE$62,0)))</f>
        <v>37</v>
      </c>
      <c r="BL9" s="241">
        <f>IF(BF9="","",1)</f>
        <v>1</v>
      </c>
      <c r="BM9" s="22"/>
      <c r="BN9" s="7"/>
    </row>
    <row r="10" spans="1:66" ht="21.6" thickBot="1" x14ac:dyDescent="0.35">
      <c r="A10" s="110">
        <v>1</v>
      </c>
      <c r="B10" s="329" t="s">
        <v>66</v>
      </c>
      <c r="C10" s="234">
        <f>IF($Q$5&gt;7,1,0)</f>
        <v>1</v>
      </c>
      <c r="D10" s="337" t="s">
        <v>84</v>
      </c>
      <c r="E10" s="234">
        <f>IF($Q$5&gt;7,1,0)</f>
        <v>1</v>
      </c>
      <c r="F10" s="336" t="s">
        <v>102</v>
      </c>
      <c r="G10" s="234">
        <f>IF($Q$5&gt;7,1,0)</f>
        <v>1</v>
      </c>
      <c r="H10" s="18"/>
      <c r="I10" s="170">
        <v>1</v>
      </c>
      <c r="J10" s="171" t="str">
        <f>IF(ISNA(MATCH(I10,$C$10:$C$27,0)),"",INDEX(B$10:$B$27,MATCH(I10,$C$10:$C$27,0)))</f>
        <v>A1</v>
      </c>
      <c r="K10" s="158" t="str">
        <f>IF(ISNA(MATCH(I10,$E$10:$E$27,0)),"",INDEX($D$10:D$27,MATCH(I10,$E$10:$E$27,0)))</f>
        <v>B1</v>
      </c>
      <c r="L10" s="159" t="str">
        <f>IF(ISNA(MATCH(I10,$G$10:$G$27,0)),"",INDEX($F$10:F$27,MATCH(I10,$G$10:$G$27,0)))</f>
        <v>C1</v>
      </c>
      <c r="M10" s="130"/>
      <c r="N10" s="67">
        <v>1</v>
      </c>
      <c r="O10" s="118" t="str">
        <f>IF($Q$5&lt;55&gt;7,J10,0)</f>
        <v>A1</v>
      </c>
      <c r="P10" s="119" t="str">
        <f>IF($Q$5&gt;=8,K10,0)</f>
        <v>B1</v>
      </c>
      <c r="Q10" s="120" t="str">
        <f>IF($Q$5&gt;9,L10,IF($Q$5=9,L10,0))</f>
        <v>C1</v>
      </c>
      <c r="R10" s="150" t="str">
        <f>IF($Q$5=8,K12,IF($Q$5=9,O13,IF($Q$5=10,J12,IF($Q$5=11,J10,IF($Q$5=12,J10,IF($Q$5=13,J11,IF($Q$5=14,J11,IF($Q$5=15,J11,IF($Q$5=16,J11,IF($Q$5=17,J10,IF($Q$5=18,J10,IF($Q$5=19,J11,IF($Q$5=20,J10,IF($Q$5=21,J10,IF($Q$5=22,J11,IF($Q$5=23,J11,IF($Q$5=24,J11,IF($Q$5=25,J11,IF($Q$5=26,J11,IF($Q$5=27,J11,IF($Q$5=28,J11,IF($Q$5=29,J11,IF($Q$5=30,J11,IF($Q$5=31,J11,IF($Q$5=32,J11,IF($Q$5=33,J11,IF($Q$5=34,J11,IF($Q$5=35,J11,IF($Q$5=36,J11,IF($Q$5=37,J11,IF($Q$5=38,J11,IF($Q$5=39,J11,IF($Q$5=40,J11,IF($Q$5=41,J11,IF($Q$5=42,J11,IF($Q$5=43,J11,IF($Q$5=44,J11,IF($Q$5=45,J11,IF($Q$5=46,J11,IF($Q$5=47,J11,IF($Q$5=48,J11,IF($Q$5=49,J11,IF($Q$5=50,J11,IF($Q$5=51,J11,IF($Q$5=52,J11,IF($Q$5=53,J11,IF($Q$5=54,J11,0)))))))))))))))))))))))))))))))))))))))))))))))</f>
        <v>A2</v>
      </c>
      <c r="S10" s="132" t="str">
        <f>IF($Q$5=8,L11,IF($Q$5=9,L11,IF($Q$5=10,K10,IF($Q$5=11,K13,IF($Q$5=12,K13,IF($Q$5=13,L10,IF($Q$5=14,K12,IF($Q$5=15,K13,IF($Q$5=16,K12,IF($Q$5=17,K13,IF($Q$5=18,K13,IF($Q$5=19,K13,IF($Q$5=20,P17,IF($Q$5=21,K13,IF($Q$5=22,K13,IF($Q$5=23,K13,IF($Q$5=24,K16,IF($Q$5=25,K13,IF($Q$5=26,K16,IF($Q$5=27,K13,IF($Q$5=28,K13,IF($Q$5=29,K13,IF($Q$5=30,K13,IF($Q$5=31,K13,IF($Q$5=32,K13,IF($Q$5=33,K13,IF($Q$5=34,K13,IF($Q$5=35,K13,IF($Q$5=36,K12,IF($Q$5=37,K12,IF($Q$5=38,K12,IF($Q$5=39,K12,IF($Q$5=40,K12,IF($Q$5=41,K12,IF($Q$5=42,K12,IF($Q$5=43,K12,IF($Q$5=44,K12,IF($Q$5=45,K12,IF($Q$5=46,K12,IF($Q$5=47,K12,IF($Q$5=48,K12,IF($Q$5=49,K12,IF($Q$5=50,K12,IF($Q$5=51,K12,IF($Q$5=52,K12,IF($Q$5=53,K12,IF($Q$5=54,K12,0)))))))))))))))))))))))))))))))))))))))))))))))</f>
        <v>B4</v>
      </c>
      <c r="T10" s="151" t="str">
        <f>IF($Q$5=9,P13,IF($Q$5=10,L12,IF($Q$5=11,L11,IF($Q$5=12,L12,IF($Q$5=13,P15,IF($Q$5=14,P15,IF($Q$5=15,P14,IF($Q$5=16,L13,IF($Q$5=17,L12,IF($Q$5=18,L12,IF($Q$5=19,P17,IF($Q$5=20,L12,IF($Q$5=21,P10,IF($Q$5=22,L12,IF($Q$5=23,L12,IF($Q$5=24,L12,IF($Q$5=25,L12,IF($Q$5=26,L12,IF($Q$5=27,L12,IF($Q$5=28,L12,IF($Q$5=29,L12,IF($Q$5=30,L12,IF($Q$5=31,L12,IF($Q$5=32,L12,IF($Q$5=33,L12,IF($Q$5=34,L12,IF($Q$5=35,L12,IF($Q$5=36,L13,IF($Q$5=37,L13,IF($Q$5=38,L13,IF($Q$5=39,L13,IF($Q$5=40,L13,IF($Q$5=41,L13,IF($Q$5=42,L13,IF($Q$5=43,L13,IF($Q$5=44,L13,IF($Q$5=45,L13,IF($Q$5=46,L13,IF($Q$5=47,L13,IF($Q$5=48,L13,IF($Q$5=49,L13,IF($Q$5=50,L13,IF($Q$5=51,L13,IF($Q$5=52,L13,IF($Q$5=53,L13,IF($Q$5=54,L13,0))))))))))))))))))))))))))))))))))))))))))))))</f>
        <v>C3</v>
      </c>
      <c r="U10" s="140" t="str">
        <f>IF($Q$5=8,J11,IF($Q$5=9,R11,IF($Q$5=10,J13,IF($Q$5=11,J13,IF($Q$5=12,J10,IF($Q$5=13,R12,IF($Q$5=14,R11,IF($Q$5=15,R11,IF($Q$5=16,R15,IF($Q$5=17,R10,IF(Q$5=18,R10,IF($Q$5=19,R13,IF($Q$5=20,R10,IF($Q$5=21,O10,IF($Q$5=22,R17,IF($Q$5=23,R11,IF($Q$5=24,R17,IF($Q$5=25,R19,IF($Q$5=26,R19,IF($Q$5=27,R18,IF($Q$5=28,R19,IF($Q$5=29,R19,IF($Q$5=30,R19,IF($Q$5=31,R20,IF($Q$5=32,R21,IF($Q$5=33,O10,IF($Q$5=34,O10,IF($Q$5=35,R21,IF($Q$5=36,O12,IF($Q$5=37,R11,IF($Q$5=38,R11,IF($Q$5=39,R11,IF($Q$5=40,R11,IF($Q$5=41,R11,IF($Q$5=42,R11,IF($Q$5=43,R11,IF($Q$5=44,R11,IF($Q$5=45,R11,IF($Q$5=46,R11,IF($Q$5=47,R11,IF($Q$5=48,R11,IF($Q$5=49,R11,IF($Q$5=50,R11,IF($Q$5=51,R11,IF($Q$5=52,R11,IF($Q$5=53,R11,IF($Q$5=54,R11,0)))))))))))))))))))))))))))))))))))))))))))))))</f>
        <v>A1</v>
      </c>
      <c r="V10" s="132" t="str">
        <f>IF($Q$5=8,L10,IF($Q$5=9,T10,IF($Q$5=10,K12,IF($Q$5=11,S12,IF($Q$5=12,P12,IF($Q$5=13,S13,IF($Q$5=14,S12,IF($Q$5=15,S14,IF($Q$5=16,S10,IF($Q$5=17,S13,IF($Q$5=18,S13,IF($Q$5=19,S14,IF($Q$5=20,S13,IF($Q$5=21,S13,IF($Q$5=22,S13,IF($Q$5=23,S13,IF($Q$5=24,S13,IF($Q$5=25,S10,IF($Q$5=26,S13,IF($Q$5=27,S13,IF($Q$5=28,S10,IF($Q$5=29,S13,IF($Q$5=30,S13,IF($Q$5=31,S13,IF($Q$5=32,S10,IF($Q$5=33,S10,IF($Q$5=34,S10,IF($Q$5=35,S10,IF($Q$5=36,S12,IF($Q$5=37,S12,IF($Q$5=38,S12,IF($Q$5=39,S12,IF($Q$5=40,S12,IF($Q$5=41,S12,IF($Q$5=42,S12,IF($Q$5=43,S12,IF($Q$5=44,S12,IF($Q$5=45,S12,IF($Q$5=46,S12,IF($Q$5=47,S12,IF($Q$5=48,S12,IF($Q$5=49,S12,IF($Q$5=50,S12,IF($Q$5=51,S12,IF($Q$5=52,S12,IF($Q$5=53,S12,IF($Q$5=54,S12,0)))))))))))))))))))))))))))))))))))))))))))))))</f>
        <v>B3</v>
      </c>
      <c r="W10" s="144" t="str">
        <f>IF($Q$5=9,L11,IF($Q$5=10,L11,IF($Q$5=11,T11,IF($Q$5=12,T11,IF($Q$5=13,S11,IF($Q$5=14,S14,IF($Q$5=15,T12,IF($Q$5=16,T11,IF($Q$5=17,T12,IF($Q$5=18,T12,IF($Q$5=19,T12,IF($Q$5=20,T12,IF($Q$5=21,T12,IF($Q$5=22,T12,IF(Q$5=23,T12,IF($Q$5=24,T12,IF($Q$5=25,T12,IF($Q$5=26,T12,IF($Q$5=27,T12,IF($Q$5=28,T12,IF($Q$5=29,T11,IF($Q$5=30,T12,IF($Q$5=31,T12,IF($Q$5=32,T11,IF($Q$5=33,T11,IF($Q$5=34,T11,IF($Q$5=35,T11,IF($Q$5=36,T13,IF($Q$5=37,T13,IF($Q$5=38,T13,IF($Q$5=39,T13,IF($Q$5=40,T13,IF($Q$5=41,T13,IF($Q$5=42,T13,IF($Q$5=43,T13,IF($Q$5=44,T13,IF($Q$5=45,T13,IF($Q$5=46,T13,IF($Q$5=47,T13,IF($Q$5=48,T13,IF($Q$5=49,T13,IF($Q$5=50,T13,IF($Q$5=51,T13,IF($Q$5=52,T13,IF($Q$5=53,T13,IF($Q$5=54,T13,0))))))))))))))))))))))))))))))))))))))))))))))</f>
        <v>C5</v>
      </c>
      <c r="X10" s="18"/>
      <c r="Y10" s="20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8"/>
      <c r="AO10" s="44">
        <v>2</v>
      </c>
      <c r="AP10" s="278" t="str">
        <f>+Inscrits!B4</f>
        <v>A2</v>
      </c>
      <c r="AQ10" s="247">
        <f t="shared" ref="AQ10:AQ62" si="3">IF(ISNA(VLOOKUP(AP10,$Z$11:$AC$81,3,0))," ",IF(VLOOKUP(AP10,$Z$11:$AC$81,3,0)=0,"0",VLOOKUP(AP10,$Z$11:$AC$81,3,0)))</f>
        <v>3</v>
      </c>
      <c r="AR10" s="82">
        <f t="shared" ref="AR10:AR62" si="4">IF(ISNA(VLOOKUP(AP10,$Z$11:$AC$81,4,0))," ",IF(VLOOKUP(AP10,$Z$11:$AC$81,4,0)=0,"0",VLOOKUP(AP10,$Z$11:$AC$81,4,0)))</f>
        <v>5</v>
      </c>
      <c r="AS10" s="184">
        <f t="shared" ref="AS10:AS62" si="5">IF(ISNA(VLOOKUP(AP10,$Z$11:$AC$81,2,0))," ",IF(VLOOKUP(AP10,$Z$11:$AC$81,2,0)=0,"0",VLOOKUP(AP10,$Z$11:$AC$81,2,0)))</f>
        <v>10</v>
      </c>
      <c r="AT10" s="250">
        <f t="shared" ref="AT10:AT62" si="6">IF(ISNA(VLOOKUP(AP10,$AE$11:$AH$81,3,0))," ",IF(VLOOKUP(AP10,$AE$11:$AH$81,3,0)=0,"0",VLOOKUP(AP10,$AE$11:$AH$81,3,0)))</f>
        <v>1</v>
      </c>
      <c r="AU10" s="82">
        <f t="shared" ref="AU10:AU62" si="7">IF(ISNA(VLOOKUP(AP10,$AE$11:$AH$81,4,0))," ",IF(VLOOKUP(AP10,$AE$11:$AH$81,4,0)=0,"0",VLOOKUP(AP10,$AE$11:$AH$81,4,0)))</f>
        <v>-3</v>
      </c>
      <c r="AV10" s="252">
        <f t="shared" ref="AV10:AV62" si="8">IF(ISNA(VLOOKUP(AP10,$AE$11:$AH$81,2,0))," ",IF(VLOOKUP(AP10,$AE$11:$AH$81,2,0)=0,"0",VLOOKUP(AP10,$AE$11:$AH$81,2,0)))</f>
        <v>5</v>
      </c>
      <c r="AW10" s="247">
        <f t="shared" ref="AW10:AW62" si="9">IF(ISNA(VLOOKUP(AP10,$AJ$11:$AM$81,3,0))," ",IF(VLOOKUP(AP10,$AJ$11:$AM$81,3,0)=0,"0",VLOOKUP(AP10,$AJ$11:$AM$81,3,0)))</f>
        <v>3</v>
      </c>
      <c r="AX10" s="82">
        <f t="shared" ref="AX10:AX62" si="10">IF(ISNA(VLOOKUP(AP10,$AJ$11:$AM$81,4,0))," ",IF(VLOOKUP(AP10,$AJ$11:$AM$81,4,0)=0,"0",VLOOKUP(AP10,$AJ$11:$AM$81,4,0)))</f>
        <v>2</v>
      </c>
      <c r="AY10" s="252">
        <f t="shared" ref="AY10:AY62" si="11">IF(ISNA(VLOOKUP(AP10,$AJ$11:$AM$81,2,0))," ",IF(VLOOKUP(AP10,$AJ$11:$AM$81,2,0)=0,"0",VLOOKUP(AP10,$AJ$11:$AM$81,2,0)))</f>
        <v>11</v>
      </c>
      <c r="AZ10" s="247">
        <f>SUMIFS(AQ10:AW10,$AQ$8:$AW$8,"Pts",AQ10:AW10,"&lt;&gt;#N/A")</f>
        <v>7</v>
      </c>
      <c r="BA10" s="82">
        <f t="shared" ref="BA10:BA62" si="12">SUMIFS(AQ10:AX10,$AQ$8:$AX$8,"GA",AQ10:AX10,"&lt;&gt;#N/A")</f>
        <v>4</v>
      </c>
      <c r="BB10" s="252">
        <f t="shared" ref="BB10:BB62" si="13">SUMIFS(AQ10:AY10,$AQ$8:$AY$8,"Score",AQ10:AY10,"&lt;&gt;#N/A")</f>
        <v>26</v>
      </c>
      <c r="BC10" s="255">
        <f t="shared" ref="BC10:BC62" si="14">IF(BA10="","",IF(BA10&lt;0,BA10,0))</f>
        <v>0</v>
      </c>
      <c r="BD10" s="7">
        <f t="shared" ref="BD10:BD62" si="15">IF(BA10="","",IF(BA10&gt;0,BA10,0))</f>
        <v>4</v>
      </c>
      <c r="BE10" s="183">
        <f t="shared" ref="BE10:BE62" si="16">IF(OR(AP10="",AZ10="",BA10="",BB10=""),"",RANK(AZ10,$AZ$9:$AZ$62)+SUM(-BA10/100)-(+BB10/10000)+COUNTIF(AP$9:AP$62,"&lt;="&amp;AP10+1)/1000000+ROW()/100000000)</f>
        <v>3.9574000999999996</v>
      </c>
      <c r="BF10" s="82">
        <f>IF(AP10="","",SMALL(BE$9:BE$62,ROWS(AZ$9:AZ10)))</f>
        <v>0.82810016999999991</v>
      </c>
      <c r="BH10" s="250" t="str">
        <f>IF(OR(AP10="",AZ10=""),"",INDEX($AP$9:$AP$63,MATCH(BF10,$BE$9:BE$62,0)))</f>
        <v>A9</v>
      </c>
      <c r="BI10" s="7">
        <f t="shared" si="0"/>
        <v>9</v>
      </c>
      <c r="BJ10" s="7">
        <f t="shared" si="1"/>
        <v>17</v>
      </c>
      <c r="BK10" s="7">
        <f t="shared" si="2"/>
        <v>19</v>
      </c>
      <c r="BL10" s="242">
        <f>IF(BF10="","",IF(AND(BI9=BI10,BJ9=BJ10,BK9=BK10),BL9,$BL$9+1))</f>
        <v>2</v>
      </c>
      <c r="BM10" s="22"/>
      <c r="BN10" s="7"/>
    </row>
    <row r="11" spans="1:66" ht="21.6" thickBot="1" x14ac:dyDescent="0.35">
      <c r="A11" s="111">
        <v>2</v>
      </c>
      <c r="B11" s="330" t="s">
        <v>67</v>
      </c>
      <c r="C11" s="235">
        <f>IF($Q$5&gt;7,2,0)</f>
        <v>2</v>
      </c>
      <c r="D11" s="335" t="s">
        <v>85</v>
      </c>
      <c r="E11" s="235">
        <f>IF($Q$5&gt;7,2,0)</f>
        <v>2</v>
      </c>
      <c r="F11" s="333" t="s">
        <v>103</v>
      </c>
      <c r="G11" s="235">
        <f>IF($Q$5&gt;7,2,0)</f>
        <v>2</v>
      </c>
      <c r="H11" s="18"/>
      <c r="I11" s="165">
        <v>2</v>
      </c>
      <c r="J11" s="172" t="str">
        <f>IF(ISNA(MATCH(I11,$C$10:$C$27,0)),"",INDEX(B$10:$B$27,MATCH(I11,$C$10:$C$27,0)))</f>
        <v>A2</v>
      </c>
      <c r="K11" s="117" t="str">
        <f>IF(ISNA(MATCH(I11,$E$10:$E$27,0)),"",INDEX($D$10:D$27,MATCH(I11,$E$10:$E$27,0)))</f>
        <v>B2</v>
      </c>
      <c r="L11" s="160" t="str">
        <f>IF(ISNA(MATCH(I11,$G$10:$G$27,0)),"",INDEX($F$10:F$27,MATCH(I11,$G$10:$G$27,0)))</f>
        <v>C2</v>
      </c>
      <c r="M11" s="130"/>
      <c r="N11" s="42" t="s">
        <v>5</v>
      </c>
      <c r="O11" s="121" t="str">
        <f>IF($Q$5&gt;=8,J11,0)</f>
        <v>A2</v>
      </c>
      <c r="P11" s="124" t="str">
        <f>IF($Q$5&gt;=8,K11,0)</f>
        <v>B2</v>
      </c>
      <c r="Q11" s="123" t="str">
        <f>IF($Q$5=10,L11,IF($Q$5=11,L11,IF($Q$5=12,L11,IF($Q$5=14,L11,IF($Q$5=15,L11,IF($Q$5=16,L11,IF($Q$5=17,L11,IF($Q$5=18,L11,IF($Q$5=19,L11,IF($Q$5=20,L11,IF($Q$5=21,L11,IF($Q$5=22,L11,IF($Q$5=23,L11,IF($Q$5=24,L11,IF($Q$5=25,L11,IF($Q$5=26,L11,IF($Q$5=27,L11,IF($Q$5=28,L11,IF($Q$5=29,L11,IF($Q$5=30,L11,IF($Q$5=31,L11,IF($Q$5=32,L11,IF($Q$5=33,L11,IF($Q$5=34,L11,IF($Q$5=35,L11,IF($Q$5=36,L11,IF($Q$5=37,L11,IF($Q$5=38,L11,IF($Q$5=39,L11,IF($Q$5=40,L11,IF($Q$5=41,L11,IF($Q$5=42,L11,IF($Q$5=43,L11,IF($Q$5=44,L11,IF($Q$5=45,L11,IF($Q$5=46,L11,IF($Q$5=47,L11,IF($Q$5=48,L11,IF($Q$5=49,L11,IF($Q$5=50,L11,IF($Q$5=51,L11,IF($Q$5=52,L11,IF($Q$5=53,L11,IF($Q$5=54,L11,0))))))))))))))))))))))))))))))))))))))))))))</f>
        <v>C2</v>
      </c>
      <c r="R11" s="133" t="str">
        <f>IF($Q$5=8,J10,IF($Q$5=9,O10,IF($Q$5=10,J13,IF($Q$5=11,J12,IF($Q$5=12,J13,IF($Q$5=13,J12,IF($Q$5=14,J12,IF($Q$5=15,J12,IF($Q$5=16,J12,IF($Q$5=17,J12,IF($Q$5=18,J12,IF($Q$5=19,J13,IF($Q$5=20,J12,IF($Q$5=21,J12,IF($Q$5=22,J12,IF($Q$5=23,J12,IF($Q$5=24,J12,IF($Q$5=25,J12,IF($Q$5=26,J12,IF($Q$5=27,J12,IF($Q$5=28,J12,IF($Q$5=29,J12,IF($Q$5=30,J12,IF($Q$5=31,J12,IF($Q$5=32,J12,IF($Q$5=33,J12,IF($Q$5=34,J12,IF($Q$5=35,J12,IF($Q$5=36,J12,IF($Q$5=37,J12,IF($Q$5=38,J12,IF($Q$5=39,J12,IF($Q$5=40,J12,IF($Q$5=41,J12,IF($Q$5=42,J12,IF($Q$5=43,J12,IF($Q$5=44,J12,IF($Q$5=45,J12,IF($Q$5=46,J12,IF($Q$5=47,J12,IF($Q$5=48,J12,IF($Q$5=49,J12,IF($Q$5=50,J12,IF($Q$5=51,J12,IF($Q$5=52,J12,IF($Q$5=53,J12,IF($Q$5=54,J12,0)))))))))))))))))))))))))))))))))))))))))))))))</f>
        <v>A3</v>
      </c>
      <c r="S11" s="134" t="str">
        <f>IF($Q$5=8,L10,IF($Q$5=9,K11,IF($Q$5=10,L11,IF($Q$5=11,K10,IF($Q$5=12,K12,IF($Q$5=13,P13,IF($Q$5=14,K13,IF($Q$5=15,K10,IF($Q$5=16,K13,IF($Q$5=17,K14,IF($Q$5=18,K14,IF($Q$5=19,K14,IF($Q$5=20,K14,IF($Q$5=21,K14,IF($Q$5=22,K14,IF($Q$5=23,K14,IF($Q$5=24,K14,IF($Q$5=25,K14,IF($Q$5=26,K14,IF(Q$5=27,K14,IF($Q$5=28,K14,IF($Q$5=29,K14,IF($Q$5=30,K14,IF($Q$5=31,K14,IF($Q$5=32,K14,IF($Q$5=33,K14,IF($Q$5=34,K14,IF($Q$5=35,K14,IF($Q$5=36,K13,IF($Q$5=37,K13,IF($Q$5=38,K13,IF($Q$5=39,K13,IF($Q$5=40,K13,IF($Q$5=41,K13,IF($Q$5=42,K13,IF($Q$5=43,K13,IF($Q$5=44,K13,IF($Q$5=45,K13,IF($Q$5=46,K13,IF($Q$5=47,K13,IF($Q$5=48,K13,IF($Q$5=49,K13,IF($Q$5=50,K13,IF($Q$5=51,K13,IF($Q$5=52,K13,IF($Q$5=53,K13,IF($Q$5=54,K13,0)))))))))))))))))))))))))))))))))))))))))))))))</f>
        <v>B5</v>
      </c>
      <c r="T11" s="152" t="str">
        <f>IF($Q$5=10,L10,IF($Q$5=11,L12,IF($Q$5=12,L11,IF($Q$5=14,L10,IF($Q$5=15,P15,IF($Q$5=16,P15,IF($Q$5=17,L11,IF($Q$5=18,L13,IF($Q$5=19,L10,IF($Q$5=20,L11,IF($Q$5=21,P17,IF($Q$5=22,L13,IF($Q$5=23,L13,IF($Q$5=24,L13,IF($Q$5=25,L13,IF($Q$5=26,L13,IF($Q$5=27,L13,IF($Q$5=28,L13,IF($Q$5=29,L10,IF($Q$5=30,L10,IF($Q$5=31,L13,IF($Q$5=32,L11,IF($Q$5=33,L11,IF($Q$5=34,L11,IF($Q$5=35,L11,IF($Q$5=36,L14,IF($Q$5=37,L14,IF($Q$5=38,L14,IF($Q$5=39,L14,IF($Q$5=40,L14,IF($Q$5=41,L14,IF($Q$5=42,L14,IF($Q$5=43,L14,IF($Q$5=44,L14,IF($Q$5=45,L14,IF($Q$5=46,L14,IF($Q$5=47,L14,IF($Q$5=48,L14,IF($Q$5=49,L14,IF($Q$5=50,L14,IF($Q$5=51,L14,IF($Q$5=52,L14,IF($Q$5=53,L14,IF($Q$5=54,L14,0))))))))))))))))))))))))))))))))))))))))))))</f>
        <v>C1</v>
      </c>
      <c r="U11" s="157" t="str">
        <f>IF($Q$5=8,J12,IF($Q$5=9,R12,IF($Q$5=10,J10,IF($Q$5=11,O11,IF($Q$5=12,O12,IF($Q$5=13,R11,IF($Q$5=14,R12,IF($Q$5=15,O13,IF($Q$5=16,O12,IF($Q$5=17,R12,IF($Q$5=18,R14,IF($Q$5=19,R14,IF($Q$5=20,R13,IF($Q$5=21,O14,IF($Q$5=22,O12,IF(Q$5=23,R13,IF($Q$5=24,O13,IF($Q$5=25,R12,IF($Q$5=26,O13,IF($Q$5=27,O13,IF($Q$5=28,O13,IF($Q$5=29,O13,IF($Q$5=30,O13,IF($Q$5=31,O13,IF($Q$5=32,R12,IF($Q$5=33,O13,IF($Q$5=34,O13,IF($Q$5=35,R12,IF($Q$5=36,O13,IF($Q$5=37,O13,IF($Q$5=38,O13,IF($Q$5=39,O13,IF($Q$5=40,O13,IF($Q$5=41,O13,IF($Q$5=42,R12,IF($Q$5=43,R12,IF($Q$5=44,O13,IF($Q$5=45,O13,IF($Q$5=46,R12,IF($Q$5=47,O13,IF($Q$5=48,O13,IF($Q$5=49,O13,IF($Q$5=50,O13,IF($Q$5=51,O13,IF($Q$5=52,O13,IF($Q$5=53,R12,IF($Q$5=54,O13,0)))))))))))))))))))))))))))))))))))))))))))))))</f>
        <v>A4</v>
      </c>
      <c r="V11" s="138" t="str">
        <f>IF($Q$5=8,K10,IF($Q$5=9,S12,IF($Q$5=10,K10,IF(Q$5=11,S10,IF($Q$5=12,S10,IF($Q$5=13,R15,IF($Q$5=14,S10,IF($Q$5=15,S10,IF($Q$5=16,S11,IF($Q$5=17,S10,IF($Q$5=18,S12,IF($Q$5=19,S10,IF($Q$5=20,S10,IF($Q$5=21,S17,IF($Q$5=22,S10,IF($Q$5=23,S10,IF($Q$5=24,S10,IF($Q$5=25,S13,IF($Q$5=26,S10,IF($Q$5=27,S10,IF($Q$5=28,S13,IF($Q$5=29,S10,IF($Q$5=30,S11,IF($Q$5=31,S10,IF($Q$5=32,S11,IF($Q$5=33,S11,IF($Q$5=34,S11,IF($Q$5=35,S11,IF($Q$5=36,S13,IF($Q$5=37,S13,IF($Q$5=38,S13,IF($Q$5=39,S13,IF($Q$5=40,S13,IF($Q$5=41,S13,IF($Q$5=42,S13,IF($Q$5=43,S13,IF($Q$5=44,S13,IF($Q$5=45,S13,IF($Q$5=46,S13,IF($Q$5=47,S13,IF($Q$5=48,S13,IF($Q$5=49,S13,IF($Q$5=50,S13,IF($Q$5=51,S13,IF($Q$5=52,S13,IF($Q$5=53,S13,IF($Q$5=54,S13,0)))))))))))))))))))))))))))))))))))))))))))))))</f>
        <v>B5</v>
      </c>
      <c r="W11" s="145" t="str">
        <f>IF($Q$5=10,L12,IF($Q$5=11,T10,IF($Q$5=12,Q10,IF(Q$5=14,T11,IF($Q$5=15,T11,IF(Q$5=16,S15,IF($Q$5=17,T13,IF($Q$5=18,T13,IF($Q$5=19,S17,IF($Q$5=20,T11,IF($Q$5=21,T10,IF($Q$5=22,T13,IF($Q$5=23,T13,IF($Q$5=24,T13,IF($Q$5=25,T13,IF($Q$5=26,T13,IF($Q$5=27,T13,IF($Q$5=28,T13,IF($Q$5=29,T13,IF($Q$5=30,T13,IF($Q$5=31,T13,IF($Q$5=32,T10,IF($Q$5=33,T10,IF($Q$5=34,T10,IF($Q$5=35,T10,IF($Q$5=36,T14,IF($Q$5=37,T14,IF($Q$5=38,T14,IF($Q$5=39,T14,IF($Q$5=40,T14,IF($Q$5=41,T14,IF($Q$5=42,T14,IF($Q$5=43,T14,IF($Q$5=44,T14,IF($Q$5=45,T14,IF($Q$5=46,T14,IF($Q$5=47,T14,IF($Q$5=48,T14,IF($Q$5=49,T14,IF($Q$5=50,T14,IF($Q$5=51,T14,IF($Q$5=52,T14,IF($Q$5=53,T14,IF($Q$5=54,T14,0))))))))))))))))))))))))))))))))))))))))))))</f>
        <v>C6</v>
      </c>
      <c r="X11" s="18"/>
      <c r="Y11" s="382">
        <v>1</v>
      </c>
      <c r="Z11" s="9" t="str">
        <f>+O10</f>
        <v>A1</v>
      </c>
      <c r="AA11" s="25">
        <v>5</v>
      </c>
      <c r="AB11" s="38">
        <f>IF(AA11+AA15=0,0,IF(AA11=AA15,2,IF(AA11&gt;AA15,3,1)))</f>
        <v>1</v>
      </c>
      <c r="AC11" s="10">
        <f>AA11-AA15</f>
        <v>-5</v>
      </c>
      <c r="AD11" s="6"/>
      <c r="AE11" s="9" t="str">
        <f>+R10</f>
        <v>A2</v>
      </c>
      <c r="AF11" s="107">
        <v>5</v>
      </c>
      <c r="AG11" s="38">
        <f>IF(AF11+AF15=0,0,IF(AF11=AF15,2,IF(AF11&gt;AF15,3,1)))</f>
        <v>1</v>
      </c>
      <c r="AH11" s="10">
        <f>AF11-AF15</f>
        <v>-3</v>
      </c>
      <c r="AI11" s="6"/>
      <c r="AJ11" s="9" t="str">
        <f>+U10</f>
        <v>A1</v>
      </c>
      <c r="AK11" s="28">
        <v>9</v>
      </c>
      <c r="AL11" s="38">
        <f>IF(AK11+AK15=0,0,IF(AK11=AK15,2,IF(AK11&gt;AK15,3,1)))</f>
        <v>3</v>
      </c>
      <c r="AM11" s="10">
        <f>AK11-AK15</f>
        <v>4</v>
      </c>
      <c r="AN11" s="18"/>
      <c r="AO11" s="44">
        <v>3</v>
      </c>
      <c r="AP11" s="278" t="str">
        <f>+Inscrits!B5</f>
        <v>A3</v>
      </c>
      <c r="AQ11" s="247">
        <f t="shared" si="3"/>
        <v>3</v>
      </c>
      <c r="AR11" s="82">
        <f t="shared" si="4"/>
        <v>4</v>
      </c>
      <c r="AS11" s="184">
        <f t="shared" si="5"/>
        <v>8</v>
      </c>
      <c r="AT11" s="250">
        <f t="shared" si="6"/>
        <v>3</v>
      </c>
      <c r="AU11" s="82">
        <f t="shared" si="7"/>
        <v>3</v>
      </c>
      <c r="AV11" s="252">
        <f t="shared" si="8"/>
        <v>8</v>
      </c>
      <c r="AW11" s="247">
        <f t="shared" si="9"/>
        <v>1</v>
      </c>
      <c r="AX11" s="82">
        <f t="shared" si="10"/>
        <v>-3</v>
      </c>
      <c r="AY11" s="252">
        <f t="shared" si="11"/>
        <v>10</v>
      </c>
      <c r="AZ11" s="247">
        <f t="shared" ref="AZ11:AZ62" si="17">SUMIFS(AQ11:AW11,$AQ$8:$AW$8,"Pts",AQ11:AW11,"&lt;&gt;#N/A")</f>
        <v>7</v>
      </c>
      <c r="BA11" s="82">
        <f t="shared" si="12"/>
        <v>4</v>
      </c>
      <c r="BB11" s="252">
        <f t="shared" si="13"/>
        <v>26</v>
      </c>
      <c r="BC11" s="255">
        <f t="shared" si="14"/>
        <v>0</v>
      </c>
      <c r="BD11" s="7">
        <f t="shared" si="15"/>
        <v>4</v>
      </c>
      <c r="BE11" s="183">
        <f t="shared" si="16"/>
        <v>3.95740011</v>
      </c>
      <c r="BF11" s="82">
        <f>IF(AP11="","",SMALL(BE$9:BE$62,ROWS(AZ$9:AZ11)))</f>
        <v>0.84700028999999999</v>
      </c>
      <c r="BH11" s="250" t="str">
        <f>IF(OR(AP11="",AZ11=""),"",INDEX($AP$9:$AP$63,MATCH(BF11,$BE$9:BE$62,0)))</f>
        <v>B3</v>
      </c>
      <c r="BI11" s="7">
        <f t="shared" si="0"/>
        <v>9</v>
      </c>
      <c r="BJ11" s="7">
        <f t="shared" si="1"/>
        <v>15</v>
      </c>
      <c r="BK11" s="7">
        <f t="shared" si="2"/>
        <v>30</v>
      </c>
      <c r="BL11" s="17">
        <f>IF(BF11="","",IF(AND(BI10=BI11,BJ10=BJ11,BK10=BK11),BL10,$BL$9+2))</f>
        <v>3</v>
      </c>
      <c r="BM11" s="22"/>
      <c r="BN11" s="7"/>
    </row>
    <row r="12" spans="1:66" ht="21.6" thickBot="1" x14ac:dyDescent="0.35">
      <c r="A12" s="111">
        <v>3</v>
      </c>
      <c r="B12" s="330" t="s">
        <v>68</v>
      </c>
      <c r="C12" s="235">
        <f>IF($Q$5&gt;7,3,0)</f>
        <v>3</v>
      </c>
      <c r="D12" s="335" t="s">
        <v>86</v>
      </c>
      <c r="E12" s="235">
        <f>IF($Q$5&gt;7,3,0)</f>
        <v>3</v>
      </c>
      <c r="F12" s="333" t="s">
        <v>104</v>
      </c>
      <c r="G12" s="235">
        <f>IF($Q$5=8,0,3)</f>
        <v>3</v>
      </c>
      <c r="H12" s="18"/>
      <c r="I12" s="165">
        <v>3</v>
      </c>
      <c r="J12" s="172" t="str">
        <f>IF(ISNA(MATCH(I12,$C$10:$C$27,0)),"",INDEX(B$10:$B$27,MATCH(I12,$C$10:$C$27,0)))</f>
        <v>A3</v>
      </c>
      <c r="K12" s="117" t="str">
        <f>IF(ISNA(MATCH(I12,$E$10:$E$27,0)),"",INDEX($D$10:D$27,MATCH(I12,$E$10:$E$27,0)))</f>
        <v>B3</v>
      </c>
      <c r="L12" s="160" t="str">
        <f>IF(ISNA(MATCH(I12,$G$10:$G$27,0)),"",INDEX($F$10:F$27,MATCH(I12,$G$10:$G$27,0)))</f>
        <v>C3</v>
      </c>
      <c r="M12" s="130"/>
      <c r="N12" s="67">
        <v>2</v>
      </c>
      <c r="O12" s="118" t="str">
        <f>IF($Q$5&gt;=8,J12,0)</f>
        <v>A3</v>
      </c>
      <c r="P12" s="119" t="str">
        <f>IF($Q$5&gt;=10,K12,IF($Q$5=8,L10,IF($Q$5=9,L11,0)))</f>
        <v>B3</v>
      </c>
      <c r="Q12" s="120" t="str">
        <f>IF($Q$5=11,L12,IF($Q$5=12,L12,IF($Q$5=15,L14,IF($Q$5=16,L12,IF($Q$5=17,L12,IF($Q$5=18,L12,IF($Q$5=19,L12,IF($Q$5=20,L12,IF($Q$5=21,L12,IF($Q$5=22,L12,IF($Q$5=23,L12,IF($Q$5=24,L12,IF($Q$5=25,L12,IF($Q$5=26,L12,IF($Q$5=27,L12,IF($Q$5=28,L12,IF($Q$5=29,L12,IF($Q$5=30,L12,IF($Q$5=31,L12,IF($Q$5=32,L12,IF($Q$5=33,L12,IF($Q$5=34,L12,IF($Q$5=35,L12,IF($Q$5=36,L12,IF($Q$5=37,L12,IF($Q$5=38,L12,IF($Q$5=39,L12,IF($Q$5=40,L12,IF($Q$5=41,L12,IF($Q$5=42,L12,IF($Q$5=43,L12,IF($Q$5=44,L12,IF($Q$5=45,L12,IF($Q$5=46,L12,IF($Q$5=47,L12,IF($Q$5=48,L12,IF($Q$5=49,L12,IF($Q$5=50,L12,IF($Q$5=51,L12,IF($Q$5=52,L12,IF($Q$5=53,L12,IF($Q$5=54,L12,0))))))))))))))))))))))))))))))))))))))))))</f>
        <v>C3</v>
      </c>
      <c r="R12" s="135" t="str">
        <f>IF($Q$5=8,J11,IF($Q$5=9,O11,IF($Q$5=10,J10,IF($Q$5=11,J11,IF(Q$5=12,J12,IF($Q$5=13,J10,IF($Q$5=14,J13,IF($Q$5=15,J13,IF($Q$5=16,J13,IF($Q$5=17,J14,IF($Q$5=18,J14,IF($Q$5=19,J12,IF($Q$5=20,J11,IF($Q$5=21,J11,IF($Q$5=22,J13,IF($Q$5=23,J13,IF($Q$5=24,J13,IF($Q$5=25,J13,IF($Q$5=26,J13,IF($Q$5=27,J13,IF($Q$5=28,J13,IF($Q$5=29,J13,IF($Q$5=30,J13,IF($Q$5=31,J13,IF($Q$5=32,J13,IF($Q$5=33,J13,IF($Q$5=34,J13,IF($Q$5=35,J13,IF($Q$5=36,J13,IF($Q$5=37,J13,IF($Q$5=38,J13,IF($Q$5=39,J13,IF($Q$5=40,J13,IF($Q$5=41,J13,IF($Q$5=42,J13,IF($Q$5=43,J13,IF($Q$5=44,J13,IF($Q$5=45,J13,IF($Q$5=46,J13,IF($Q$5=47,J13,IF($Q$5=48,J13,IF($Q$5=49,J13,IF($Q$5=50,C13,IF($Q$5=51,C13,IF($Q$5=52,C13,IF($Q$5=53,O13,IF($Q$5=54,O13,0)))))))))))))))))))))))))))))))))))))))))))))))</f>
        <v>A4</v>
      </c>
      <c r="S12" s="132" t="str">
        <f>IF($Q$5=8,K11,IF($Q$5=9,P10,IF($Q$5=10,K11,IF($Q$5=11,K11,IF($Q$5=12,K11,IF($Q$5=13,K11,IF($Q$5=14,K10,IF($Q$5=15,K11,IF($Q$5=16,K14,IF($Q$5=17,K11,IF($Q$5=18,K11,IF($Q$5=19,K11,IF($Q$5=20,K10,IF($Q$5=21,K11,IF($Q$5=22,K11,IF($Q$5=23,K15,IF($Q$5=24,K10,IF($Q$5=25,K11,IF($Q$5=26,K11,IF($Q$5=27,K11,IF($Q$5=28,K11,IF($Q$5=29,K11,IF($Q$5=30,K11,IF($Q$5=31,K10,IF($Q$5=32,K11,IF($Q$5=33,K11,IF($Q$5=34,K11,IF($Q$5=35,K11,IF($Q$5=36,K14,IF($Q$5=37,K14,IF($Q$5=38,K14,IF($Q$5=39,K14,IF($Q$5=40,K14,IF($Q$5=41,K14,IF($Q$5=42,K14,IF($Q$5=43,K14,IF($Q$5=44,K14,IF($Q$5=45,K14,IF($Q$5=46,K14,IF($Q$5=47,K14,IF($Q$5=48,K14,IF($Q$5=49,K14,IF($Q$5=50,K14,IF($Q$5=51,K14,IF($Q$5=52,K14,IF($Q$5=53,K14,IF($Q$5=54,K14,0)))))))))))))))))))))))))))))))))))))))))))))))</f>
        <v>B2</v>
      </c>
      <c r="T12" s="151" t="str">
        <f>IF($Q$5=11,L10,IF($Q$5=12,L10,IF($Q$5=15,Q12,IF($Q$5=16,L10,IF($Q$5=17,L13,IF($Q$5=18,L15,IF($Q$5=19,P15,IF($Q$5=20,L13,IF($Q$5=21,L13,IF($Q$5=22,L14,IF($Q$5=23,L11,IF($Q$5=24,L11,IF($Q$5=25,P19,IF($Q$5=26,P19,IF($Q$5=27,P19,IF($Q$5=28,L10,IF($Q$5=29,L13,IF($Q$5=30,L14,IF($Q$5=31,L14,IF($Q$5=32,L14,IF($Q$5=33,L14,IF($Q$5=34,L14,IF($Q$5=35,L14,IF($Q$5=36,L15,IF($Q$5=37,L15,IF($Q$5=38,L15,IF($Q$5=39,L15,IF($Q$5=40,L15,IF($Q$5=41,L15,IF($Q$5=42,L15,IF($Q$5=43,L15,IF($Q$5=44,L15,IF($Q$5=45,L15,IF($Q$5=46,L15,IF($Q$5=47,L15,IF($Q$5=48,L15,IF($Q$5=49,L15,IF($Q$5=50,L15,IF($Q$5=51,L15,IF($Q$5=52,L15,IF($Q$5=53,L15,IF($Q$5=54,L15,0))))))))))))))))))))))))))))))))))))))))))</f>
        <v>C5</v>
      </c>
      <c r="U12" s="140" t="str">
        <f>IF($Q$5=8,J10,IF($Q$5=9,O12,IF($Q$5=10,J11,IF($Q$5=11,O10,IF($Q$5=12,O11,IF($Q$5=13,R14,IF(Q$5=14,R13,IF($Q$5=15,R13,IF(Q$5=16,O14,IF($Q$5=17,O13,IF($Q$5=18,R11,IF($Q$5=19,R12,IF($Q$5=20,R12,IF($Q$5=21,O13,IF($Q$5=22,R10,IF($Q$5=23,O13,IF($Q$5=24,O12,IF($Q$5=25,O12,IF($Q$5=26,O12,IF($Q$5=27,O12,IF($Q$5=28,O12,IF($Q$5=29,O12,IF($Q$5=30,O12,IF($Q$5=31,O12,IF($Q$5=32,O12,IF($Q$5=33,O12,IF($Q$5=34,O12,IF($Q$5=35,R11,IF($Q$5=36,O14,IF($Q$5=37,O14,IF($Q$5=38,O14,IF($Q$5=39,O14,IF($Q$5=40,O14,IF($Q$5=41,O14,IF($Q$5=42,O14,IF($Q$5=43,O14,IF($Q$5=44,O14,IF($Q$5=45,O14,IF($Q$5=46,O14,IF($Q$5=47,O14,IF($Q$5=48,O14,IF($Q$5=49,R13,IF($Q$5=50,O14,IF($Q$5=51,O14,IF($Q$5=52,O14,IF($Q$5=53,O14,IF($Q$5=54,O14,0)))))))))))))))))))))))))))))))))))))))))))))))</f>
        <v>A3</v>
      </c>
      <c r="V12" s="132" t="str">
        <f>IF($Q$5=8,L11,IF($Q$5=9,Q10,IF($Q$5=10,L10,IF($Q$5=11,S13,IF($Q$5=12,P10,IF($Q$5=13,S10,IF($Q$5=14,S13,IF($Q$5=15,S11,IF($Q$5=16,S14,IF($Q$5=17,S11,IF($Q$5=18,S11,IF($Q$5=19,S11,IF($Q$5=20,S11,IF($Q$5=21,S11,IF($Q$5=22,S11,IF($Q$5=23,S11,IF($Q$5=24,S11,IF($Q$5=25,S11,IF($Q$5=26,S11,IF($Q$5=27,S11,IF($Q$5=28,S11,IF($Q$5=29,S11,IF($Q$5=30,S10,IF($Q$5=31,S11,IF($Q$5=32,S16,IF($Q$5=33,S16,IF($Q$5=34,S16,IF($Q$5=35,S16,IF($Q$5=36,S14,IF($Q$5=37,S14,IF($Q$5=38,S14,IF($Q$5=39,S14,IF($Q$5=40,S14,IF($Q$5=41,S14,IF($Q$5=42,S14,IF($Q$5=43,S14,IF($Q$5=44,S14,IF($Q$5=45,S14,IF($Q$5=46,S14,IF($Q$5=47,S14,IF($Q$5=48,S14,IF($Q$5=49,S14,IF($Q$5=50,S14,IF($Q$5=51,S14,IF($Q$5=52,S14,IF($Q$5=53,S14,IF($Q$5=54,S14,0)))))))))))))))))))))))))))))))))))))))))))))))</f>
        <v>B4</v>
      </c>
      <c r="W12" s="144" t="str">
        <f>IF($Q$5=11,T12,IF($Q$5=12,T13,IF($Q$5=14,T14,IF($Q$5=15,S15,IF(Q$5=16,T10,IF($Q$5=17,T14,IF($Q$5=18,T14,IF($Q$5=19,S16,IF($Q$5=20,S16,IF($Q$5=21,T14,IF($Q$5=22,T14,IF($Q$5=23,T14,IF($Q$5=24,T14,IF($Q$5=25,S19,IF($Q$5=26,T14,IF($Q$5=27,T14,IF($Q$5=28,T14,IF($Q$5=29,T14,IF($Q$5=30,T14,IF($Q$5=31,T14,IF($Q$5=32,T12,IF($Q$5=33,T12,IF($Q$5=34,T12,IF($Q$5=35,T12,IF($Q$5=36,T15,IF($Q$5=37,T15,IF($Q$5=38,T15,IF($Q$5=39,T15,IF($Q$5=40,T15,IF($Q$5=41,T15,IF($Q$5=42,T15,IF($Q$5=43,T15,IF($Q$5=44,T15,IF($Q$5=45,T15,IF($Q$5=46,T15,IF($Q$5=47,T15,IF($Q$5=48,T15,IF($Q$5=49,T15,IF($Q$5=50,T15,IF($Q$5=51,T15,IF($Q$5=52,T15,IF($Q$5=53,T15,IF($Q$5=54,T15,0)))))))))))))))))))))))))))))))))))))))))))</f>
        <v>C2</v>
      </c>
      <c r="X12" s="18"/>
      <c r="Y12" s="383"/>
      <c r="Z12" s="11" t="str">
        <f>+P10</f>
        <v>B1</v>
      </c>
      <c r="AA12" s="48">
        <f>IF(ISTEXT(Z12),AA11,0)</f>
        <v>5</v>
      </c>
      <c r="AB12" s="48">
        <f>IF(ISTEXT(Z12),AB11,0)</f>
        <v>1</v>
      </c>
      <c r="AC12" s="49">
        <f>IF(ISTEXT(Z12),AC11,0)</f>
        <v>-5</v>
      </c>
      <c r="AD12" s="6"/>
      <c r="AE12" s="11" t="str">
        <f>+S10</f>
        <v>B4</v>
      </c>
      <c r="AF12" s="48">
        <f>IF(ISTEXT(AE12),AF11,0)</f>
        <v>5</v>
      </c>
      <c r="AG12" s="48">
        <f>IF(ISTEXT(AE12),AG11,0)</f>
        <v>1</v>
      </c>
      <c r="AH12" s="50">
        <f>IF(ISTEXT(AE12),AH11,0)</f>
        <v>-3</v>
      </c>
      <c r="AI12" s="6"/>
      <c r="AJ12" s="11" t="str">
        <f>+V10</f>
        <v>B3</v>
      </c>
      <c r="AK12" s="14">
        <f>IF(ISTEXT(AJ12),AK11,0)</f>
        <v>9</v>
      </c>
      <c r="AL12" s="48">
        <f>IF(ISTEXT(AJ12),AL11,0)</f>
        <v>3</v>
      </c>
      <c r="AM12" s="15">
        <f>IF(ISTEXT(AJ12),AM11,0)</f>
        <v>4</v>
      </c>
      <c r="AN12" s="18"/>
      <c r="AO12" s="44">
        <v>4</v>
      </c>
      <c r="AP12" s="278" t="str">
        <f>+Inscrits!B6</f>
        <v>A4</v>
      </c>
      <c r="AQ12" s="247">
        <f t="shared" si="3"/>
        <v>1</v>
      </c>
      <c r="AR12" s="82">
        <f t="shared" si="4"/>
        <v>-4</v>
      </c>
      <c r="AS12" s="184">
        <f t="shared" si="5"/>
        <v>4</v>
      </c>
      <c r="AT12" s="250">
        <f t="shared" si="6"/>
        <v>1</v>
      </c>
      <c r="AU12" s="82">
        <f t="shared" si="7"/>
        <v>-7</v>
      </c>
      <c r="AV12" s="252">
        <f t="shared" si="8"/>
        <v>6</v>
      </c>
      <c r="AW12" s="247">
        <f t="shared" si="9"/>
        <v>1</v>
      </c>
      <c r="AX12" s="82">
        <f t="shared" si="10"/>
        <v>-4</v>
      </c>
      <c r="AY12" s="252">
        <f t="shared" si="11"/>
        <v>5</v>
      </c>
      <c r="AZ12" s="247">
        <f t="shared" si="17"/>
        <v>3</v>
      </c>
      <c r="BA12" s="82">
        <f t="shared" si="12"/>
        <v>-15</v>
      </c>
      <c r="BB12" s="252">
        <f t="shared" si="13"/>
        <v>15</v>
      </c>
      <c r="BC12" s="255">
        <f t="shared" si="14"/>
        <v>-15</v>
      </c>
      <c r="BD12" s="7">
        <f t="shared" si="15"/>
        <v>0</v>
      </c>
      <c r="BE12" s="183">
        <f t="shared" si="16"/>
        <v>26.148500119999998</v>
      </c>
      <c r="BF12" s="82">
        <f>IF(AP12="","",SMALL(BE$9:BE$62,ROWS(AZ$9:AZ12)))</f>
        <v>3.8482003600000003</v>
      </c>
      <c r="BH12" s="250" t="str">
        <f>IF(OR(AP12="",AZ12=""),"",INDEX($AP$9:$AP$63,MATCH(BF12,$BE$9:BE$62,0)))</f>
        <v>B10</v>
      </c>
      <c r="BI12" s="7">
        <f t="shared" si="0"/>
        <v>7</v>
      </c>
      <c r="BJ12" s="7">
        <f t="shared" si="1"/>
        <v>15</v>
      </c>
      <c r="BK12" s="7">
        <f t="shared" si="2"/>
        <v>18</v>
      </c>
      <c r="BL12" s="17">
        <f>IF(BF12="","",IF(AND(BI11=BI12,BJ11=BJ12,BK11=BK12),BL11,$BL$9+3))</f>
        <v>4</v>
      </c>
      <c r="BM12" s="22"/>
      <c r="BN12" s="7"/>
    </row>
    <row r="13" spans="1:66" ht="21.6" thickBot="1" x14ac:dyDescent="0.35">
      <c r="A13" s="111">
        <v>4</v>
      </c>
      <c r="B13" s="330" t="s">
        <v>69</v>
      </c>
      <c r="C13" s="236">
        <f>IF($Q$5=8,0,IF($Q$5=9,0,4))</f>
        <v>4</v>
      </c>
      <c r="D13" s="335" t="s">
        <v>87</v>
      </c>
      <c r="E13" s="235">
        <f>IF($Q$5&gt;=11,4,0)</f>
        <v>4</v>
      </c>
      <c r="F13" s="333" t="s">
        <v>105</v>
      </c>
      <c r="G13" s="235">
        <f>IF($Q$5&gt;=12,4,0)</f>
        <v>4</v>
      </c>
      <c r="H13" s="18"/>
      <c r="I13" s="165">
        <v>4</v>
      </c>
      <c r="J13" s="172" t="str">
        <f>IF(ISNA(MATCH(I13,$C$10:$C$27,0)),"",INDEX(B$10:$B$27,MATCH(I13,$C$10:$C$27,0)))</f>
        <v>A4</v>
      </c>
      <c r="K13" s="117" t="str">
        <f>IF(ISNA(MATCH(I13,$E$10:$E$27,0)),"",INDEX($D$10:D$27,MATCH(I13,$E$10:$E$27,0)))</f>
        <v>B4</v>
      </c>
      <c r="L13" s="160" t="str">
        <f>IF(ISNA(MATCH(I13,$G$10:$G$27,0)),"",INDEX($F$10:F$27,MATCH(I13,$G$10:$G$27,0)))</f>
        <v>C4</v>
      </c>
      <c r="M13" s="130"/>
      <c r="N13" s="42" t="s">
        <v>5</v>
      </c>
      <c r="O13" s="121" t="str">
        <f>IF($Q$5&gt;=10,J13,IF($Q$5=8,K12,IF($Q$5=9,K12,0)))</f>
        <v>A4</v>
      </c>
      <c r="P13" s="122" t="str">
        <f>IF($Q$5=8,L11,IF($Q$5=9,L12,IF($Q$5=10,L12,IF($Q$5=11,K13,IF($Q$5=12,K13,IF($Q$5=13,L11,IF($Q$5=14,K13,IF($Q$5=15,K13,IF($Q$5=16,K13,IF($Q$5=17,K13,IF($Q$5=18,K13,IF($Q$5=19,K13,IF($Q$5=20,K13,IF($Q$5=21,K13,IF(Q$5=22,K13,IF($Q$5=23,K13,IF($Q$5=24,K13,IF($Q$5=25,K13,IF($Q$5=26,K13,IF($Q$5=27,K13,IF($Q$5=28,K13,IF($Q$5=29,K13,IF($Q$5=30,K13,IF($Q$5=31,K13,IF($Q$5=32,K13,IF($Q$5=33,K13,IF($Q$5=34,K13,IF($Q$5=35,K13,IF($Q$5=36,K13,IF($Q$5=37,K13,IF($Q$5=38,K13,IF($Q$5=39,K13,IF($Q$5=40,K13,IF($Q$5=41,K13,IF($Q$5=42,K13,IF($Q$5=43,K13,IF($Q$5=44,K13,IF($Q$5=45,K13,IF($Q$5=46,K13,IF($Q$5=47,K13,IF($Q$5=48,K13,IF($Q$5=49,K13,IF($Q$5=50,K13,IF($Q$5=51,K13,IF($Q$5=52,K13,IF($Q$5=53,K13,IF($Q$5=54,K13,0)))))))))))))))))))))))))))))))))))))))))))))))</f>
        <v>B4</v>
      </c>
      <c r="Q13" s="123" t="str">
        <f>IF($Q$5=12,L13,IF($Q$5=16,L13,IF($Q$5=17,L13,IF($Q$5=18,L13,IF($Q$5=20,L13,IF($Q$5=21,L13,IF($Q$5=22,L13,IF($Q$5=23,L13,IF($Q$5=24,L13,IF($Q$5=25,L13,IF($Q$5=26,L13,IF($Q$5=27,L13,IF($Q$5=28,L13,IF($Q$5=29,L13,IF($Q$5=30,L13,IF($Q$5=31,L13,IF($Q$5=32,L13,IF($Q$5=33,L13,IF($Q$5=34,L13,IF($Q$5=35,L13,IF($Q$5=36,L13,IF($Q$5=37,L13,IF($Q$5=38,L13,IF($Q$5=39,L13,IF($Q$5=40,L13,IF($Q$5=41,L13,IF($Q$5=42,L13,IF($Q$5=43,L13,IF($Q$5=44,L13,IF($Q$5=45,L13,IF($Q$5=46,L13,IF($Q$5=47,L13,IF($Q$5=48,L13,IF($Q$5=49,L13,IF($Q$5=50,L13,IF($Q$5=51,L13,IF($Q$5=52,L13,IF($Q$5=53,L13,IF($Q$5=54,L13,0)))))))))))))))))))))))))))))))))))))))</f>
        <v>C4</v>
      </c>
      <c r="R13" s="136" t="str">
        <f>IF($Q$5=8,J12,IF($Q$5=9,O12,IF($Q$5=10,J11,IF($Q$5=11,J13,IF($Q$5=12,J11,IF($Q$5=13,J14,IF($Q$5=14,J14,IF($Q$5=15,J14,IF($Q$5=16,J14,IF($Q$5=17,J13,IF($Q$5=18,J11,IF($Q$5=19,J10,IF($Q$5=20,J13,IF($Q$5=21,J14,IF($Q$5=22,J14,IF($Q$5=23,J14,IF($Q$5=24,J14,IF($Q$5=25,J14,IF($Q$5=26,J14,IF($Q$5=27,J14,IF($Q$5=28,J14,IF($Q$5=29,J14,IF($Q$5=30,J14,IF($Q$5=31,J14,IF($Q$5=32,J14,IF($Q$5=33,J14,IF($Q$5=34,J14,IF($Q$5=35,J14,IF($Q$5=36,J14,IF($Q$5=37,J14,IF($Q$5=38,J14,IF($Q$5=39,J14,IF($Q$5=40,J14,IF($Q$5=41,J14,IF($Q$5=42,J14,IF($Q$5=43,J14,IF($Q$5=44,J14,IF($Q$5=45,J14,IF($Q$5=46,J14,IF($Q$5=47,J14,IF($Q$5=48,J14,IF($Q$5=49,J14,IF($Q$5=50,J14,IF($Q$5=51,J14,IF($Q$5=52,J14,IF($Q$5=53,J14,IF($Q$5=54,J14,0)))))))))))))))))))))))))))))))))))))))))))))))</f>
        <v>A5</v>
      </c>
      <c r="S13" s="137" t="str">
        <f>IF($Q$5=8,K10,IF($Q$5=9,Q10,IF($Q$5=10,K12,IF($Q$5=11,K12,IF($Q$5=12,K10,IF($Q$5=13,K12,IF($Q$5=14,K11,IF($Q$5=15,P12,IF($Q$5=16,K10,IF($Q$5=17,K12,IF($Q$5=18,K12,IF($Q$5=19,K12,IF($Q$5=20,K12,IF($Q$5=21,K12,IF($Q$5=22,K12,IF($Q$5=23,K16,IF($Q$5=24,K12,IF($Q$5=25,K12,IF($Q$5=26,K12,IF($Q$5=27,K12,IF($Q$5=28,K12,IF($Q$5=29,K12,IF($Q$5=30,K12,IF($Q$5=31,K12,IF($Q$5=32,K12,IF($Q$5=33,K12,IF($Q$5=34,K12,IF($Q$5=35,K12,IF($Q$5=36,K15,IF($Q$5=37,K15,IF($Q$5=38,K15,IF($Q$5=39,K15,IF($Q$5=40,K15,IF($Q$5=41,K15,IF($Q$5=42,K15,IF($Q$5=43,K15,IF($Q$5=44,K15,IF($Q$5=45,K15,IF($Q$5=46,K15,IF($Q$5=47,K15,IF($Q$5=48,K15,IF($Q$5=49,K15,IF($Q$5=50,K15,IF($Q$5=51,K15,IF($Q$5=52,K15,IF($Q$5=53,K15,IF($Q$5=54,K15,0)))))))))))))))))))))))))))))))))))))))))))))))</f>
        <v>B3</v>
      </c>
      <c r="T13" s="153" t="str">
        <f>IF($Q$5=12,L13,IF($Q$5=16,L11,IF($Q$5=17,L14,IF($Q$5=18,L14,IF($Q$5=19,0,IF($Q$5=20,P16,IF($Q$5=21,L14,IF($Q$5=22,L15,IF($Q$5=23,L16,IF($Q$5=24,L15,IF($Q$5=25,L14,IF($Q$5=26,L14,IF($Q$5=27,L14,IF($Q$5=28,L14,IF($Q$5=29,L14,IF($Q$5=30,L15,IF($Q$5=31,L11,IF($Q$5=32,L13,IF($Q$5=33,L13,IF($Q$5=34,L13,IF($Q$5=35,L13,IF($Q$5=36,L16,IF($Q$5=37,L16,IF($Q$5=38,L16,IF($Q$5=39,L16,IF($Q$5=40,L16,IF($Q$5=41,L16,IF($Q$5=42,L16,IF($Q$5=43,L16,IF($Q$5=44,L16,IF($Q$5=45,L16,IF($Q$5=46,L16,IF($Q$5=47,L16,IF($Q$5=48,L16,IF($Q$5=49,L16,IF($Q$5=50,L16,IF($Q$5=51,L16,IF($Q$5=52,L16,IF($Q$5=53,L16,IF($Q$5=54,L16,0))))))))))))))))))))))))))))))))))))))))</f>
        <v>C6</v>
      </c>
      <c r="U13" s="156" t="str">
        <f>IF($Q$5=8,K12,IF($Q$5=9,R10,IF($Q$5=10,J12,IF($Q$5=11,O12,IF($Q$5=12,O13,IF($Q$5=13,R13,IF($Q$5=14,R14,IF($Q$5=15,R14,IF(Q$5=16,O15,IF($Q$5=17,R11,IF($Q$5=18,O14,IF($Q$5=19,R11,IF($Q$5=20,R11,IF($Q$5=21,R12,IF($Q$5=22,O13,IF($Q$5=23,R14,IF($Q$5=24,O14,IF($Q$5=25,R13,IF($Q$5=26,O14,IF($Q$5=27,O14,IF($Q$5=28,O14,IF($Q$5=29,O14,IF($Q$5=30,O14,IF($Q$5=31,O14,IF($Q$5=32,O14,IF($Q$5=33,O14,IF($Q$5=34,O14,IF($Q$5=35,R13,IF($Q$5=36,O15,IF($Q$5=37,O15,IF($Q$5=38,O15,IF($Q$5=39,O15,IF($Q$5=40,O15,IF($Q$5=41,O15,IF($Q$5=42,O15,IF($Q$5=43,O15,IF($Q$5=44,O15,IF($Q$5=45,O15,IF($Q$5=46,O15,IF($Q$5=47,O15,IF($Q$5=48,O15,IF($Q$5=49,R14,IF($Q$5=50,O15,IF($Q$5=51,O15,IF($Q$5=52,O15,IF($Q$5=53,O15,IF($Q$5=54,O15,0)))))))))))))))))))))))))))))))))))))))))))))))</f>
        <v>A5</v>
      </c>
      <c r="V13" s="137" t="str">
        <f>IF($Q$5=8,K11,IF($Q$5=9,S11,IF($Q$5=10,K11,IF($Q$5=11,S11,IF($Q$5=12,S12,IF($Q$5=13,S14,IF($Q$5=14,S11,IF($Q$5=15,S12,IF($Q$5=16,S13,IF($Q$5=17,S14,IF($Q$5=18,S14,IF($Q$5=19,S12,IF($Q$5=20,S14,IF($Q$5=21,S14,IF($Q$5=22,S14,IF($Q$5=23,S14,IF($Q$5=24,S14,IF($Q$5=25,S14,IF($Q$5=26,S14,IF($Q$5=27,S14,IF($Q$5=28,S14,IF($Q$5=29,S16,IF($Q$5=30,S14,IF($Q$5=31,S14,IF($Q$5=32,S17,IF($Q$5=33,S17,IF($Q$5=34,S17,IF($Q$5=35,S17,IF($Q$5=36,S15,IF($Q$5=37,S15,IF($Q$5=38,S15,IF($Q$5=39,S15,IF($Q$5=40,S15,IF($Q$5=41,S15,IF($Q$5=42,S15,IF($Q$5=43,S15,IF($Q$5=44,S15,IF($Q$5=45,S15,IF($Q$5=46,S15,IF($Q$5=47,S15,IF($Q$5=48,S15,IF($Q$5=49,S15,IF($Q$5=50,S15,IF($Q$5=51,S15,IF($Q$5=52,S15,IF($Q$5=53,S15,IF($Q$5=54,S15,0)))))))))))))))))))))))))))))))))))))))))))))))</f>
        <v>B6</v>
      </c>
      <c r="W13" s="146" t="str">
        <f>IF($Q$5=12,T10,IF($Q$5=16,T13,IF($Q$5=17,T11,IF($Q$5=18,T15,IF($Q$5=20,T13,IF($Q$5=21,T11,IF($Q$5=22,T15,IF($Q$5=23,T15,IF($Q$5=24,T15,IF($Q$5=25,T14,IF($Q$5=26,T15,IF($Q$5=27,T15,IF($Q$5=28,T15,IF($Q$5=29,T15,IF($Q$5=30,T15,IF($Q$5=31,T15,IF($Q$5=32,T14,IF($Q$5=33,T14,IF($Q$5=34,T14,IF($Q$5=35,T14,IF($Q$5=36,T16,IF($Q$5=37,T16,IF($Q$5=38,T16,IF($Q$5=39,T16,IF($Q$5=40,T16,IF($Q$5=41,T16,IF($Q$5=42,T16,IF($Q$5=43,T16,IF($Q$5=44,T16,IF($Q$5=45,T16,IF($Q$5=46,T16,IF($Q$5=47,T16,IF($Q$5=48,T16,IF($Q$5=49,T16,IF($Q$5=50,T16,IF($Q$5=51,T16,IF($Q$5=52,T16,IF($Q$5=53,T16,IF($Q$5=54,T16,0)))))))))))))))))))))))))))))))))))))))</f>
        <v>C7</v>
      </c>
      <c r="X13" s="18"/>
      <c r="Y13" s="383"/>
      <c r="Z13" s="11" t="str">
        <f>+Q10</f>
        <v>C1</v>
      </c>
      <c r="AA13" s="51">
        <f>IF(ISTEXT(Z13),AA11,0)</f>
        <v>5</v>
      </c>
      <c r="AB13" s="52">
        <f>IF(ISTEXT(Z13),AB11,0)</f>
        <v>1</v>
      </c>
      <c r="AC13" s="53">
        <f>IF(ISTEXT(Z13),AC11,0)</f>
        <v>-5</v>
      </c>
      <c r="AD13" s="6"/>
      <c r="AE13" s="11" t="str">
        <f>+T10</f>
        <v>C3</v>
      </c>
      <c r="AF13" s="51">
        <f>IF(ISTEXT(AE13),AF11,0)</f>
        <v>5</v>
      </c>
      <c r="AG13" s="52">
        <f>IF(ISTEXT(AE13),AG11,0)</f>
        <v>1</v>
      </c>
      <c r="AH13" s="54">
        <f>IF(ISTEXT(AE13),AH11,0)</f>
        <v>-3</v>
      </c>
      <c r="AI13" s="6"/>
      <c r="AJ13" s="11" t="str">
        <f>+W10</f>
        <v>C5</v>
      </c>
      <c r="AK13" s="55">
        <f>IF(ISTEXT(AJ13),AK11,0)</f>
        <v>9</v>
      </c>
      <c r="AL13" s="52">
        <f>IF(ISTEXT(AJ13),AL11,0)</f>
        <v>3</v>
      </c>
      <c r="AM13" s="56">
        <f>IF(ISTEXT(AJ13),AM11,0)</f>
        <v>4</v>
      </c>
      <c r="AN13" s="18"/>
      <c r="AO13" s="44">
        <v>5</v>
      </c>
      <c r="AP13" s="278" t="str">
        <f>+Inscrits!B7</f>
        <v>A5</v>
      </c>
      <c r="AQ13" s="247">
        <f t="shared" si="3"/>
        <v>1</v>
      </c>
      <c r="AR13" s="82">
        <f t="shared" si="4"/>
        <v>-10</v>
      </c>
      <c r="AS13" s="184">
        <f t="shared" si="5"/>
        <v>3</v>
      </c>
      <c r="AT13" s="250">
        <f t="shared" si="6"/>
        <v>3</v>
      </c>
      <c r="AU13" s="82">
        <f t="shared" si="7"/>
        <v>7</v>
      </c>
      <c r="AV13" s="252">
        <f t="shared" si="8"/>
        <v>13</v>
      </c>
      <c r="AW13" s="247">
        <f t="shared" si="9"/>
        <v>3</v>
      </c>
      <c r="AX13" s="82">
        <f t="shared" si="10"/>
        <v>3</v>
      </c>
      <c r="AY13" s="252">
        <f t="shared" si="11"/>
        <v>13</v>
      </c>
      <c r="AZ13" s="247">
        <f t="shared" si="17"/>
        <v>7</v>
      </c>
      <c r="BA13" s="82">
        <f t="shared" si="12"/>
        <v>0</v>
      </c>
      <c r="BB13" s="252">
        <f t="shared" si="13"/>
        <v>29</v>
      </c>
      <c r="BC13" s="255">
        <f t="shared" si="14"/>
        <v>0</v>
      </c>
      <c r="BD13" s="7">
        <f t="shared" si="15"/>
        <v>0</v>
      </c>
      <c r="BE13" s="183">
        <f t="shared" si="16"/>
        <v>3.9971001300000002</v>
      </c>
      <c r="BF13" s="82">
        <f>IF(AP13="","",SMALL(BE$9:BE$62,ROWS(AZ$9:AZ13)))</f>
        <v>3.8669005000000003</v>
      </c>
      <c r="BH13" s="250" t="str">
        <f>IF(OR(AP13="",AZ13=""),"",INDEX($AP$9:$AP$63,MATCH(BF13,$BE$9:BE$62,0)))</f>
        <v>C6</v>
      </c>
      <c r="BI13" s="7">
        <f t="shared" si="0"/>
        <v>7</v>
      </c>
      <c r="BJ13" s="7">
        <f t="shared" si="1"/>
        <v>13</v>
      </c>
      <c r="BK13" s="7">
        <f t="shared" si="2"/>
        <v>31</v>
      </c>
      <c r="BL13" s="17">
        <f>IF(BF13="","",IF(AND(BI12=BI13,BJ12=BJ13,BK12=BK13),BL12,$BL$9+4))</f>
        <v>5</v>
      </c>
      <c r="BM13" s="22"/>
      <c r="BN13" s="7"/>
    </row>
    <row r="14" spans="1:66" ht="21" x14ac:dyDescent="0.3">
      <c r="A14" s="111">
        <v>5</v>
      </c>
      <c r="B14" s="330" t="s">
        <v>70</v>
      </c>
      <c r="C14" s="235">
        <f>IF($Q$5&gt;=13,5,0)</f>
        <v>5</v>
      </c>
      <c r="D14" s="335" t="s">
        <v>88</v>
      </c>
      <c r="E14" s="235">
        <f>IF($Q$5&gt;=14,5,0)</f>
        <v>5</v>
      </c>
      <c r="F14" s="333" t="s">
        <v>106</v>
      </c>
      <c r="G14" s="235">
        <f>IF($Q$5&gt;=15,5,0)</f>
        <v>5</v>
      </c>
      <c r="H14" s="18"/>
      <c r="I14" s="165">
        <v>5</v>
      </c>
      <c r="J14" s="172" t="str">
        <f>IF(ISNA(MATCH(I14,$C$10:$C$27,0)),"",INDEX(B$10:$B$27,MATCH(I14,$C$10:$C$27,0)))</f>
        <v>A5</v>
      </c>
      <c r="K14" s="117" t="str">
        <f>IF(ISNA(MATCH(I14,$E$10:$E$27,0)),"",INDEX($D$10:D$27,MATCH(I14,$E$10:$E$27,0)))</f>
        <v>B5</v>
      </c>
      <c r="L14" s="160" t="str">
        <f>IF(ISNA(MATCH(I14,$G$10:$G$27,0)),"",INDEX($F$10:F$27,MATCH(I14,$G$10:$G$27,0)))</f>
        <v>C5</v>
      </c>
      <c r="M14" s="130"/>
      <c r="N14" s="67">
        <v>3</v>
      </c>
      <c r="O14" s="118" t="str">
        <f>IF($Q$5=13,J14,IF($Q$5=14,J14,IF($Q$5=15,J14,IF($Q$5=16,J14,IF($Q$5=17,J14,IF($Q$5=18,J14,IF($Q$5=19,J14,IF($Q$5=20,J14,IF($Q$5=21,J14,IF($Q$5=22,J14,IF($Q$5=23,J14,IF($Q$5=24,J14,IF($Q$5=25,J14,IF($Q$5=26,J14,IF($Q$5=27,J14,IF($Q$5=28,J14,IF($Q$5=29,J14,IF($Q$5=29,J14,IF($Q$5=30,J14,IF($Q$5=31,J14,IF($Q$5=32,J14,IF($Q$5=33,J14,IF($Q$5=34,J14,IF($Q$5=35,J14,IF($Q$5=36,J14,IF($Q$5=37,J14,IF($Q$5=38,J14,IF($Q$5=39,J14,IF($Q$5=40,J14,IF($Q$5=41,J14,IF($Q$5=42,J14,IF($Q$5=43,J14,IF($Q$5=44,J14,IF($Q$5=45,J14,IF($Q$5=46,J14,IF($Q$5=47,J14,IF($Q$5=48,J14,IF($Q$5=49,J14,IF($Q$5=50,J14,IF($Q$5=51,J14,IF($Q$5=52,J14,IF($Q$5=53,J14,IF($Q$5=54,J14,0)))))))))))))))))))))))))))))))))))))))))))</f>
        <v>A5</v>
      </c>
      <c r="P14" s="119" t="str">
        <f>IF($Q$5=13,L12,IF($Q$5=14,L12,IF($Q$5=15,L12,IF($Q$5=16,K14,IF($Q$5=17,K14,IF($Q$5=18,K14,IF($Q$5=19,K14,IF($Q$5=20,K14,IF($Q$5=21,K14,IF($Q$5=22,K14,IF($Q$5=23,K14,IF($Q$5=24,K14,IF($Q$5=25,K14,IF($Q$5=26,K14,IF($Q$5=27,K14,IF($Q$5=28,K14,IF($Q$5=29,K14,IF($Q$5=30,K14,IF($Q$5=31,K14,IF($Q$5=32,K14,IF($Q$5=33,K14,IF($Q$5=34,K14,IF($Q$5=35,K14,IF($Q$5=36,K14,IF($Q$5=37,K14,IF($Q$5=38,K14,IF($Q$5=39,K14,IF($Q$5=40,K14,IF($Q$5=41,K14,IF($Q$5=42,K14,IF($Q$5=43,K14,IF($Q$5=44,K14,IF($Q$5=45,K14,IF($Q$5=46,K14,IF($Q$5=47,K14,IF($Q$5=48,K14,IF($Q$5=49,K14,IF($Q$5=50,K14,IF($Q$5=51,K14,IF($Q$5=52,K14,IF($Q$5=53,K14,IF($Q$5=54,K14,0))))))))))))))))))))))))))))))))))))))))))</f>
        <v>B5</v>
      </c>
      <c r="Q14" s="120" t="str">
        <f>IF($Q$5=17,L14,IF($Q$5=18,L14,IF($Q$5=21,L14,IF($Q$5=22,L14,IF($Q$5=23,L14,IF($Q$5=24,L14,IF($Q$5=25,L14,IF($Q$5=26,L14,IF($Q$5=27,L14,IF($Q$5=28,L14,IF($Q$5=29,L14,IF($Q$5=30,L14,IF($Q$5=31,L14,IF($Q$5=32,L14,IF($Q$5=33,L14,IF($Q$5=34,L14,IF($Q$5=35,L14,IF($Q$5=36,L14,IF($Q$5=37,L14,IF($Q$5=38,L14,IF($Q$5=39,L14,IF($Q$5=40,L14,IF($Q$5=41,L14,IF($Q$5=42,L14,IF($Q$5=43,L14,IF($Q$5=44,L14,IF($Q$5=45,L14,IF($Q$5=46,L14,IF($Q$5=47,L14,IF($Q$5=48,L14,IF($Q$5=49,L14,IF($Q$5=50,L14,IF($Q$5=51,L14,IF($Q$5=52,L14,IF($Q$5=53,L14,IF($Q$5=54,L14,0))))))))))))))))))))))))))))))))))))</f>
        <v>C5</v>
      </c>
      <c r="R14" s="135" t="str">
        <f>IF($Q$5=13,J13,IF($Q$5=14,J10,IF($Q$5=15,J10,IF($Q$5=16,J15,IF($Q$5=17,J11,IF($Q$5=18,J13,IF($Q$5=19,J14,IF($Q$5=20,J14,IF($Q$5=21,J13,IF($Q$5=22,J15,IF($Q$5=23,J15,IF($Q$5=24,J15,IF($Q$5=25,J15,IF($Q$5=26,J15,IF($Q$5=27,J15,IF($Q$5=28,J15,IF($Q$5=29,J15,IF($Q$5=30,J15,IF($Q$5=31,J15,IF($Q$5=32,J15,IF($Q$5=33,J15,IF($Q$5=34,J15,IF($Q$5=35,J15,IF($Q$5=36,J15,IF($Q$5=37,J15,IF($Q$5=38,J15,IF($Q$5=39,J15,IF($Q$5=40,J15,IF($Q$5=41,J15,IF($Q$5=42,J15,IF($Q$5=43,J15,IF($Q$5=44,J15,IF($Q$5=45,J15,IF($Q$5=46,J15,IF($Q$5=47,J15,IF($Q$5=48,J15,IF($Q$5=49,J15,IF($Q$5=50,J15,IF($Q$5=51,J15,IF($Q$5=52,J15,IF($Q$5=53,J15,IF($Q$5=54,J15,0))))))))))))))))))))))))))))))))))))))))))</f>
        <v>A6</v>
      </c>
      <c r="S14" s="138" t="str">
        <f>IF($Q$5=13,P14,IF($Q$5=14,L11,IF($Q$5=15,L10,IF($Q$5=16,K11,IF($Q$5=17,K15,IF($Q$5=18,K15,IF($Q$5=19,P10,IF($Q$5=20,K11,IF($Q$5=21,K15,IF($Q$5=22,K15,IF($Q$5=23,D17,IF($Q$5=24,K17,IF($Q$5=25,K16,IF($Q$5=26,K17,IF($Q$5=27,K15,IF($Q$5=28,K17,IF($Q$5=29,K15,IF($Q$5=30,K15,IF($Q$5=31,K17,IF($Q$5=32,K17,IF($Q$5=33,K17,IF($Q$5=34,K17,IF($Q$5=35,K17,IF($Q$5=36,K16,IF($Q$5=37,K16,IF($Q$5=38,K16,IF($Q$5=39,K16,IF($Q$5=40,K16,IF($Q$5=41,K16,IF($Q$5=42,K16,IF($Q$5=43,K16,IF($Q$5=44,K16,IF($Q$5=45,K16,IF($Q$5=46,K16,IF($Q$5=47,K16,IF($Q$5=48,K16,IF($Q$5=49,K16,IF($Q$5=50,K16,IF($Q$5=51,K16,IF($Q$5=52,K16,IF($Q$5=53,K16,IF($Q$5=54,K16,0))))))))))))))))))))))))))))))))))))))))))</f>
        <v>B6</v>
      </c>
      <c r="T14" s="154" t="str">
        <f>IF($Q$5=17,L10,IF($Q$5=18,L11,IF($Q$5=20,0,IF($Q$5=21,P16,IF($Q$5=22,P17,IF($Q$5=23,L15,IF($Q$5=24,L14,IF($Q$5=25,P17,IF($Q$5=26,L15,IF($Q$5=27,L15,IF($Q$5=28,L15,IF($Q$5=29,L15,IF($Q$5=30,L11,IF($Q$5=31,L16,IF($Q$5=32,L16,IF($Q$5=33,L16,IF($Q$5=34,L16,IF($Q$5=35,L16,IF($Q$5=36,L17,IF($Q$5=37,L17,IF($Q$5=38,L17,IF($Q$5=39,L17,IF($Q$5=40,L17,IF($Q$5=41,L17,IF($Q$5=42,L17,IF($Q$5=43,L17,IF($Q$5=44,L17,IF($Q$5=45,L17,IF($Q$5=46,L17,IF($Q$5=47,L17,IF($Q$5=48,L17,IF($Q$5=49,L17,IF($Q$5=50,L17,IF($Q$5=51,L17,IF($Q$5=52,L17,IF($Q$5=53,L17,IF($Q$5=54,L17,0)))))))))))))))))))))))))))))))))))))</f>
        <v>C2</v>
      </c>
      <c r="U14" s="135" t="str">
        <f>IF($Q$5=13,R10,IF($Q$5=14,R10,IF($Q$5=15,O11,IF($Q$5=16,O13,IF($Q$5=17,O11,IF($Q$5=18,R13,IF($Q$5=19,R10,IF($Q$5=20,R14,IF($Q$5=21,R11,IF($Q$5=22,O14,IF($Q$5=23,R17,IF($Q$5=24,R10,IF($Q$5=25,R10,IF($Q$5=26,O11,IF($Q$5=27,O11,IF($Q$5=28,R10,IF($Q$5=29,O11,IF($Q$5=30,R10,IF($Q$5=31,O15,IF($Q$5=32,O15,IF($Q$5=33,O15,IF($Q$5=34,O15,IF($Q$5=35,O15,IF($Q$5=36,O16,IF($Q$5=37,O16,IF($Q$5=38,O16,IF($Q$5=39,O16,IF($Q$5=40,O16,IF($Q$5=41,O16,IF($Q$5=42,O16,IF($Q$5=43,O16,IF($Q$5=44,O16,IF($Q$5=45,O16,IF($Q$5=46,O16,IF($Q$5=47,O16,IF($Q$5=48,O16,IF($Q$5=49,R15,IF($Q$5=50,O16,IF($Q$5=51,O16,IF($Q$5=52,O16,IF($Q$5=53,O16,IF($Q$5=54,O16,0))))))))))))))))))))))))))))))))))))))))))</f>
        <v>A2</v>
      </c>
      <c r="V14" s="132" t="str">
        <f>IF($Q$5=13,T10,IF($Q$5=14,P14,IF($Q$5=15,S13,IF($Q$5=16,S12,IF($Q$5=17,S15,IF($Q$5=18,S15,IF($Q$5=19,S13,IF($Q$5=20,S15,IF($Q$5=21,S10,IF($Q$5=22,S15,IF($Q$5=23,S17,IF($Q$5=24,S15,IF($Q$5=25,S15,IF($Q$5=26,S15,IF($Q$5=27,S15,IF($Q$5=28,S15,IF($Q$5=29,S15,IF($Q$5=30,S15,IF($Q$5=31,T11,IF($Q$5=32,S15,IF($Q$5=33,S15,IF($Q$5=34,S15,IF($Q$5=35,S15,IF($Q$5=36,S16,IF($Q$5=37,S16,IF($Q$5=38,S16,IF($Q$5=39,S16,IF($Q$5=40,S16,IF($Q$5=41,S16,IF($Q$5=42,S16,IF($Q$5=43,S16,IF($Q$5=44,S16,IF($Q$5=45,S16,IF($Q$5=46,S16,IF($Q$5=47,S16,IF($Q$5=48,S16,IF($Q$5=49,S16,IF($Q$5=50,S16,IF($Q$5=51,S16,IF($Q$5=52,S16,IF($Q$5=53,S16,IF($Q$5=54,S16,0))))))))))))))))))))))))))))))))))))))))))</f>
        <v>B7</v>
      </c>
      <c r="W14" s="144" t="str">
        <f>IF($Q$5=17,T10,IF($Q$5=18,T11,IF($Q$5=21,T13,IF($Q$5=22,T11,IF($Q$5=23,T11,IF($Q$5=24,T16,IF($Q$5=25,S17,IF($Q$5=26,S17,IF($Q$5=27,T16,IF($Q$5=28,T16,IF($Q$5=29,T16,IF($Q$5=30,T16,IF($Q$5=31,S19,IF($Q$5=32,T15,IF($Q$5=33,T15,IF($Q$5=34,T18,IF($Q$5=35,T20,IF($Q$5=36,T17,IF($Q$5=37,T17,IF($Q$5=38,T17,IF($Q$5=39,T17,IF($Q$5=40,T17,IF($Q$5=41,T17,IF($Q$5=42,T17,IF($Q$5=43,T17,IF($Q$5=44,T17,IF($Q$5=45,T17,IF($Q$5=46,T17,IF($Q$5=47,T17,IF($Q$5=48,T17,IF($Q$5=49,T17,IF($Q$5=50,T17,IF($Q$5=51,T17,IF($Q$5=52,T17,IF($Q$5=53,T17,IF($Q$5=54,T17,0))))))))))))))))))))))))))))))))))))</f>
        <v>C8</v>
      </c>
      <c r="X14" s="18"/>
      <c r="Y14" s="383"/>
      <c r="Z14" s="24"/>
      <c r="AA14" s="16" t="s">
        <v>5</v>
      </c>
      <c r="AB14" s="16"/>
      <c r="AC14" s="17"/>
      <c r="AD14" s="1"/>
      <c r="AE14" s="24"/>
      <c r="AF14" s="16" t="s">
        <v>5</v>
      </c>
      <c r="AG14" s="16"/>
      <c r="AH14" s="17"/>
      <c r="AI14" s="1"/>
      <c r="AJ14" s="24"/>
      <c r="AK14" s="16" t="s">
        <v>5</v>
      </c>
      <c r="AL14" s="16"/>
      <c r="AM14" s="17"/>
      <c r="AN14" s="18"/>
      <c r="AO14" s="44">
        <v>6</v>
      </c>
      <c r="AP14" s="278" t="str">
        <f>+Inscrits!B8</f>
        <v>A6</v>
      </c>
      <c r="AQ14" s="247">
        <f t="shared" si="3"/>
        <v>3</v>
      </c>
      <c r="AR14" s="82">
        <f t="shared" si="4"/>
        <v>10</v>
      </c>
      <c r="AS14" s="184">
        <f t="shared" si="5"/>
        <v>13</v>
      </c>
      <c r="AT14" s="250">
        <f t="shared" si="6"/>
        <v>3</v>
      </c>
      <c r="AU14" s="82">
        <f t="shared" si="7"/>
        <v>6</v>
      </c>
      <c r="AV14" s="252">
        <f t="shared" si="8"/>
        <v>11</v>
      </c>
      <c r="AW14" s="247">
        <f t="shared" si="9"/>
        <v>1</v>
      </c>
      <c r="AX14" s="82">
        <f t="shared" si="10"/>
        <v>-7</v>
      </c>
      <c r="AY14" s="252">
        <f t="shared" si="11"/>
        <v>1</v>
      </c>
      <c r="AZ14" s="247">
        <f t="shared" si="17"/>
        <v>7</v>
      </c>
      <c r="BA14" s="82">
        <f t="shared" si="12"/>
        <v>9</v>
      </c>
      <c r="BB14" s="252">
        <f t="shared" si="13"/>
        <v>25</v>
      </c>
      <c r="BC14" s="255">
        <f t="shared" si="14"/>
        <v>0</v>
      </c>
      <c r="BD14" s="7">
        <f t="shared" si="15"/>
        <v>9</v>
      </c>
      <c r="BE14" s="183">
        <f t="shared" si="16"/>
        <v>3.9075001400000002</v>
      </c>
      <c r="BF14" s="82">
        <f>IF(AP14="","",SMALL(BE$9:BE$62,ROWS(AZ$9:AZ14)))</f>
        <v>3.9075001400000002</v>
      </c>
      <c r="BH14" s="250" t="str">
        <f>IF(OR(AP14="",AZ14=""),"",INDEX($AP$9:$AP$63,MATCH(BF14,$BE$9:BE$62,0)))</f>
        <v>A6</v>
      </c>
      <c r="BI14" s="7">
        <f t="shared" si="0"/>
        <v>7</v>
      </c>
      <c r="BJ14" s="7">
        <f t="shared" si="1"/>
        <v>9</v>
      </c>
      <c r="BK14" s="7">
        <f t="shared" si="2"/>
        <v>25</v>
      </c>
      <c r="BL14" s="17">
        <f>IF(BF14="","",IF(AND(BI13=BI14,BJ13=BJ14,BK13=BK14),BL13,$BL$9+5))</f>
        <v>6</v>
      </c>
      <c r="BM14" s="22"/>
      <c r="BN14" s="7"/>
    </row>
    <row r="15" spans="1:66" ht="21.6" thickBot="1" x14ac:dyDescent="0.35">
      <c r="A15" s="111">
        <v>6</v>
      </c>
      <c r="B15" s="330" t="s">
        <v>71</v>
      </c>
      <c r="C15" s="235">
        <f>IF($Q$5&gt;=16,6,0)</f>
        <v>6</v>
      </c>
      <c r="D15" s="335" t="s">
        <v>89</v>
      </c>
      <c r="E15" s="235">
        <f>IF($Q$5&gt;=17,6,0)</f>
        <v>6</v>
      </c>
      <c r="F15" s="333" t="s">
        <v>107</v>
      </c>
      <c r="G15" s="235">
        <f>IF($Q$5&gt;=18,6,0)</f>
        <v>6</v>
      </c>
      <c r="H15" s="18"/>
      <c r="I15" s="165">
        <v>6</v>
      </c>
      <c r="J15" s="172" t="str">
        <f>IF(ISNA(MATCH(I15,$C$10:$C$27,0)),"",INDEX(B$10:$B$27,MATCH(I15,$C$10:$C$27,0)))</f>
        <v>A6</v>
      </c>
      <c r="K15" s="117" t="str">
        <f>IF(ISNA(MATCH(I15,$E$10:$E$27,0)),"",INDEX($D$10:D$27,MATCH(I15,$E$10:$E$27,0)))</f>
        <v>B6</v>
      </c>
      <c r="L15" s="160" t="str">
        <f>IF(ISNA(MATCH(I15,$G$10:$G$27,0)),"",INDEX($F$10:F$27,MATCH(I15,$G$10:$G$27,0)))</f>
        <v>C6</v>
      </c>
      <c r="M15" s="130"/>
      <c r="N15" s="42" t="s">
        <v>5</v>
      </c>
      <c r="O15" s="121" t="str">
        <f>IF($Q$5=13,K13,IF($Q$5=14,K14,IF($Q$5=15,K14,IF($Q$5=16,J15,IF($Q$5=17,J15,IF($Q5=18,J15,IF($Q$5=19,J15,IF($Q$5=20,J15,IF($Q$5=21,J15,IF($Q$5=22,J15,IF($Q$5=23,J15,IF($Q$5=24,J15,IF($Q$5=25,J15,IF($Q$5=26,J15,IF($Q$5=27,J15,IF($Q$5=28,J15,IF($Q$5=29,J15,IF($Q$5=30,J15,IF($Q$5=31,J15,IF($Q$5=32,J15,IF($Q$5=33,J15,IF($Q$5=34,J15,IF($Q$5=35,J15,IF($Q$5=36,J15,IF($Q$5=37,J15,IF($Q$5=38,J15,IF($Q$5=39,J15,IF($Q$5=40,J15,IF($Q$5=41,J15,IF($Q$5=42,J15,IF($Q$5=43,J15,IF($Q$5=44,J15,IF($Q$5=45,J15,IF($Q$5=46,J15,IF($Q$5=47,J15,IF($Q$5=48,J15,IF($Q$5=49,J15,IF($Q$5=50,J15,IF($Q$5=51,J15,IF($Q$5=52,J15,IF($Q$5=53,J15,IF($Q$5=54,J15,0))))))))))))))))))))))))))))))))))))))))))</f>
        <v>A6</v>
      </c>
      <c r="P15" s="122" t="str">
        <f>IF($Q$5=13,L13,IF($Q$5=14,L13,IF($Q$5=15,L13,IF($Q$5=16,L14,IF($Q$5=17,K15,IF($Q$5=18,K15,IF($Q$5=19,L13,IF($Q$5=20,K15,IF($Q$5=21,K15,IF($Q$5=22,K15,IF($Q$5=23,K15,IF($Q$5=24,K15,IF($Q$5=25,K15,IF($Q$5=26,K15,IF($Q$5=27,K15,IF($Q$5=28,K15,IF($Q$5=29,K15,IF($Q$5=30,K15,IF($Q$5=31,K15,IF($Q$5=32,K15,IF($Q$5=33,K15,IF($Q$5=34,K15,IF($Q$5=35,K15,IF($Q$5=36,K15,IF($Q$5=37,K15,IF($Q$5=38,K15,IF($Q$5=39,K15,IF($Q$5=40,K15,IF($Q$5=41,K15,IF($Q$5=42,K15,IF($Q$5=43,K15,IF($Q$5=44,K15,IF($Q$5=45,K15,IF($Q$5=46,K15,IF($Q$5=47,K15,IF($Q$5=48,K15,IF($Q$5=49,K15,IF($Q$5=50,K15,IF($Q$5=51,K15,IF($Q$5=52,K15,IF($Q$5=53,K15,IF($Q$5=54,K15,0))))))))))))))))))))))))))))))))))))))))))</f>
        <v>B6</v>
      </c>
      <c r="Q15" s="123" t="str">
        <f>IF($Q$5=18,L15,IF($Q$5=22,L15,IF($Q$5=23,L15,IF(Q$5=24,L15,IF($Q$5=26,L15,IF($Q$5=27,L15,IF($Q$5=28,L15,IF($Q$5=29,L15,IF($Q$5=30,L15,IF($Q$5=31,L15,IF($Q$5=32,L15,IF($Q$5=33,L15,IF($Q$5=34,L15,IF($Q$5=35,L15,IF($Q$5=36,L15,IF($Q$5=37,L15,IF($Q$5=38,L15,IF($Q$5=39,L15,IF($Q$5=40,L15,IF($Q$5=41,L15,IF($Q$5=42,L15,IF($Q$5=43,L15,IF($Q$5=44,L15,IF($Q$5=45,L15,IF($Q$5=46,L15,IF($Q$5=47,L15,IF($Q$5=48,L15,IF($Q$5=49,L15,IF($Q$5=50,L15,IF($Q$5=51,L15,IF($Q$5=52,L15,IF($Q$5=53,L15,IF($Q$5=54,L15,0)))))))))))))))))))))))))))))))))</f>
        <v>C6</v>
      </c>
      <c r="R15" s="139" t="str">
        <f>IF($Q$5=13,K10,IF($Q$5=14,O15,IF($Q$5=15,O15,IF($Q$5=16,J10,IF($Q$5=17,J15,IF($Q$5=18,J15,IF($Q$5=19,J15,IF($Q$5=20,J15,IF($Q$5=21,J15,IF($Q$5=22,J16,IF($Q$5=23,J16,IF($Q$5=24,J16,IF($Q$5=25,J16,IF($Q$5=26,J16,IF($Q$5=27,J16,IF($Q$5=28,J16,IF($Q$5=29,O16,IF($Q$5=30,J16,IF($Q$5=31,J16,IF($Q$5=32,J16,IF($Q$5=33,J16,IF($Q$5=34,J16,IF($Q$5=35,J16,IF($Q$5=36,J16,IF($Q$5=37,J16,IF($Q$5=38,J16,IF($Q$5=39,J16,IF($Q$5=40,J16,IF($Q$5=41,J16,IF($Q$5=42,J16,IF($Q$5=43,J16,IF($Q$5=44,J16,IF($Q$5=45,J16,IF($Q$5=46,J16,IF($Q$5=47,J16,IF($Q$5=48,J16,IF($Q$5=49,J16,IF($Q$5=50,J16,IF($Q$5=51,J16,IF($Q$5=52,J16,IF($Q$5=53,J16,IF($Q$5=54,J16,0))))))))))))))))))))))))))))))))))))))))))</f>
        <v>A7</v>
      </c>
      <c r="S15" s="134" t="str">
        <f>IF($Q$5=13,O15,IF($Q$5=14,P14,IF($Q$5=15,L11,IF($Q$5=16,L12,IF(Q$5=17,P10,IF($Q$5=18,K10,IF($Q$5=19,L11,IF($Q$5=20,K13,IF($Q$5=21,L10,IF($Q$5=22,K16,IF($Q$5=23,D10,IF($Q$5=24,K13,IF($Q$5=25,K15,IF($Q$5=26,K13,IF($Q$5=27,K16,IF($Q$5=28,K16,IF($Q$5=29,K16,IF($Q$5=30,K16,IF($Q$5=31,K15,IF($Q$5=32,K18,IF($Q$5=33,K18,IF($Q$5=34,K18,IF($Q$5=35,K18,IF($Q$5=36,K17,IF($Q$5=37,K17,IF($Q$5=38,K17,IF($Q$5=39,K17,IF($Q$5=40,K17,IF($Q$5=41,K17,IF($Q$5=42,K17,IF($Q$5=43,K17,IF($Q$5=44,K17,IF($Q$5=45,K17,IF($Q$5=46,K17,IF($Q$5=47,K17,IF($Q$5=48,K17,IF($Q$5=49,K17,IF($Q$5=50,K17,IF($Q$5=51,K17,IF($Q$5=52,K17,IF($Q$5=53,K17,IF($Q$5=54,K17,0))))))))))))))))))))))))))))))))))))))))))</f>
        <v>B7</v>
      </c>
      <c r="T15" s="155" t="str">
        <f>IF($Q$5=17,0,IF($Q$5=18,L10,IF($Q$5=21,0,IF($Q$5=22,L10,IF($Q$5=23,L14,IF($Q$5=24,L16,IF($Q$5=25,0,IF($Q$5=26,P18,IF($Q$5=27,L16,IF($Q$5=28,L16,IF($Q$5=29,L16,IF($Q$5=30,L16,IF($Q$5=31,L10,IF($Q$5=32,L15,IF($Q$5=33,L15,IF($Q$5=34,L15,IF($Q$5=35,L15,IF($Q$5=36,L18,IF($Q$5=37,L18,IF($Q$5=38,L18,IF($Q$5=39,L18,IF($Q$5=40,L18,IF($Q$5=41,L18,IF($Q$5=42,L18,IF($Q$5=43,L18,IF($Q$5=44,L18,IF($Q$5=45,L18,IF($Q$5=46,L18,IF($Q$5=47,L18,IF($Q$5=48,L18,IF($Q$5=49,L18,IF($Q$5=50,L18,IF($Q$5=51,L18,IF($Q$5=52,L18,IF($Q$5=53,L18,IF($Q$5=54,L18,0))))))))))))))))))))))))))))))))))))</f>
        <v>C7</v>
      </c>
      <c r="U15" s="157" t="str">
        <f>IF($Q$5=13,O15,IF($Q$5=14,R15,IF($Q$5=15,R15,IF($Q$5=16,R10,IF($Q$5=17,R15,IF($Q$5=18,R15,IF($Q$5=19,R15,IF($Q$5=20,R15,IF($Q$5=21,R15,IF($Q$5=22,R15,IF($Q$5=23,R15,IF($Q$5=24,O16,IF($Q$5=25,R15,IF($Q$5=26,R15,IF($Q$5=27,O16,IF($Q$5=28,O16,IF($Q$5=29,O16,IF($Q$5=30,O16,IF($Q$5=31,R15,IF($Q$5=32,O17,IF($Q$5=33,O17,IF($Q$5=34,R16,IF($Q$5=35,R16,IF($Q$5=36,O17,IF($Q$5=37,O17,IF($Q$5=38,O17,IF($Q$5=39,O17,IF($Q$5=40,O17,IF($Q$5=41,O17,IF($Q$5=42,O17,IF($Q$5=43,O17,IF($Q$5=44,O17,IF($Q$5=45,O17,IF($Q$5=46,O17,IF($Q$5=47,O17,IF($Q$5=48,O17,IF($Q$5=49,R16,IF($Q$5=50,O17,IF($Q$5=51,O17,IF($Q$5=52,O17,IF($Q$5=53,O17,IF($Q$5=54,O17,0))))))))))))))))))))))))))))))))))))))))))</f>
        <v>A7</v>
      </c>
      <c r="V15" s="137" t="str">
        <f>IF($Q$5=13,S12,IF($Q$5=14,L13,IF($Q$5=15,T10,IF($Q$5=16,T12,IF($Q$5=17,S12,IF($Q$5=18,S10,IF($Q$5=19,T11,IF($Q$5=20,S12,IF($Q$5=21,S12,IF($Q$5=22,S16,IF($Q$5=23,S16,IF($Q$5=24,S16,IF($Q$5=25,S18,IF($Q$5=26,S16,IF($Q$5=27,S16,IF($Q$5=28,S16,IF($Q$5=29,S14,IF($Q$5=30,S16,IF($Q$5=31,S16,IF($Q$5=32,S21,IF($Q$5=33,S19,IF($Q$5=34,S19,IF($Q$5=35,S19,IF($Q$5=36,S17,IF($Q$5=37,S17,IF($Q$5=38,S17,IF($Q$5=39,S17,IF($Q$5=40,S17,IF($Q$5=41,S17,IF($Q$5=42,S17,IF($Q$5=43,S17,IF($Q$5=44,S17,IF($Q$5=45,S17,IF($Q$5=46,S17,IF($Q$5=47,S17,IF($Q$5=48,S17,IF($Q$5=49,S17,IF($Q$5=50,S17,IF($Q$5=51,S17,IF($Q$5=52,S17,IF($Q$5=53,S17,IF($Q$5=54,S17,0))))))))))))))))))))))))))))))))))))))))))</f>
        <v>B8</v>
      </c>
      <c r="W15" s="146" t="str">
        <f>IF($Q$5=18,T10,IF($Q$5=22,S17,IF($Q$5=23,T16,IF($Q$5=24,T17,IF($Q$5=25,0,IF($Q$5=26,T11,IF($Q$5=27,S17,IF($Q$5=28,T17,IF($Q$5=29,T17,IF($Q$5=30,T17,IF($Q$5=31,S20,IF($Q$5=32,T13,IF($Q$5=33,T13,IF($Q$5=34,T13,IF($Q$5=35,T13,IF($Q$5=36,T18,IF($Q$5=37,T18,IF($Q$5=38,T18,IF($Q$5=39,S23,IF($Q$5=40,T18,IF($Q$5=41,T18,IF($Q$5=42,T18,IF($Q$5=43,T18,IF($Q$5=44,T18,IF($Q$5=45,T18,IF($Q$5=46,T18,IF($Q$5=47,T18,IF($Q$5=48,T18,IF($Q$5=49,T18,IF($Q$5=50,T18,IF($Q$5=51,T18,IF($Q$5=52,T18,IF($Q$5=53,T18,IF($Q$5=54,T18,0))))))))))))))))))))))))))))))))))</f>
        <v>C9</v>
      </c>
      <c r="X15" s="18"/>
      <c r="Y15" s="383"/>
      <c r="Z15" s="11" t="str">
        <f>+O11</f>
        <v>A2</v>
      </c>
      <c r="AA15" s="26">
        <v>10</v>
      </c>
      <c r="AB15" s="23">
        <f>IF(AA11+AA15=0,0,IF(AA11=AA15,2,IF(AA11&lt;AA15,3,1)))</f>
        <v>3</v>
      </c>
      <c r="AC15" s="12">
        <f>AA15-AA11</f>
        <v>5</v>
      </c>
      <c r="AD15" s="6"/>
      <c r="AE15" s="11" t="str">
        <f>+R11</f>
        <v>A3</v>
      </c>
      <c r="AF15" s="108">
        <v>8</v>
      </c>
      <c r="AG15" s="23">
        <f>IF(AF11+AF15=0,0,IF(AF11=AF15,2,IF(AF11&lt;AF15,3,1)))</f>
        <v>3</v>
      </c>
      <c r="AH15" s="12">
        <f>AF15-AF11</f>
        <v>3</v>
      </c>
      <c r="AI15" s="6"/>
      <c r="AJ15" s="11" t="str">
        <f>+U11</f>
        <v>A4</v>
      </c>
      <c r="AK15" s="29">
        <v>5</v>
      </c>
      <c r="AL15" s="23">
        <f>IF(AK11+AK15=0,0,IF(AK11=AK15,2,IF(AK11&lt;AK15,3,1)))</f>
        <v>1</v>
      </c>
      <c r="AM15" s="12">
        <f>AK15-AK11</f>
        <v>-4</v>
      </c>
      <c r="AN15" s="18"/>
      <c r="AO15" s="44">
        <v>7</v>
      </c>
      <c r="AP15" s="278" t="str">
        <f>+Inscrits!B9</f>
        <v>A7</v>
      </c>
      <c r="AQ15" s="247">
        <f t="shared" si="3"/>
        <v>3</v>
      </c>
      <c r="AR15" s="82">
        <f t="shared" si="4"/>
        <v>5</v>
      </c>
      <c r="AS15" s="184">
        <f t="shared" si="5"/>
        <v>10</v>
      </c>
      <c r="AT15" s="250">
        <f t="shared" si="6"/>
        <v>1</v>
      </c>
      <c r="AU15" s="82">
        <f t="shared" si="7"/>
        <v>-6</v>
      </c>
      <c r="AV15" s="252">
        <f t="shared" si="8"/>
        <v>5</v>
      </c>
      <c r="AW15" s="247">
        <f t="shared" si="9"/>
        <v>1</v>
      </c>
      <c r="AX15" s="82">
        <f t="shared" si="10"/>
        <v>-2</v>
      </c>
      <c r="AY15" s="252">
        <f t="shared" si="11"/>
        <v>9</v>
      </c>
      <c r="AZ15" s="247">
        <f t="shared" si="17"/>
        <v>5</v>
      </c>
      <c r="BA15" s="82">
        <f t="shared" si="12"/>
        <v>-3</v>
      </c>
      <c r="BB15" s="252">
        <f t="shared" si="13"/>
        <v>24</v>
      </c>
      <c r="BC15" s="255">
        <f t="shared" si="14"/>
        <v>-3</v>
      </c>
      <c r="BD15" s="7">
        <f t="shared" si="15"/>
        <v>0</v>
      </c>
      <c r="BE15" s="183">
        <f t="shared" si="16"/>
        <v>18.027600150000001</v>
      </c>
      <c r="BF15" s="82">
        <f>IF(AP15="","",SMALL(BE$9:BE$62,ROWS(AZ$9:AZ15)))</f>
        <v>3.9075004800000004</v>
      </c>
      <c r="BH15" s="250" t="str">
        <f>IF(OR(AP15="",AZ15=""),"",INDEX($AP$9:$AP$63,MATCH(BF15,$BE$9:BE$62,0)))</f>
        <v>C4</v>
      </c>
      <c r="BI15" s="7">
        <f t="shared" si="0"/>
        <v>7</v>
      </c>
      <c r="BJ15" s="7">
        <f t="shared" si="1"/>
        <v>9</v>
      </c>
      <c r="BK15" s="7">
        <f t="shared" si="2"/>
        <v>25</v>
      </c>
      <c r="BL15" s="17">
        <f>IF(BF15="","",IF(AND(BI14=BI15,BJ14=BJ15,BK14=BK15),BL14,$BL$9+6))</f>
        <v>6</v>
      </c>
      <c r="BM15" s="22"/>
      <c r="BN15" s="7"/>
    </row>
    <row r="16" spans="1:66" ht="21.6" thickBot="1" x14ac:dyDescent="0.35">
      <c r="A16" s="111">
        <v>7</v>
      </c>
      <c r="B16" s="330" t="s">
        <v>72</v>
      </c>
      <c r="C16" s="235">
        <f>IF($Q$5&gt;=19,7,0)</f>
        <v>7</v>
      </c>
      <c r="D16" s="335" t="s">
        <v>90</v>
      </c>
      <c r="E16" s="235">
        <f>IF($Q$5&gt;=20,7,0)</f>
        <v>7</v>
      </c>
      <c r="F16" s="333" t="s">
        <v>108</v>
      </c>
      <c r="G16" s="235">
        <f>IF($Q$5&gt;=21,7,0)</f>
        <v>7</v>
      </c>
      <c r="H16" s="18"/>
      <c r="I16" s="165">
        <v>7</v>
      </c>
      <c r="J16" s="172" t="str">
        <f>IF(ISNA(MATCH(I16,$C$10:$C$27,0)),"",INDEX(B$10:$B$27,MATCH(I16,$C$10:$C$27,0)))</f>
        <v>A7</v>
      </c>
      <c r="K16" s="117" t="str">
        <f>IF(ISNA(MATCH(I16,$E$10:$E$27,0)),"",INDEX($D$10:D$27,MATCH(I16,$E$10:$E$27,0)))</f>
        <v>B7</v>
      </c>
      <c r="L16" s="160" t="str">
        <f>IF(ISNA(MATCH(I16,$G$10:$G$27,0)),"",INDEX($F$10:F$27,MATCH(I16,$G$10:$G$27,0)))</f>
        <v>C7</v>
      </c>
      <c r="M16" s="130"/>
      <c r="N16" s="67">
        <v>4</v>
      </c>
      <c r="O16" s="118" t="str">
        <f>IF($Q$5=19,J16,IF($Q$5=20,J16,IF($Q$5=21,J16,IF($Q$5=22,J16,IF($Q$5=23,J16,IF(Q$5=24,J16,IF($Q$5=25,J16,IF($Q$5=26,J16,IF(Q$5=27,J16,IF($Q$5=28,J16,IF($Q$5=29,J16,IF($Q$5=30,J16,IF($Q$5=31,J16,IF($Q$5=32,J16,IF($Q$5=33,J16,IF($Q$5=34,J16,IF($Q$5=35,J16,IF($Q$5=36,J16,IF($Q$5=37,J16,IF($Q$5=38,J16,IF($Q$5=39,J16,IF($Q$5=40,J16,IF($Q$5=41,J16,IF($Q$5=42,J16,IF($Q$5=43,J16,IF($Q$5=44,J16,IF($Q$5=45,J16,IF($Q$5=46,J16,IF($Q$5=47,J16,IF($Q$5=48,J16,IF($Q$5=49,J16,IF($Q$5=50,J16,IF($Q$5=51,J16,IF($Q$5=52,J16,IF($Q$5=53,J16,IF($Q$5=54,J16,0))))))))))))))))))))))))))))))))))))</f>
        <v>A7</v>
      </c>
      <c r="P16" s="119" t="str">
        <f>IF($Q$5=19,L15,IF($Q$5=20,L14,IF($Q$5=21,L15,IF($Q$5=22,K16,IF($Q$5=23,K16,IF($Q$5=24,K16,IF($Q$5=25,K16,IF($Q$5=26,K16,IF($Q$5=27,K16,IF($Q$5=28,K16,IF($Q$5=29,K16,IF($Q$5=30,K16,IF($Q$5=31,K16,IF($Q$5=32,K16,IF($Q$5=33,K16,IF($Q$5=34,K16,IF($Q$5=35,K16,IF($Q$5=36,K16,IF($Q$5=37,K16,IF($Q$5=38,K16,IF($Q$5=39,K16,IF($Q$5=40,K16,IF($Q$5=41,K16,IF($Q$5=42,K16,IF($Q$5=43,K16,IF($Q$5=44,K16,IF($Q$5=45,K16,IF($Q$5=46,K16,IF($Q$5=47,K16,IF($Q$5=48,K16,IF($Q$5=49,K16,IF($Q$5=50,K16,IF($Q$5=51,K16,IF($Q$5=52,I16,IF($Q$5=53,K16,IF($Q$5=54,K16,0))))))))))))))))))))))))))))))))))))</f>
        <v>B7</v>
      </c>
      <c r="Q16" s="120" t="str">
        <f>IF($Q$5=23,L16,IF($Q$5=24,L16,IF($Q$5=27,L16,IF($Q$5=28,L16,IF($Q$5=29,L16,IF($Q$5=30,L16,IF($Q$5=31,L16,IF($Q$5=32,L16,IF($Q$5=33,L16,IF($Q$5=34,L16,IF($Q$5=35,L16,IF($Q$5=36,L16,IF($Q$5=37,L16,IF($Q$5=38,L16,IF($Q$5=39,L16,IF($Q$5=40,L16,IF($Q$5=41,L16,IF($Q$5=42,L16,IF($Q$5=43,L16,IF($Q$5=44,L16,IF($Q$5=45,L16,IF($Q$5=46,L16,IF($Q$5=47,L16,IF($Q$5=48,L16,IF($Q$5=49,L16,IF($Q$5=50,L16,IF($Q$5=51,L16,IF($Q$5=52,L16,IF($Q$5=53,L16,IF($Q$5=54,L16,0))))))))))))))))))))))))))))))</f>
        <v>C7</v>
      </c>
      <c r="R16" s="140" t="str">
        <f>IF($Q$5=19,J16,IF($Q$5=20,J16,IF($Q$5=21,J16,IF($Q$5=22,J17,IF($Q$5=23,J17,IF($Q$5=24,J17,IF($Q$5=25,J17,IF($Q$5=26,J17,IF($Q$5=27,J17,IF($Q$5=28,J17,IF($Q$5=29,J17,IF($Q$5=30,J17,IF($Q$5=31,J17,IF($Q$5=32,J17,IF($Q$5=33,J17,IF($Q$5=34,J17,IF($Q$5=35,J17,IF($Q$5=36,J17,IF($Q$5=37,J17,IF($Q$5=38,J17,IF($Q$5=39,J17,IF($Q$5=40,J17,IF($Q$5=41,J17,IF($Q$5=42,J17,IF($Q$5=43,J17,IF($Q$5=44,J17,IF($Q$5=45,J17,IF($Q$5=46,J17,IF($Q$5=47,J17,IF($Q$5=48,J17,IF($Q$5=49,J17,IF($Q$5=50,J17,IF($Q$5=51,J17,IF($Q$5=52,J17,IF($Q$5=53,J17,IF($Q$5=54,J17,0))))))))))))))))))))))))))))))))))))</f>
        <v>A8</v>
      </c>
      <c r="S16" s="132" t="str">
        <f>IF($Q$5=19,P16,IF($Q$5=20,L10,IF($Q$5=21,L11,IF($Q$5=22,K10,IF($Q$5=23,D11,IF($Q$5=24,K15,IF($Q$5=25,K10,IF($Q$5=26,K15,IF($Q$5=27,K17,IF(Q$5=28,K15,IF($Q$5=29,K17,IF($Q$5=30,K17,IF($Q$5=31,P18,IF($Q$5=32,K15,IF($Q$5=33,K15,IF($Q$5=34,K15,IF($Q$5=35,K15,IF($Q$5=36,K18,IF($Q$5=37,K18,IF($Q$5=38,K18,IF($Q$5=39,K18,IF($Q$5=40,K18,IF($Q$5=41,K18,IF($Q$5=42,K18,IF($Q$5=43,K18,IF($Q$5=44,K18,IF($Q$5=45,K18,IF($Q$5=46,K18,IF($Q$5=47,K18,IF($Q$5=48,K18,IF($Q$5=49,K18,IF($Q$5=50,K18,IF($Q$5=51,K18,IF($Q$5=52,K18,IF($Q$5=53,K18,IF($Q$5=54,K18,0))))))))))))))))))))))))))))))))))))</f>
        <v>B8</v>
      </c>
      <c r="T16" s="151" t="str">
        <f>IF($Q$5=22,0,IF($Q$5=23,L10,IF($Q$5=24,L10,IF($Q$5=26,0,IF($Q$5=27,P18,IF($Q$5=28,L17,IF($Q$5=29,L17,IF($Q$5=30,L17,IF($Q$5=31,L15,IF($Q$5=32,L10,IF($Q$5=33,L10,IF($Q$5=34,L10,IF($Q$5=35,L10,IF($Q$5=36,L19,IF($Q$5=37,P23,IF($Q$5=38,L19,IF($Q$5=39,L19,IF($Q$5=40,L19,IF($Q$5=41,L19,IF($Q$5=42,L19,IF($Q$5=43,L19,IF($Q$5=44,L19,IF($Q$5=45,L19,IF($Q$5=46,L19,IF($Q$5=47,L19,IF($Q$5=48,L19,IF($Q$5=49,L19,IF($Q$5=50,L19,IF($Q$5=51,L19,IF($Q$5=52,L19,IF($Q$5=53,L19,IF($Q$5=54,L19,0))))))))))))))))))))))))))))))))</f>
        <v>C8</v>
      </c>
      <c r="U16" s="140" t="str">
        <f>IF($Q$5=19,R16,IF($Q$5=20,R16,IF($Q$5=21,R16,IF($Q$5=22,R14,IF($Q$5=23,R16,IF($Q$5=24,R14,IF($Q$5=25,R14,IF($Q$5=26,R14,IF($Q$5=27,R14,IF($Q$5=28,R14,IF($Q$5=29,O15,IF($Q$5=30,O15,IF($Q$5=31,R16,IF($Q$5=32,R15,IF($Q$5=33,O16,IF($Q$5=34,O16,IF($Q$5=35,R15,IF($Q$5=36,O18,IF($Q$5=37,O18,IF($Q$5=38,O18,IF($Q$5=39,R17,IF($Q$5=40,O18,IF($Q$5=41,O18,IF($Q$5=42,O18,IF($Q$5=43,O18,IF($Q$5=44,O18,IF($Q$5=45,O18,IF($Q$5=46,O18,IF($Q$5=47,O18,IF($Q$5=48,O18,IF($Q$5=49,R17,IF($Q$5=50,O18,IF($Q$5=51,O18,IF($Q$5=52,O18,IF($Q$5=53,O18,IF($Q$5=54,O18,0))))))))))))))))))))))))))))))))))))</f>
        <v>A6</v>
      </c>
      <c r="V16" s="138" t="str">
        <f>IF($Q$5=19,S15,IF($Q$5=20,S17,IF($Q$5=21,S15,IF($Q$5=22,S12,IF($Q$5=23,S15,IF($Q$5=24,S12,IF($Q$5=25,S16,IF($Q$5=26,S19,IF($Q$5=27,T11,IF($Q$5=28,S19,IF($Q$5=29,S19,IF($Q$5=30,S19,IF($Q$5=31,R21,IF($Q$5=32,S20,IF($Q$5=33,S18,IF($Q$5=34,S18,IF($Q$5=35,S18,IF($Q$5=36,S18,IF($Q$5=37,S18,IF($Q$5=38,S18,IF($Q$5=39,S18,IF($Q$5=40,S18,IF($Q$5=41,S18,IF($Q$5=42,S18,IF($Q$5=43,S18,IF($Q$5=44,S18,IF($Q$5=45,S18,IF($Q$5=46,S18,IF($Q$5=47,S18,IF($Q$5=48,S18,IF($Q$5=49,S18,IF($Q$5=50,S18,IF($Q$5=51,S18,IF($Q$5=52,S18,IF($Q$5=53,S18,IF($Q$5=54,S18,0))))))))))))))))))))))))))))))))))))</f>
        <v>B9</v>
      </c>
      <c r="W16" s="145" t="str">
        <f>IF($Q$5=23,T10,IF($Q$5=24,T11,IF($Q$5=27,S18,IF($Q$5=28,T11,IF($Q$5=29,T12,IF($Q$5=30,T11,IF($Q$5=31,S18,IF($Q$5=32,T16,IF($Q$5=33,T16,IF($Q$5=34,T16,IF($Q$5=35,T19,IF($Q$5=36,T19,IF($Q$5=37,S21,IF($Q$5=38,T19,IF($Q$5=39,S22,IF($Q$5=40,T19,IF($Q$5=41,T19,IF($Q$5=42,T19,IF($Q$5=43,T19,IF($Q$5=44,T19,IF($Q$5=45,T19,IF($Q$5=46,T19,IF($Q$5=47,T19,IF($Q$5=48,T19,IF($Q$5=49,T19,IF($Q$5=50,T19,IF($Q$5=51,T19,IF($Q$5=52,T19,IF($Q$5=53,T19,IF($Q$5=54,T19,0))))))))))))))))))))))))))))))</f>
        <v>C1</v>
      </c>
      <c r="X16" s="18"/>
      <c r="Y16" s="383"/>
      <c r="Z16" s="11" t="str">
        <f>+P11</f>
        <v>B2</v>
      </c>
      <c r="AA16" s="57">
        <f>IF(ISTEXT(Z16),AA15,0)</f>
        <v>10</v>
      </c>
      <c r="AB16" s="14">
        <f>IF(ISTEXT(Z16),AB15,0)</f>
        <v>3</v>
      </c>
      <c r="AC16" s="15">
        <f>IF(ISTEXT(Z16),AC15,0)</f>
        <v>5</v>
      </c>
      <c r="AD16" s="6"/>
      <c r="AE16" s="11" t="str">
        <f>+S11</f>
        <v>B5</v>
      </c>
      <c r="AF16" s="14">
        <f>IF(ISTEXT(AE16),AF15,0)</f>
        <v>8</v>
      </c>
      <c r="AG16" s="14">
        <f>IF(ISTEXT(AE16),AG15,0)</f>
        <v>3</v>
      </c>
      <c r="AH16" s="15">
        <f>IF(ISTEXT(AE16),AH15,0)</f>
        <v>3</v>
      </c>
      <c r="AI16" s="6"/>
      <c r="AJ16" s="11" t="str">
        <f>+V11</f>
        <v>B5</v>
      </c>
      <c r="AK16" s="14">
        <f>IF(ISTEXT(AJ16),AK15,0)</f>
        <v>5</v>
      </c>
      <c r="AL16" s="14">
        <f>IF(ISTEXT(AJ16),AL15,0)</f>
        <v>1</v>
      </c>
      <c r="AM16" s="15">
        <f>IF(ISTEXT(AJ16),AM15,0)</f>
        <v>-4</v>
      </c>
      <c r="AN16" s="18"/>
      <c r="AO16" s="44">
        <v>8</v>
      </c>
      <c r="AP16" s="278" t="str">
        <f>+Inscrits!B10</f>
        <v>A8</v>
      </c>
      <c r="AQ16" s="247">
        <f t="shared" si="3"/>
        <v>1</v>
      </c>
      <c r="AR16" s="82">
        <f t="shared" si="4"/>
        <v>-5</v>
      </c>
      <c r="AS16" s="184">
        <f t="shared" si="5"/>
        <v>5</v>
      </c>
      <c r="AT16" s="250">
        <f t="shared" si="6"/>
        <v>1</v>
      </c>
      <c r="AU16" s="82">
        <f t="shared" si="7"/>
        <v>-9</v>
      </c>
      <c r="AV16" s="252">
        <f t="shared" si="8"/>
        <v>1</v>
      </c>
      <c r="AW16" s="247">
        <f t="shared" si="9"/>
        <v>1</v>
      </c>
      <c r="AX16" s="82">
        <f t="shared" si="10"/>
        <v>-4</v>
      </c>
      <c r="AY16" s="252">
        <f t="shared" si="11"/>
        <v>7</v>
      </c>
      <c r="AZ16" s="247">
        <f t="shared" si="17"/>
        <v>3</v>
      </c>
      <c r="BA16" s="82">
        <f t="shared" si="12"/>
        <v>-18</v>
      </c>
      <c r="BB16" s="252">
        <f t="shared" si="13"/>
        <v>13</v>
      </c>
      <c r="BC16" s="255">
        <f t="shared" si="14"/>
        <v>-18</v>
      </c>
      <c r="BD16" s="7">
        <f t="shared" si="15"/>
        <v>0</v>
      </c>
      <c r="BE16" s="183">
        <f t="shared" si="16"/>
        <v>26.178700159999998</v>
      </c>
      <c r="BF16" s="82">
        <f>IF(AP16="","",SMALL(BE$9:BE$62,ROWS(AZ$9:AZ16)))</f>
        <v>3.9076001799999998</v>
      </c>
      <c r="BH16" s="250" t="str">
        <f>IF(OR(AP16="",AZ16=""),"",INDEX($AP$9:$AP$63,MATCH(BF16,$BE$9:BE$62,0)))</f>
        <v>A10</v>
      </c>
      <c r="BI16" s="7">
        <f t="shared" si="0"/>
        <v>7</v>
      </c>
      <c r="BJ16" s="7">
        <f t="shared" si="1"/>
        <v>9</v>
      </c>
      <c r="BK16" s="7">
        <f t="shared" si="2"/>
        <v>24</v>
      </c>
      <c r="BL16" s="17">
        <f>IF(BF16="","",IF(AND(BI15=BI16,BJ15=BJ16,BK15=BK16),BL15,$BL$9+7))</f>
        <v>8</v>
      </c>
      <c r="BM16" s="22"/>
      <c r="BN16" s="7"/>
    </row>
    <row r="17" spans="1:66" ht="21.6" thickBot="1" x14ac:dyDescent="0.35">
      <c r="A17" s="111">
        <v>8</v>
      </c>
      <c r="B17" s="330" t="s">
        <v>73</v>
      </c>
      <c r="C17" s="235">
        <f>IF($Q$5&gt;=22,8,0)</f>
        <v>8</v>
      </c>
      <c r="D17" s="335" t="s">
        <v>91</v>
      </c>
      <c r="E17" s="235">
        <f>IF($Q$5&gt;=23,8,0)</f>
        <v>8</v>
      </c>
      <c r="F17" s="333" t="s">
        <v>109</v>
      </c>
      <c r="G17" s="235">
        <f>IF($Q$5&gt;=24,8,0)</f>
        <v>8</v>
      </c>
      <c r="H17" s="18"/>
      <c r="I17" s="165">
        <v>8</v>
      </c>
      <c r="J17" s="172" t="str">
        <f>IF(ISNA(MATCH(I17,$C$10:$C$27,0)),"",INDEX(B$10:$B$27,MATCH(I17,$C$10:$C$27,0)))</f>
        <v>A8</v>
      </c>
      <c r="K17" s="117" t="str">
        <f>IF(ISNA(MATCH(I17,$E$10:$E$27,0)),"",INDEX($D$10:D$27,MATCH(I17,$E$10:$E$27,0)))</f>
        <v>B8</v>
      </c>
      <c r="L17" s="160" t="str">
        <f>IF(ISNA(MATCH(I17,$G$10:$G$27,0)),"",INDEX($F$10:F$27,MATCH(I17,$G$10:$G$27,0)))</f>
        <v>C8</v>
      </c>
      <c r="M17" s="130"/>
      <c r="N17" s="42" t="s">
        <v>5</v>
      </c>
      <c r="O17" s="125" t="str">
        <f>IF($Q$5=19,K15,IF($Q$5=20,K16,IF($Q$5=21,K16,IF($Q$5=22,J17,IF($Q$5=23,J17,IF(Q$5=24,J17,IF($Q$5=25,J17,IF($Q$5=26,J17,IF($Q$5=27,J17,IF($Q$5=28,J17,IF($Q$5=29,J17,IF($Q$5=30,J17,IF($Q$5=31,J17,IF($Q$5=32,J17,IF($Q$5=33,J17,IF($Q$5=34,J17,IF($Q$5=35,J17,IF($Q$5=36,J17,IF($Q$5=37,J17,IF($Q$5=38,J17,IF($Q$5=39,J17,IF($Q$5=40,J17,IF($Q$5=41,J17,IF($Q$5=42,J17,IF($Q$5=43,J17,IF($Q$5=44,J17,IF($Q$5=45,J17,IF($Q$5=46,J17,IF($Q$5=47,J17,IF($Q$5=48,J17,IF($Q$5=49,J17,IF($Q$5=50,J17,IF($Q$5=51,J17,IF($Q$5=52,J17,IF($Q$5=53,J17,IF($Q$5=54,J17,0))))))))))))))))))))))))))))))))))))</f>
        <v>A8</v>
      </c>
      <c r="P17" s="126" t="str">
        <f>IF($Q$5=19,L14,IF($Q$5=20,L15,IF($Q$5=21,L16,IF(Q$5=22,L16,IF($Q$5=23,K17,IF($Q$5=24,K17,IF($Q$5=25,L15,IF($Q$5=26,K17,IF($Q$5=27,K17,IF($Q$5=28,K17,IF($Q$5=29,K17,IF($Q$5=30,K17,IF($Q$5=31,K17,IF($Q$5=32,K17,IF($Q$5=33,K17,IF($Q$5=34,K17,IF($Q$5=35,K17,IF($Q$5=36,K17,IF($Q$5=37,K17,IF($Q$5=38,K17,IF($Q$5=39,K17,IF($Q$5=40,K17,IF($Q$5=41,K17,IF($Q$5=42,K17,IF($Q$5=43,K17,IF($Q$5=44,K17,IF($Q$5=45,K17,IF($Q$5=46,K17,IF($Q$5=47,K17,IF($Q$5=48,K17,IF($Q$5=49,K17,IF($Q$5=50,K17,IF($Q$5=51,K17,IF($Q$5=52,K17,IF($Q$5=53,K17,IF($Q$5=54,K17,0))))))))))))))))))))))))))))))))))))</f>
        <v>B8</v>
      </c>
      <c r="Q17" s="123" t="str">
        <f>IF($Q$5=24,L17,IF($Q$5=28,L17,IF($Q$5=29,L17,IF($Q$5=30,L17,IF($Q$5=31,0,IF($Q$5=32,L17,IF($Q$5=33,L17,IF($Q$5=34,L17,IF($Q$5=35,L17,IF($Q$5=36,L17,IF($Q$5=37,L17,IF($Q$5=38,L17,IF($Q$5=39,L17,IF(Q$5=40,L17,IF($Q$5=41,L17,IF($Q$5=42,L17,IF($Q$5=43,L17,IF($Q$5=44,L17,IF($Q$5=45,L17,IF($Q$5=46,L17,IF($Q$5=47,L17,IF($Q$5=48,L17,IF($Q$5=49,L17,IF($Q$5=50,L17,IF($Q$5=51,L17,IF($Q$5=52,L17,IF($Q$5=53,L17,IF($Q$5=54,L17,0))))))))))))))))))))))))))))</f>
        <v>C8</v>
      </c>
      <c r="R17" s="136" t="str">
        <f>IF($Q$5=19,K15,IF($Q$5=20,O17,IF($Q$5=21,O17,IF($Q$5=22,J10,IF($Q$5=23,J10,IF($Q$5=24,J10,IF($Q$5=25,J18,IF($Q$5=26,J18,IF($Q$5=27,J18,IF($Q$5=28,J18,IF($Q$5=29,J18,IF($Q$5=30,J18,IF($Q$5=31,J18,IF($Q$5=32,J18,IF($Q$5=33,J18,IF($Q$5=34,J18,IF($Q$5=35,J18,IF($Q$5=36,J18,IF($Q$5=37,J18,IF($Q$5=38,J18,IF($Q$5=39,J18,IF($Q$5=40,J18,IF($Q$5=41,J18,IF($Q$5=42,J18,IF($Q$5=43,J18,IF($Q$5=44,J18,IF($Q$5=45,J18,IF($Q$5=46,J18,IF($Q$5=47,J18,IF($Q$5=48,J18,IF($Q$5=49,J18,IF($Q$5=50,J18,IF($Q$5=51,J18,IF($Q$5=52,J18,IF($Q$5=53,J18,IF($Q$5=54,J18,0))))))))))))))))))))))))))))))))))))</f>
        <v>A9</v>
      </c>
      <c r="S17" s="137" t="str">
        <f>IF($Q$5=19,L12,IF($Q$5=20,K15,IF($Q$5=21,L12,IF($Q$5=22,L11,IF($Q$5=23,K12,IF($Q$5=24,K11,IF($Q$5=25,L10,IF($Q$5=26,L10,IF($Q$5=27,L10,IF($Q$5=28,K10,IF($Q$5=29,K19,IF($Q$5=30,K19,IF(Q$5=31,P16,IF($Q$5=32,K16,IF($Q$5=33,K16,IF($Q$5=34,K16,IF($Q$5=35,K16,IF($Q$5=36,K19,IF($Q$5=37,K19,IF($Q$5=38,K19,IF($Q$5=39,K19,IF($Q$5=40,K19,IF($Q$5=41,K19,IF($Q$5=42,K19,IF($Q$5=43,K19,IF($Q$5=44,K19,IF($Q$5=45,K19,IF($Q$5=46,K19,IF($Q$5=47,K19,IF($Q$5=48,K19,IF($Q$5=49,K19,IF($Q$5=50,K19,IF($Q$5=51,K19,IF($Q$5=52,K19,IF($Q$5=53,K19,IF($Q$5=54,K19,0))))))))))))))))))))))))))))))))))))</f>
        <v>B10</v>
      </c>
      <c r="T17" s="153" t="str">
        <f>IF($Q$5=24,L17,IF($Q$5=27,0,IF($Q$5=28,P19,IF($Q$6=29,L18,IF($Q$5=29,L18,IF($Q$5=30,L18,IF($Q$5=32,L17,IF($Q$5=33,L17,IF($Q$5=34,L17,IF($Q$5=35,L17,IF($Q$5=36,L20,IF($Q$5=37,P22,IF($Q$5=38,P22,IF($Q$5=39,L20,IF($Q$5=40,L20,IF($Q$5=41,L20,IF($Q$5=42,L20,IF($Q$5=43,L20,IF($Q$5=44,L20,IF($Q$5=45,L20,IF($Q$5=46,L20,IF($Q$5=47,L20,IF($Q$5=48,L20,IF($Q$5=49,L20,IF($Q$5=50,L20,IF($Q$5=51,L20,IF($Q$5=52,L20,IF($Q$5=53,L20,IF($Q$5=54,L20,0)))))))))))))))))))))))))))))</f>
        <v>C9</v>
      </c>
      <c r="U17" s="156" t="str">
        <f>IF($Q$5=19,R17,IF($Q$5=20,R17,IF($Q$5=21,K16,IF($Q$5=22,R16,IF($Q$5=23,R10,IF($Q$5=24,R16,IF($Q$5=25,R16,IF($Q$5=26,R16,IF($Q$5=27,R16,IF($Q$5=28,R17,IF($Q$5=29,O18,IF($Q$5=30,O18,IF($Q$5=31,R17,IF($Q$5=32,O18,IF($Q$5=33,R17,IF($Q$5=34,O18,IF($Q$5=35,R17,IF($Q$5=36,R18,IF($Q$5=37,O19,IF($Q$5=38,O19,IF($Q$5=39,O19,IF($Q$5=40,R18,IF($Q$5=41,O19,IF($Q$5=42,R18,IF($Q$5=43,R18,IF($Q$5=44,O19,IF($Q$5=45,R18,IF($Q$5=46,R18,IF($Q$5=47,R18,IF($Q$5=48,R18,IF($Q$5=49,R18,IF($Q$5=50,R18,IF($Q$5=51,R18:R18,IF($Q$5=52,R18,IF($Q$5=53,R18,IF($Q$5=54,O19,0))))))))))))))))))))))))))))))))))))</f>
        <v>A9</v>
      </c>
      <c r="V17" s="134" t="str">
        <f>IF($Q$5=19,T10,IF($Q$5=20,T10,IF($Q$5=21,S16,IF($Q$5=22,T10,IF($Q$5=23,S12,IF($Q$5=24,S17,IF($Q$5=25,T10,IF($Q$5=26,S12,IF($Q$5=27,S12,IF($Q$5=28,S17,IF($Q$5=29,S18,IF($Q$5=30,S17,IF($Q$5=31,S17,IF($Q$5=32,S12,IF($Q$5=33,S12,IF($Q$5=34,S12,IF($Q$5=35,S12,IF($Q$5=36,S19,IF($Q$5=37,S19,IF($Q$5=38,S19,IF($Q$5=39,S19,IF($Q$5=40,S19,IF($Q$5=41,S19,IF($Q$5=42,S19,IF($Q$5=43,S19,IF($Q$5=44,S19,IF($Q$5=45,S19,IF($Q$5=46,S19,IF($Q$5=47,S19,IF($Q$5=48,S19,IF($Q$5=49,S19,IF($Q$5=50,S19,IF($Q$5=51,S19,IF($Q$5=52,S19,IF($Q$5=53,S19,IF($Q$5=54,S19,0))))))))))))))))))))))))))))))))))))</f>
        <v>B10</v>
      </c>
      <c r="W17" s="147" t="str">
        <f>IF($Q$5=24,T10,IF($Q$5=27,0,IF($Q$5=28,S18,IF($Q$5=29,T18,IF($Q$5=30,T18,IF($Q$5=32,T17,IF($Q$5=33,T17,IF($Q$5=34,T17,IF($Q$5=35,T17,IF($Q$5=36,T20,IF($Q$5=37,S22,IF($Q$5=38,S22,IF($Q$5=39,T18,IF($Q$5=40,T20,IF($Q$5=41,T20,IF($Q$5=42,T20,IF($Q$5=43,T20,IF($Q$5=44,T20,IF($Q$5=45,T20,IF($Q$5=46,T20,IF($Q$5=47,T20,IF($Q$5=48,T20,IF($Q$5=49,T20,IF($Q$5=50,T20,IF($Q$5=51,T20,IF($Q$5=52,T20,IF($Q$5=53,T20,IF($Q$5=54,T20,0))))))))))))))))))))))))))))</f>
        <v>C4</v>
      </c>
      <c r="X17" s="18"/>
      <c r="Y17" s="384"/>
      <c r="Z17" s="13" t="str">
        <f>+Q11</f>
        <v>C2</v>
      </c>
      <c r="AA17" s="57">
        <f>IF(ISTEXT(Z17),AA15,0)</f>
        <v>10</v>
      </c>
      <c r="AB17" s="14">
        <f>IF(ISTEXT(Z17),AB15,0)</f>
        <v>3</v>
      </c>
      <c r="AC17" s="15">
        <f>IF(ISTEXT(Z17),AC15,0)</f>
        <v>5</v>
      </c>
      <c r="AD17" s="6"/>
      <c r="AE17" s="13" t="str">
        <f>+T11</f>
        <v>C1</v>
      </c>
      <c r="AF17" s="14">
        <f>IF(ISTEXT(AE17),AF15,0)</f>
        <v>8</v>
      </c>
      <c r="AG17" s="14">
        <f>IF(ISTEXT(AE17),AG15,0)</f>
        <v>3</v>
      </c>
      <c r="AH17" s="15">
        <f>IF(ISTEXT(AE17),AH15,0)</f>
        <v>3</v>
      </c>
      <c r="AI17" s="6"/>
      <c r="AJ17" s="13" t="str">
        <f>+W11</f>
        <v>C6</v>
      </c>
      <c r="AK17" s="14">
        <f>IF(ISTEXT(AJ17),AK15,0)</f>
        <v>5</v>
      </c>
      <c r="AL17" s="14">
        <f>IF(ISTEXT(AJ17),AL15,0)</f>
        <v>1</v>
      </c>
      <c r="AM17" s="15">
        <f>IF(ISTEXT(AJ17),AM15,0)</f>
        <v>-4</v>
      </c>
      <c r="AN17" s="18"/>
      <c r="AO17" s="44">
        <v>9</v>
      </c>
      <c r="AP17" s="278" t="str">
        <f>+Inscrits!B11</f>
        <v>A9</v>
      </c>
      <c r="AQ17" s="247">
        <f t="shared" si="3"/>
        <v>3</v>
      </c>
      <c r="AR17" s="82">
        <f t="shared" si="4"/>
        <v>1</v>
      </c>
      <c r="AS17" s="184">
        <f t="shared" si="5"/>
        <v>1</v>
      </c>
      <c r="AT17" s="250">
        <f t="shared" si="6"/>
        <v>3</v>
      </c>
      <c r="AU17" s="82">
        <f t="shared" si="7"/>
        <v>9</v>
      </c>
      <c r="AV17" s="252">
        <f t="shared" si="8"/>
        <v>10</v>
      </c>
      <c r="AW17" s="247">
        <f t="shared" si="9"/>
        <v>3</v>
      </c>
      <c r="AX17" s="82">
        <f t="shared" si="10"/>
        <v>7</v>
      </c>
      <c r="AY17" s="252">
        <f t="shared" si="11"/>
        <v>8</v>
      </c>
      <c r="AZ17" s="247">
        <f t="shared" si="17"/>
        <v>9</v>
      </c>
      <c r="BA17" s="82">
        <f t="shared" si="12"/>
        <v>17</v>
      </c>
      <c r="BB17" s="252">
        <f t="shared" si="13"/>
        <v>19</v>
      </c>
      <c r="BC17" s="255">
        <f t="shared" si="14"/>
        <v>0</v>
      </c>
      <c r="BD17" s="7">
        <f t="shared" si="15"/>
        <v>17</v>
      </c>
      <c r="BE17" s="183">
        <f t="shared" si="16"/>
        <v>0.82810016999999991</v>
      </c>
      <c r="BF17" s="82">
        <f>IF(AP17="","",SMALL(BE$9:BE$62,ROWS(AZ$9:AZ17)))</f>
        <v>3.9169004599999999</v>
      </c>
      <c r="BH17" s="250" t="str">
        <f>IF(OR(AP17="",AZ17=""),"",INDEX($AP$9:$AP$63,MATCH(BF17,$BE$9:BE$62,0)))</f>
        <v>C2</v>
      </c>
      <c r="BI17" s="7">
        <f t="shared" si="0"/>
        <v>7</v>
      </c>
      <c r="BJ17" s="7">
        <f t="shared" si="1"/>
        <v>8</v>
      </c>
      <c r="BK17" s="7">
        <f t="shared" si="2"/>
        <v>31</v>
      </c>
      <c r="BL17" s="17">
        <f>IF(BF17="","",IF(AND(BI16=BI17,BJ16=BJ17,BK16=BK17),BL16,$BL$9+8))</f>
        <v>9</v>
      </c>
      <c r="BM17" s="22"/>
      <c r="BN17" s="82"/>
    </row>
    <row r="18" spans="1:66" ht="21.6" thickBot="1" x14ac:dyDescent="0.35">
      <c r="A18" s="111">
        <v>9</v>
      </c>
      <c r="B18" s="330" t="s">
        <v>74</v>
      </c>
      <c r="C18" s="235">
        <f>IF($Q$5&gt;=25,9,0)</f>
        <v>9</v>
      </c>
      <c r="D18" s="335" t="s">
        <v>92</v>
      </c>
      <c r="E18" s="235">
        <f>IF($Q$5&gt;=26,9,0)</f>
        <v>9</v>
      </c>
      <c r="F18" s="333" t="s">
        <v>110</v>
      </c>
      <c r="G18" s="235">
        <f>IF($Q$5&gt;=27,9,0)</f>
        <v>9</v>
      </c>
      <c r="H18" s="18"/>
      <c r="I18" s="165">
        <v>9</v>
      </c>
      <c r="J18" s="172" t="str">
        <f>IF(ISNA(MATCH(I18,$C$10:$C$27,0)),"",INDEX(B$10:$B$27,MATCH(I18,$C$10:$C$27,0)))</f>
        <v>A9</v>
      </c>
      <c r="K18" s="117" t="str">
        <f>IF(ISNA(MATCH(I18,$E$10:$E$27,0)),"",INDEX($D$10:D$27,MATCH(I18,$E$10:$E$27,0)))</f>
        <v>B9</v>
      </c>
      <c r="L18" s="160" t="str">
        <f>IF(ISNA(MATCH(I18,$G$10:$G$27,0)),"",INDEX($F$10:F$27,MATCH(I18,$G$10:$G$27,0)))</f>
        <v>C9</v>
      </c>
      <c r="M18" s="130"/>
      <c r="N18" s="67">
        <v>5</v>
      </c>
      <c r="O18" s="118" t="str">
        <f>IF($Q$5=25,J18,IF($Q$5=26,J18,IF($Q$5=27,J18,IF(Q$5=28,J18,IF($Q$5=29,J18,IF($Q$5=30,J18,IF($Q$5=31,J18,IF($Q$5=32,J18,IF($Q$5=33,J18,IF($Q$5=34,J18,IF($Q$5=35,J18,IF($Q$5=36,J18,IF($Q$5=37,J18,IF($Q$5=38,J18,IF($Q$5=39,J18,IF($Q$5=40,J18,IF($Q$5=41,J18,IF($Q$5=42,J18,IF($Q$5=43,J18,IF($Q$5=44,J18,IF($Q$5=45,J18,IF($Q$5=46,J18,IF($Q$5=47,J18,IF($Q$5=48,J18,IF($Q$5=49,J18,IF($Q$5=50,J18,IF($Q$5=51,J18,IF($Q$5=52,J18,IF($Q$5=53,J18,IF($Q$5=54,J18,0))))))))))))))))))))))))))))))</f>
        <v>A9</v>
      </c>
      <c r="P18" s="119" t="str">
        <f>IF($Q$5=25,L16,IF($Q$5=26,L16,IF($Q$5=27,L17,IF($Q$5=28,K18,IF($Q$5=29,K18,IF($Q$5=30,K18,IF($Q$5=31,K18,IF($Q$5=32,K19,IF($Q$5=33,K18,IF($Q$5=34,K18,IF($Q$5=35,K18,IF($Q$5=36,K18,IF($Q$5=37,K18,IF($Q$5=38,K18,IF($Q$5=39,K18,IF($Q$5=40,K18,IF($Q$5=41,K18,IF($Q$5=42,K18,IF($Q$5=43,K18,IF($Q$5=44,K18,IF($Q$5=45,K18,IF($Q$5=46,K18,IF($Q$5=47,K18,IF($Q$5=48,K18,IF($Q$5=49,K18,IF($Q$5=50,K18,IF($Q$5=51,K18,IF($Q$5=52,K18,IF($Q$5=53,K18,IF($Q$5=54,K18,0))))))))))))))))))))))))))))))</f>
        <v>B9</v>
      </c>
      <c r="Q18" s="120" t="str">
        <f>IF($Q$5=29,L18,IF($Q$5=30,L18,IF($Q$5=33,L18,IF($Q$5=34,L18,IF($Q$5=35,L18,IF($Q$5=36,L18,IF($Q$5=37,L18,IF($Q$5=38,L18,IF($Q$5=39,L18,IF($Q$5=40,L18,IF($Q$5=41,L18,IF($Q$5=42,L18,IF($Q$5=43,L18,IF($Q$5=44,L18,IF($Q$5=45,L18,IF($Q$5=46,L18,IF($Q$5=47,L18,IF($Q$5=48,L18,IF($Q$5=49,L18,IF($Q$5=50,L18,IF($Q$5=51,L18,IF($Q$5=52,L18,IF($Q$5=53,L18,IF($Q$5=54,L18,0))))))))))))))))))))))))</f>
        <v>C9</v>
      </c>
      <c r="R18" s="135" t="str">
        <f>IF($Q$5=25,O19,IF($Q$5=26,O19,IF($Q$5=27,J10,IF($Q$5=28,J19,IF($Q$5=29,J19,IF($Q$5=30,J19,IF($Q$5=31,J19,IF($Q$5=32,J19,IF($Q$5=33,J19,IF($Q$5=34,J19,IF($Q$5=35,J19,IF($Q$5=36,J19,IF($Q$5=37,J19,IF($Q$5=38,J19,IF($Q$5=39,J19,IF($Q$5=40,J19,IF($Q$5=41,J19,IF($Q$5=42,J19,IF($Q$5=43,J19,IF($Q$5=44,J19,IF($Q$5=45,J19,IF($Q$5=46,J19,IF($Q$5=47,J19,IF($Q$5=48,J19,IF($Q$5=49,J19,IF($Q$5=50,J19,IF($Q$5=51,J19,IF($Q$5=52,J19,IF($Q$5=53,J19,IF($Q$5=54,J19,0))))))))))))))))))))))))))))))</f>
        <v>A10</v>
      </c>
      <c r="S18" s="138" t="str">
        <f>IF($Q$5=25,L11,IF($Q$5=26,L11,IF(Q$5=27,Q11,IF($Q$5=28,L11,IF($Q$5=29,K10,IF($Q$5=30,K10,IF($Q$5=31,P21,IF($Q$5=32,P20,IF($Q$5=33,K10,IF($Q$5=34,K10,IF($Q$5=35,K10,IF($Q$5=36,K20,IF($Q$5=37,K20,IF($Q$5=38,K20,IF($Q$5=39,K20,IF($Q$5=40,K20,IF($Q$5=41,K20,IF($Q$5=42,K20,IF($Q$5=43,K20,IF($Q$5=44,K20,IF($Q$5=45,K20,IF($Q$5=46,K20,IF($Q$5=47,K20,IF($Q$5=48,K20,IF($Q$5=49,K20,IF($Q$5=50,K20,IF($Q$5=51,K20,IF($Q$5=52,K20,IF($Q$5=53,K20,IF($Q$5=54,K20,0))))))))))))))))))))))))))))))</f>
        <v>B1</v>
      </c>
      <c r="T18" s="154" t="str">
        <f>IF($Q$5=27,0,IF($Q$5=29,L11,IF($Q$5=30,L13,IF(J$5=32,0,IF($Q$5=33,L18,IF($Q$5=34,P21,IF($Q$5=35,L20,IF($Q$5=36,L21,IF($Q$5=37,P21,IF($Q$5=38,P23,IF($Q$5=39,L10,IF($Q$5=40,L21,IF($Q$5=41,L21,IF($Q$5=42,L21,IF($Q$5=43,P25,IF($Q$5=44,L21,IF($Q$5=45,L21,IF($Q$5=46,L21,IF($Q$5=47,L21,IF($Q$5=48,L21,IF($Q$5=49,L21,IF($Q$5=50,L21,IF($Q$5=51,L21,IF($Q$5=52,L21,IF($Q$5=53,L21,IF($Q$5=54,L21,0))))))))))))))))))))))))))</f>
        <v>C4</v>
      </c>
      <c r="U18" s="135" t="str">
        <f>IF($Q$5=25,R17,IF($Q$5=26,R17,IF($Q$5=27,R17,IF($Q$5=28,O17,IF($Q$5=29,O17,IF($Q$5=30,O17,IF($Q$5=31,R10,IF($Q$5=32,O19,IF($Q$5=33,O19,IF($Q$5=34,O20,IF($Q$5=35,R19,IF($Q$5=36,O20,IF($Q$5=37,R19,IF($Q$5=38,R19,IF($Q$5=39,O20,IF($Q$5=40,O20,IF($Q$5=41,O20,IF($Q$5=42,O20,IF($Q$5=43,O20,IF($Q$5=44,O20,IF($Q$5=45,O20,IF($Q$5=46,O20,IF($Q$5=47,O20,IF($Q$5=48,O20,IF($Q$5=49,O20,IF($Q$5=50,O20,IF($Q$5=51,O20,IF($Q$5=52,O20,IF($Q$5=53,O20,IF($Q$5=54,O20,0))))))))))))))))))))))))))))))</f>
        <v>A8</v>
      </c>
      <c r="V18" s="132" t="str">
        <f>IF($Q$5=25,T11,IF($Q$5=26,S18,IF($Q$5=27,R19,IF($Q$5=28,S12,IF($Q$5=29,S17,IF($Q$5=30,S18,IF($Q$5=31,S12,IF($Q$5=32,S13,IF($Q$5=33,S13,IF($Q$5=34,S13,IF($Q$5=35,S13,IF($Q$5=36,S20,IF($Q$5=37,S20,IF($Q$5=38,S20,IF($Q$5=39,S11,IF($Q$5=40,S20,IF($Q$5=41,S20,IF($Q$5=42,S20,IF($Q$5=43,S20,IF($Q$5=44,S20,IF($Q$5=45,S20,IF($Q$5=46,S20,IF($Q$5=47,S20,IF($Q$5=48,S20,IF($Q$5=49,S20,IF($Q$5=50,S20,IF($Q$5=51,S20,IF($Q$5=52,S20,IF($Q$5=53,S20,IF($Q$5=54,S20,0))))))))))))))))))))))))))))))</f>
        <v>B1</v>
      </c>
      <c r="W18" s="144" t="str">
        <f>IF($Q$5=29,T10,IF($Q$5=30,Q19,IF($Q$5=32,0,IF($Q$5=33,S20,IF($Q$5=34,T15,IF($Q$5=35,T15,IF($Q$5=36,T21,IF($Q$5=37,S23,IF($Q$5=38,S23,IF($Q$5=39,T19,IF($Q$5=40,T21,IF($Q$5=41,T21,IF($Q$5=42,T21,IF($Q$5=43,S25,IF($Q$5=44,T21,IF($Q$5=45,T21,IF($Q$5=46,T21,IF($Q$5=47,T21,IF($Q$5=48,T21,IF($Q$5=49,T21,IF($Q$5=50,T21,IF($Q$5=51,T21,IF($Q$5=52,T21,IF($Q$5=53,T21,IF($Q$5=54,T21,0)))))))))))))))))))))))))</f>
        <v>C10</v>
      </c>
      <c r="X18" s="18"/>
      <c r="Y18" s="20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18"/>
      <c r="AO18" s="44">
        <v>10</v>
      </c>
      <c r="AP18" s="278" t="str">
        <f>+Inscrits!B12</f>
        <v>A10</v>
      </c>
      <c r="AQ18" s="247">
        <f t="shared" si="3"/>
        <v>1</v>
      </c>
      <c r="AR18" s="82">
        <f t="shared" si="4"/>
        <v>-1</v>
      </c>
      <c r="AS18" s="184" t="str">
        <f t="shared" si="5"/>
        <v>0</v>
      </c>
      <c r="AT18" s="250">
        <f t="shared" si="6"/>
        <v>3</v>
      </c>
      <c r="AU18" s="82">
        <f t="shared" si="7"/>
        <v>6</v>
      </c>
      <c r="AV18" s="252">
        <f t="shared" si="8"/>
        <v>13</v>
      </c>
      <c r="AW18" s="247">
        <f t="shared" si="9"/>
        <v>3</v>
      </c>
      <c r="AX18" s="82">
        <f t="shared" si="10"/>
        <v>4</v>
      </c>
      <c r="AY18" s="252">
        <f t="shared" si="11"/>
        <v>11</v>
      </c>
      <c r="AZ18" s="247">
        <f t="shared" si="17"/>
        <v>7</v>
      </c>
      <c r="BA18" s="82">
        <f t="shared" si="12"/>
        <v>9</v>
      </c>
      <c r="BB18" s="252">
        <f t="shared" si="13"/>
        <v>24</v>
      </c>
      <c r="BC18" s="255">
        <f t="shared" si="14"/>
        <v>0</v>
      </c>
      <c r="BD18" s="7">
        <f t="shared" si="15"/>
        <v>9</v>
      </c>
      <c r="BE18" s="183">
        <f t="shared" si="16"/>
        <v>3.9076001799999998</v>
      </c>
      <c r="BF18" s="82">
        <f>IF(AP18="","",SMALL(BE$9:BE$62,ROWS(AZ$9:AZ18)))</f>
        <v>3.91800053</v>
      </c>
      <c r="BH18" s="250" t="str">
        <f>IF(OR(AP18="",AZ18=""),"",INDEX($AP$9:$AP$63,MATCH(BF18,$BE$9:BE$62,0)))</f>
        <v>C9</v>
      </c>
      <c r="BI18" s="7">
        <f t="shared" si="0"/>
        <v>7</v>
      </c>
      <c r="BJ18" s="7">
        <f t="shared" si="1"/>
        <v>8</v>
      </c>
      <c r="BK18" s="7">
        <f t="shared" si="2"/>
        <v>20</v>
      </c>
      <c r="BL18" s="17">
        <f>IF(BF18="","",IF(AND(BI17=BI18,BJ17=BJ18,BK17=BK18),BL17,$BL$9+9))</f>
        <v>10</v>
      </c>
      <c r="BM18" s="22"/>
      <c r="BN18" s="82"/>
    </row>
    <row r="19" spans="1:66" ht="21.6" thickBot="1" x14ac:dyDescent="0.35">
      <c r="A19" s="111">
        <v>10</v>
      </c>
      <c r="B19" s="330" t="s">
        <v>75</v>
      </c>
      <c r="C19" s="235">
        <f>IF($Q$5&gt;=28,10,0)</f>
        <v>10</v>
      </c>
      <c r="D19" s="335" t="s">
        <v>93</v>
      </c>
      <c r="E19" s="235">
        <f>IF($Q$5&gt;=29,10,0)</f>
        <v>10</v>
      </c>
      <c r="F19" s="333" t="s">
        <v>111</v>
      </c>
      <c r="G19" s="235">
        <f>IF($Q$5&gt;=30,10,0)</f>
        <v>10</v>
      </c>
      <c r="H19" s="18"/>
      <c r="I19" s="165">
        <v>10</v>
      </c>
      <c r="J19" s="172" t="str">
        <f>IF(ISNA(MATCH(I19,$C$10:$C$27,0)),"",INDEX(B$10:$B$27,MATCH(I19,$C$10:$C$27,0)))</f>
        <v>A10</v>
      </c>
      <c r="K19" s="117" t="str">
        <f>IF(ISNA(MATCH(I19,$E$10:$E$27,0)),"",INDEX($D$10:D$27,MATCH(I19,$E$10:$E$27,0)))</f>
        <v>B10</v>
      </c>
      <c r="L19" s="160" t="str">
        <f>IF(ISNA(MATCH(I19,$G$10:$G$27,0)),"",INDEX($F$10:F$27,MATCH(I19,$G$10:$G$27,0)))</f>
        <v>C10</v>
      </c>
      <c r="M19" s="130"/>
      <c r="N19" s="3" t="s">
        <v>5</v>
      </c>
      <c r="O19" s="121" t="str">
        <f>IF($Q$5=25,K17,IF($Q$5=26,K18,IF($Q$5=27,K18,IF($Q$5=28,J19,IF($Q$5=29,J19,IF($Q$5=30,J19,IF($Q$5=31,J19,IF($Q$5=32,J19,IF($Q$5=33,J19,IF($Q$5=34,J19,IF($Q$5=35,J19,IF($Q$5=36,J19,IF($Q$5=37,J19,IF($Q$5=38,J19,IF($Q$5=39,J19,IF($Q$5=40,J19,IF($Q$5=41,J19,IF($Q$5=42,J19,IF($Q$5=43,J19,IF($Q$5=44,J19,IF($Q$5=45,J19,IF($Q$5=46,J19,IF($Q$5=47,J19,IF($Q$5=48,J19,IF($Q$5=49,J19,IF($Q$5=50,J19,IF($Q$5=51,J19,IF($Q$5=52,J19,IF($Q$5=53,J19,IF($Q$5=54,J19,0))))))))))))))))))))))))))))))</f>
        <v>A10</v>
      </c>
      <c r="P19" s="126" t="str">
        <f>IF($Q$5=25,L17,IF($Q$5=26,L17,IF($Q$5=27,L18,IF($Q$5=28,L18,IF($Q$5=29,K19,IF($Q$5=30,K19,IF($Q$5=31,L17,IF($Q$5=32,K18,IF($Q$5=33,K19,IF($Q$5=34,K19,IF($Q$5=35,K19,IF($Q$5=36,K19,IF($Q$5=37,K19,IF($Q$5=38,K19,IF($Q$5=39,K19,IF($Q$5=40,K19,IF($Q$5=41,K19,IF($Q$5=42,K19,IF($Q$5=43,K19,IF($Q$5=44,K19,IF($Q$5=45,K19,IF($Q$5=46,K19,IF($Q$5=47,K19,IF($Q$5=48,K19,IF($Q$5=49,K19,IF($Q$5=50,K19,IF($Q$5=51,K19,IF($Q$5=52,K19,IF($Q$5=53,K19,IF($Q$5=54,K19,0))))))))))))))))))))))))))))))</f>
        <v>B10</v>
      </c>
      <c r="Q19" s="123" t="str">
        <f>IF($Q$5=30,L19,IF($Q$5=34,L19,IF($Q$5=35,L19,IF($Q$5=36,L19,IF($Q$5=38,L19,IF($Q$5=39,L19,IF($Q$5=40,L19,IF($Q$5=41,L19,IF($Q$5=42,L19,IF($Q$5=43,L19,IF($Q$5=44,L19,IF($Q$5=45,L19,IF($Q$5=46,L19,IF($Q$5=47,L19,IF($Q$5=48,L19,IF($Q$5=49,L19,IF($Q$5=50,L19,IF($Q$5=51,L19,IF($Q$5=52,L19,IF($Q$5=53,L19,IF($Q$5=54,L19,0)))))))))))))))))))))</f>
        <v>C10</v>
      </c>
      <c r="R19" s="139" t="str">
        <f>IF($Q$5=25,J10,IF($Q$5=26,J10,IF($Q$5=27,K10,IF($Q$5=28,J10,IF($Q$5=29,J10,IF($Q$5=30,J10,IF($Q$5=31,J20,IF($Q$5=32,J20,IF($Q$5=33,J20,IF($Q$5=34,J20,IF($Q$5=35,J20,IF($Q$5=36,J20,IF($Q$5=37,J20,IF($Q$5=38,J20,IF($Q$5=39,J20,IF($Q$5=40,J20,IF($Q$5=41,J20,IF($Q$5=42,J20,IF($Q$5=43,J20,IF($Q$5=44,J20,IF($Q$5=45,J20,IF($Q$5=46,J20,IF($Q$5=47,J20,IF($Q$5=48,J20,IF($Q$5=49,J20,IF($Q$5=50,J20,IF($Q$5=51,J20,IF($Q$5=52,J20,IF($Q$5=53,J20,IF($Q$5=54,J20,0))))))))))))))))))))))))))))))</f>
        <v>A1</v>
      </c>
      <c r="S19" s="134" t="str">
        <f>IF($Q$5=25,P18,IF($Q$5=26,K10,IF($Q$5=27,O19,IF($Q$5=28,K18,IF($Q$5=29,K18,IF($Q$5=30,K18,IF($Q$5=31,P19,IF($Q$5=32,P21,IF($Q$5=33,K19,IF($Q$5=34,K19,IF($Q$5=35,K19,IF($Q$5=36,K21,IF($Q$5=37,P11,IF($Q$5=38,K21,IF($Q$5=39,K21,IF($Q$5=40,K21,IF($Q$5=41,K21,IF($Q$5=42,K21,IF($Q$5=43,K21,IF($Q$5=44,K21,IF($Q$5=45,K21,IF($Q$5=46,K21,IF($Q$5=47,K21,IF($Q$5=48,K21,IF($Q$5=49,K21,IF($Q$5=50,K21,IF($Q$5=51,K21,IF($Q$5=52,K21,IF($Q$5=53,K21,IF($Q$5=54,K21,0))))))))))))))))))))))))))))))</f>
        <v>B9</v>
      </c>
      <c r="T19" s="155" t="str">
        <f>IF($Q$5=30,L19,IF($Q$5=34,L18,IF($Q$5=35,L18,IF($Q$5=36,L10,IF($Q$5=38,L10,IF($Q$5=39,L11,IF($Q$5=40,P23,IF($Q$5=41,L22,IF($Q$5=42,L22,IF($Q$5=43,P23,IF($Q$5=44,P24,IF($Q$5=45,L22,IF($Q$5=46,L22,IF($Q$5=47,L22,IF($Q$5=48,L22,IF($Q$5=49,L22,IF($Q$5=50,L22,IF($Q$5=51,L22,IF($Q$5=52,L22,IF($Q$5=53,L22,IF($Q$5=54,L22,0)))))))))))))))))))))</f>
        <v>C10</v>
      </c>
      <c r="U19" s="157" t="str">
        <f>IF($Q$5=25,O19,IF($Q$5=26,R18,IF($Q$5=27,S19,IF($Q$5=28,R18,IF($Q$5=29,O19,IF($Q$5=30,O19,IF($Q$5=31,R18,IF($Q$5=32,R10,IF($Q$5=33,O11,IF($Q$5=34,R10,IF($Q$5=35,R10,IF($Q$5=36,O21,IF($Q$5=37,R20,IF($Q$5=38,R20,IF($Q$5=39,O21,IF($Q$5=40,O21,IF($Q$5=41,O21,IF($Q$5=42,O21,IF($Q$5=43,R20,IF($Q$5=44,O21,IF($Q$5=45,R20,IF($Q$5=46,O21,IF($Q$5=47,O21,IF($Q$5=48,O21,IF($Q$5=49,O21,IF($Q$5=50,O21,IF($Q$5=51,O21,IF($Q$5=52,O21,IF($Q$5=53,O21,IF($Q$5=54,O21,0))))))))))))))))))))))))))))))</f>
        <v>A10</v>
      </c>
      <c r="V19" s="137" t="str">
        <f>IF($Q$5=25,S12,IF($Q$5=26,T10,IF($Q$5=27,T10,IF($Q$5=28,T10,IF($Q$5=29,S12,IF($Q$5=30,S12,IF($Q$5=31,T16,IF($Q$5=32,S14,IF($Q$5=33,S14,IF($Q$5=34,S20,IF($Q$5=35,S20,IF($Q$5=36,S21,IF($Q$5=37,S11,IF($Q$5=38,S21,IF($Q$5=39,S20,IF($Q$5=40,S21,IF($Q$5=41,S21,IF($Q$5=42,S21,IF($Q$5=43,S11,IF($Q$5=44,S21,IF($Q$5=45,S21,IF($Q$5=46,S21,IF($Q$5=47,S21,IF($Q$5=48,S21,IF($Q$5=49,S21,IF($Q$5=50,S21,IF($Q$5=51,S21,IF($Q$5=52,S21,IF($Q$5=53,S21,IF($Q$5=54,S21,0))))))))))))))))))))))))))))))</f>
        <v>B2</v>
      </c>
      <c r="W19" s="146" t="str">
        <f>IF($Q$5=30,T10,IF($Q$5=35,T16,IF($Q$5=36,T10,IF($Q$5=38,T10,IF($Q$5=39,T20,IF($Q$5=34,S21,IF($Q$5=40,S23,IF($Q$5=41,T22,IF($Q$5=42,T22,IF($Q$5=43,S23,IF($Q$5=44,S23,IF($Q$5=45,T22,IF($Q$5=46,T22,IF($Q$5=47,T22,IF($Q$5=48,T22,IF($Q$5=49,T22,IF($Q$5=50,T22,IF($Q$5=51,S27,IF($Q$5=52,T22,IF($Q$5=53,T22,IF($Q$5=54,T22,0)))))))))))))))))))))</f>
        <v>C3</v>
      </c>
      <c r="X19" s="18"/>
      <c r="Y19" s="382">
        <v>2</v>
      </c>
      <c r="Z19" s="9" t="str">
        <f>+O12</f>
        <v>A3</v>
      </c>
      <c r="AA19" s="25">
        <v>8</v>
      </c>
      <c r="AB19" s="38">
        <f>IF(AA19+AA23=0,0,IF(AA19=AA23,2,IF(AA19&gt;AA23,3,1)))</f>
        <v>3</v>
      </c>
      <c r="AC19" s="10">
        <f>AA19-AA23</f>
        <v>4</v>
      </c>
      <c r="AD19" s="6"/>
      <c r="AE19" s="9" t="str">
        <f>+R12</f>
        <v>A4</v>
      </c>
      <c r="AF19" s="107">
        <v>6</v>
      </c>
      <c r="AG19" s="38">
        <f>IF(AF19+AF23=0,0,IF(AF19=AF23,2,IF(AF19&gt;AF23,3,1)))</f>
        <v>1</v>
      </c>
      <c r="AH19" s="10">
        <f>AF19-AF23</f>
        <v>-7</v>
      </c>
      <c r="AI19" s="6"/>
      <c r="AJ19" s="9" t="str">
        <f>+U12</f>
        <v>A3</v>
      </c>
      <c r="AK19" s="28">
        <v>10</v>
      </c>
      <c r="AL19" s="38">
        <f>IF(AK19+AK23=0,0,IF(AK19=AK23,2,IF(AK19&gt;AK23,3,1)))</f>
        <v>1</v>
      </c>
      <c r="AM19" s="10">
        <f>AK19-AK23</f>
        <v>-3</v>
      </c>
      <c r="AN19" s="18"/>
      <c r="AO19" s="44">
        <v>11</v>
      </c>
      <c r="AP19" s="278" t="str">
        <f>+Inscrits!B13</f>
        <v>A11</v>
      </c>
      <c r="AQ19" s="247" t="str">
        <f t="shared" si="3"/>
        <v xml:space="preserve"> </v>
      </c>
      <c r="AR19" s="82" t="str">
        <f t="shared" si="4"/>
        <v xml:space="preserve"> </v>
      </c>
      <c r="AS19" s="184" t="str">
        <f t="shared" si="5"/>
        <v xml:space="preserve"> </v>
      </c>
      <c r="AT19" s="250" t="str">
        <f t="shared" si="6"/>
        <v xml:space="preserve"> </v>
      </c>
      <c r="AU19" s="82" t="str">
        <f t="shared" si="7"/>
        <v xml:space="preserve"> </v>
      </c>
      <c r="AV19" s="252" t="str">
        <f t="shared" si="8"/>
        <v xml:space="preserve"> </v>
      </c>
      <c r="AW19" s="247" t="str">
        <f t="shared" si="9"/>
        <v xml:space="preserve"> </v>
      </c>
      <c r="AX19" s="82" t="str">
        <f t="shared" si="10"/>
        <v xml:space="preserve"> </v>
      </c>
      <c r="AY19" s="252" t="str">
        <f t="shared" si="11"/>
        <v xml:space="preserve"> </v>
      </c>
      <c r="AZ19" s="247">
        <f t="shared" si="17"/>
        <v>0</v>
      </c>
      <c r="BA19" s="82">
        <f t="shared" si="12"/>
        <v>0</v>
      </c>
      <c r="BB19" s="252">
        <f t="shared" si="13"/>
        <v>0</v>
      </c>
      <c r="BC19" s="255">
        <f t="shared" si="14"/>
        <v>0</v>
      </c>
      <c r="BD19" s="7">
        <f t="shared" si="15"/>
        <v>0</v>
      </c>
      <c r="BE19" s="183">
        <f t="shared" si="16"/>
        <v>31.000000190000002</v>
      </c>
      <c r="BF19" s="82">
        <f>IF(AP19="","",SMALL(BE$9:BE$62,ROWS(AZ$9:AZ19)))</f>
        <v>3.9476004699999998</v>
      </c>
      <c r="BH19" s="250" t="str">
        <f>IF(OR(AP19="",AZ19=""),"",INDEX($AP$9:$AP$63,MATCH(BF19,$BE$9:BE$62,0)))</f>
        <v>C3</v>
      </c>
      <c r="BI19" s="7">
        <f t="shared" si="0"/>
        <v>7</v>
      </c>
      <c r="BJ19" s="7">
        <f t="shared" si="1"/>
        <v>5</v>
      </c>
      <c r="BK19" s="7">
        <f t="shared" si="2"/>
        <v>24</v>
      </c>
      <c r="BL19" s="17">
        <f>IF(BF19="","",IF(AND(BI18=BI19,BJ18=BJ19,BK18=BK19),BL18,$BL$9+10))</f>
        <v>11</v>
      </c>
      <c r="BM19" s="22"/>
      <c r="BN19" s="225"/>
    </row>
    <row r="20" spans="1:66" ht="21.6" thickBot="1" x14ac:dyDescent="0.35">
      <c r="A20" s="111">
        <v>11</v>
      </c>
      <c r="B20" s="330"/>
      <c r="C20" s="235">
        <f>IF($Q$5&gt;=31,11,0)</f>
        <v>0</v>
      </c>
      <c r="D20" s="335"/>
      <c r="E20" s="235">
        <f>IF($Q$5&gt;=32,11,0)</f>
        <v>0</v>
      </c>
      <c r="F20" s="333"/>
      <c r="G20" s="235">
        <f>IF($Q$5&gt;=33,11,0)</f>
        <v>0</v>
      </c>
      <c r="H20" s="18"/>
      <c r="I20" s="165">
        <v>11</v>
      </c>
      <c r="J20" s="172" t="str">
        <f>IF(ISNA(MATCH(I20,$C$10:$C$27,0)),"",INDEX(B$10:$B$27,MATCH(I20,$C$10:$C$27,0)))</f>
        <v/>
      </c>
      <c r="K20" s="117" t="str">
        <f>IF(ISNA(MATCH(I20,$E$10:$E$27,0)),"",INDEX($D$10:D$27,MATCH(I20,$E$10:$E$27,0)))</f>
        <v/>
      </c>
      <c r="L20" s="160" t="str">
        <f>IF(ISNA(MATCH(I20,$G$10:$G$27,0)),"",INDEX($F$10:F$27,MATCH(I20,$G$10:$G$27,0)))</f>
        <v/>
      </c>
      <c r="M20" s="130"/>
      <c r="N20" s="3">
        <v>6</v>
      </c>
      <c r="O20" s="118">
        <f>IF($Q$5=31,J20,IF($Q$5=32,J20,IF($Q$5=33,J20,IF($Q$5=34,J20,IF($Q$5=35,J20,IF($Q$5=36,J20,IF($Q$5=37,J20,IF($Q$5=38,J20,IF($Q$5=39,J20,IF($Q$5=40,J20,IF($Q$5=41,J20,IF($Q$5=42,J20,IF($Q$5=43,J20,IF($Q$5=44,J20,IF($Q$5=45,J20,IF($Q$5=46,J20,IF($Q$5=47,J20,IF($Q$5=48,J20,IF($Q$5=49,J20,IF($Q$5=50,J20,IF($Q$5=51,J20,IF($Q$5=52,J20,IF($Q$5=53,J20,IF($Q$5=54,J20,0))))))))))))))))))))))))</f>
        <v>0</v>
      </c>
      <c r="P20" s="119">
        <f>IF($Q$5=31,L18,IF($Q$5=32,L18,IF($Q$5=33,L19,IF($Q$5=34,K20,IF($Q$5=35,K20,IF($Q$5=36,K20,IF($Q$5=37,K20,IF($Q$5=38,K20,IF($Q$5=39,K20,IF($Q$5=40,K20,IF($Q$5=41,K20,IF($Q$5=42,K20,IF($Q$5=43,K20,IF($Q$5=44,K20,IF($Q$5=45,K20,IF($Q$5=46,K20,IF($Q$5=47,K20,IF($Q$5=48,K20,IF($Q$5=49,K20,IF($Q$5=50,K20,IF($Q$5=51,K20,IF($Q$5=52,K20,IF($Q$5=53,K20,IF($Q$5=54,K20,0))))))))))))))))))))))))</f>
        <v>0</v>
      </c>
      <c r="Q20" s="120">
        <f>IF($Q$5=35,L20,IF($Q$5=36,L20,IF($Q$5=39,L20,IF($Q$5=40,L20,IF($Q$5=41,L20,IF($Q$5=42,L20,IF($Q$5=43,L20,IF($Q$5=44,L20,IF($Q$5=45,L20,IF($Q$5=46,L20,IF($Q$5=47,L20,IF($Q$5=48,L20,IF($Q$5=49,L20,IF($Q$5=50,L20,IF($Q$5=51,L20,IF($Q$5=52,L20,IF($Q$5=53,L20,IF($Q$5=54,L20,0))))))))))))))))))</f>
        <v>0</v>
      </c>
      <c r="R20" s="140">
        <f>IF($Q$5=31,J10,IF($Q$5=32,K20,IF($Q$5=33,J10,IF($Q$5=34,J21,IF($Q$5=35,J21,IF($Q$5=36,J21,IF($Q$5=37,J21,IF($Q$5=38,J21,IF($Q$5=39,J21,IF($Q$5=40,J21,IF($Q$5=41,J21,IF($Q$5=42,J21,IF($Q$5=43,J21,IF($Q$5=44,J21,IF($Q$5=45,J21,IF($Q$5=46,J21,IF($Q$5=47,J21,IF($Q$5=48,J21,IF($Q$5=49,J21,IF($Q$5=50,J21,IF($Q$5=51,J21,IF($Q$5=52,J21,IF($Q$5=53,J21,IF($Q$5=54,J21,0))))))))))))))))))))))))</f>
        <v>0</v>
      </c>
      <c r="S20" s="132">
        <f>IF($Q$5=31,P20,IF($Q$5=32,K10,IF($Q$5=33,P21,IF($Q$5=34,K20,IF($Q$5=35,K20,IF($Q$5=36,K10,IF($Q$5=37,K10,IF($Q$5=38,P11,IF($Q$5=39,K10,IF($Q$5=40,K22,IF($Q$5=41,K22,IF($Q$5=42,K22,IF($Q$5=43,K22,IF($Q$5=44,K22,IF($Q$5=45,K22,IF($Q$5=46,K22,IF($Q$5=47,K22,IF($Q$5=48,K22,IF($Q$5=49,K22,IF($Q$5=50,K22,IF($Q$5=51,K22,IF($Q$5=52,K22,IF($Q$5=53,K22,IF($Q$5=54,K22,0))))))))))))))))))))))))</f>
        <v>0</v>
      </c>
      <c r="T20" s="151">
        <f>IF($Q$5=35,L19,IF($Q$5=36,L11,IF($Q$5=39,L12,IF($Q$5=40,L10,IF($Q$5=41,L10,IF($Q$5=42,L23,IF($Q$5=43,P24,IF($Q$5=44,P25,IF($Q$5=45,P24,IF($Q$5=46,L23,IF($Q$5=47,L23,IF($Q$5=48,L23,IF($Q$5=49,L10,IF($Q$5=50,L23,IF($Q$5=51,L23,IF($Q$5=52,L23,IF($Q$5=53,L23,IF($Q$5=54,L23,0))))))))))))))))))</f>
        <v>0</v>
      </c>
      <c r="U20" s="140">
        <f>IF($Q$5=30,0,IF($Q$5=31,R19,IF($Q$5=32,R19,IF($Q$5=33,R19,IF($Q$5=34,R18,IF($Q$5=35,R18,IF($Q$5=36,O10,IF($Q$5=37,R21,IF($Q$5=38,R21,IF($Q$5=39,O22,IF($Q$5=40,R21,IF($Q$5=41,O22,IF($Q$5=42,O22,IF($Q$5=43,R21,IF($Q$5=44,R21,IF($Q$5=45,O22,IF($Q$5=46,O22,IF($Q$5=47,O22,IF($Q$5=48,O22,IF($Q$5=49,O22,IF($Q$5=50,O22,IF($Q$5=51,R21,IF($Q$5=52,O22,IF($Q$5=53,O22,IF($Q$5=54,O22,0)))))))))))))))))))))))))</f>
        <v>0</v>
      </c>
      <c r="V20" s="138">
        <f>IF($Q$5=31,T10,IF($Q$5=32,S18,IF($Q$5=33,T18,IF($Q$5=34,S14,IF($Q$5=35,S21,IF($Q$5=36,S10,IF($Q$5=37,S10,IF($Q$5=38,S11,IF($Q$5=39,S21,IF($Q$5=40,S22,IF($Q$5=41,S22,IF($Q$5=42,S22,IF($Q$5=43,S22,IF($Q$5=44,S22,IF($Q$5=45,S22,IF($Q$5=46,S22,IF($Q$5=47,S22,IF($Q$5=48,S22,IF($Q$5=49,S22,IF($Q$5=50,S22,IF($Q$5=51,S22,IF($Q$5=52,S22,IF($Q$5=53,S22,IF($Q$5=54,S22,0))))))))))))))))))))))))</f>
        <v>0</v>
      </c>
      <c r="W20" s="145">
        <f>IF($Q$5=35,T18,IF($Q$5=36,T11,IF($Q$5=39,T10,IF($Q$5=40,T10,IF($Q$5=41,T10,IF($Q$5=42,T23,IF($Q$5=43,S24,IF($Q$5=44,S24,IF($Q$5=45,S24,IF($Q$5=46,T23,IF($Q$5=47,T23,IF($Q$5=48,T23,IF($Q$5=49,T10,IF($Q$5=50,T23,IF($Q$5=51,S26,IF($Q$5=52,S27,IF($Q$5=53,T23,IF($Q$5=54,T23,0))))))))))))))))))</f>
        <v>0</v>
      </c>
      <c r="X20" s="18"/>
      <c r="Y20" s="383"/>
      <c r="Z20" s="11" t="str">
        <f>+P12</f>
        <v>B3</v>
      </c>
      <c r="AA20" s="14">
        <f>IF(ISTEXT(Z20),AA19,0)</f>
        <v>8</v>
      </c>
      <c r="AB20" s="14">
        <f>IF(ISTEXT(Z20),AB19,0)</f>
        <v>3</v>
      </c>
      <c r="AC20" s="15">
        <f>IF(ISTEXT(Z20),AC19,0)</f>
        <v>4</v>
      </c>
      <c r="AD20" s="6"/>
      <c r="AE20" s="11" t="str">
        <f>+S12</f>
        <v>B2</v>
      </c>
      <c r="AF20" s="14">
        <f>IF(ISTEXT(AE20),AF19,0)</f>
        <v>6</v>
      </c>
      <c r="AG20" s="48">
        <f>IF(ISTEXT(AE20),AG19,0)</f>
        <v>1</v>
      </c>
      <c r="AH20" s="15">
        <f>IF(ISTEXT(AE20),AH19,0)</f>
        <v>-7</v>
      </c>
      <c r="AI20" s="6"/>
      <c r="AJ20" s="11" t="str">
        <f>+V12</f>
        <v>B4</v>
      </c>
      <c r="AK20" s="14">
        <f>IF(ISTEXT(AJ20),AK19,0)</f>
        <v>10</v>
      </c>
      <c r="AL20" s="48">
        <f>IF(ISTEXT(AJ20),AL19,0)</f>
        <v>1</v>
      </c>
      <c r="AM20" s="15">
        <f>IF(ISTEXT(AJ20),AM19,0)</f>
        <v>-3</v>
      </c>
      <c r="AN20" s="18"/>
      <c r="AO20" s="44">
        <v>12</v>
      </c>
      <c r="AP20" s="278" t="str">
        <f>+Inscrits!B14</f>
        <v>A12</v>
      </c>
      <c r="AQ20" s="247" t="str">
        <f t="shared" si="3"/>
        <v xml:space="preserve"> </v>
      </c>
      <c r="AR20" s="82" t="str">
        <f t="shared" si="4"/>
        <v xml:space="preserve"> </v>
      </c>
      <c r="AS20" s="184" t="str">
        <f t="shared" si="5"/>
        <v xml:space="preserve"> </v>
      </c>
      <c r="AT20" s="250" t="str">
        <f t="shared" si="6"/>
        <v xml:space="preserve"> </v>
      </c>
      <c r="AU20" s="82" t="str">
        <f t="shared" si="7"/>
        <v xml:space="preserve"> </v>
      </c>
      <c r="AV20" s="252" t="str">
        <f t="shared" si="8"/>
        <v xml:space="preserve"> </v>
      </c>
      <c r="AW20" s="247" t="str">
        <f t="shared" si="9"/>
        <v xml:space="preserve"> </v>
      </c>
      <c r="AX20" s="82" t="str">
        <f t="shared" si="10"/>
        <v xml:space="preserve"> </v>
      </c>
      <c r="AY20" s="252" t="str">
        <f t="shared" si="11"/>
        <v xml:space="preserve"> </v>
      </c>
      <c r="AZ20" s="247">
        <f t="shared" si="17"/>
        <v>0</v>
      </c>
      <c r="BA20" s="82">
        <f t="shared" si="12"/>
        <v>0</v>
      </c>
      <c r="BB20" s="252">
        <f t="shared" si="13"/>
        <v>0</v>
      </c>
      <c r="BC20" s="255">
        <f t="shared" si="14"/>
        <v>0</v>
      </c>
      <c r="BD20" s="7">
        <f t="shared" si="15"/>
        <v>0</v>
      </c>
      <c r="BE20" s="183">
        <f t="shared" si="16"/>
        <v>31.000000199999999</v>
      </c>
      <c r="BF20" s="82">
        <f>IF(AP20="","",SMALL(BE$9:BE$62,ROWS(AZ$9:AZ20)))</f>
        <v>3.9574000999999996</v>
      </c>
      <c r="BH20" s="250" t="str">
        <f>IF(OR(AP20="",AZ20=""),"",INDEX($AP$9:$AP$63,MATCH(BF20,$BE$9:BE$62,0)))</f>
        <v>A2</v>
      </c>
      <c r="BI20" s="7">
        <f t="shared" si="0"/>
        <v>7</v>
      </c>
      <c r="BJ20" s="7">
        <f t="shared" si="1"/>
        <v>4</v>
      </c>
      <c r="BK20" s="7">
        <f t="shared" si="2"/>
        <v>26</v>
      </c>
      <c r="BL20" s="17">
        <f>IF(BF20="","",IF(AND(BI19=BI20,BJ19=BJ20,BK19=BK20),BL19,$BL$9+11))</f>
        <v>12</v>
      </c>
      <c r="BM20" s="22"/>
      <c r="BN20" s="225"/>
    </row>
    <row r="21" spans="1:66" ht="21.6" thickBot="1" x14ac:dyDescent="0.35">
      <c r="A21" s="111">
        <v>12</v>
      </c>
      <c r="B21" s="330"/>
      <c r="C21" s="235">
        <f>IF($Q$5&gt;=34,12,0)</f>
        <v>0</v>
      </c>
      <c r="D21" s="330"/>
      <c r="E21" s="235">
        <f>IF($Q$5&gt;=35,12,0)</f>
        <v>0</v>
      </c>
      <c r="F21" s="333"/>
      <c r="G21" s="235">
        <f>IF($Q$5&gt;=36,12,0)</f>
        <v>0</v>
      </c>
      <c r="H21" s="18"/>
      <c r="I21" s="165">
        <v>12</v>
      </c>
      <c r="J21" s="172" t="str">
        <f>IF(ISNA(MATCH(I21,$C$10:$C$27,0)),"",INDEX(B$10:$B$27,MATCH(I21,$C$10:$C$27,0)))</f>
        <v/>
      </c>
      <c r="K21" s="117" t="str">
        <f>IF(ISNA(MATCH(I21,$E$10:$E$27,0)),"",INDEX($D$10:D$27,MATCH(I21,$E$10:$E$27,0)))</f>
        <v/>
      </c>
      <c r="L21" s="160" t="str">
        <f>IF(ISNA(MATCH(I21,$G$10:$G$27,0)),"",INDEX($F$10:F$27,MATCH(I21,$G$10:$G$27,0)))</f>
        <v/>
      </c>
      <c r="M21" s="130"/>
      <c r="N21" s="42" t="s">
        <v>5</v>
      </c>
      <c r="O21" s="121">
        <f>IF($Q$5=31,K19,IF($Q$5=32,K20,IF($Q$5=33,K20,IF($Q$5=34,J21,IF($Q$5=35,J21,IF($Q$5=36,J21,IF($Q$5=37,J21,IF($Q$5=38,J21,IF($Q$5=39,J21,IF($Q$5=40,J21,IF($Q$5=41,J21,IF($Q$5=42,J21,IF($Q$5=43,J21,IF($Q$5=44,J21,IF($Q$5=45,J21,IF($Q$5=46,J21,IF($Q$5=47,J21,IF($Q$5=48,J21,IF($Q$5=49,J21,IF($Q$5=50,J21,IF($Q$5=51,J21,IF($Q$5=52,J21,IF($Q$5=53,J21,IF($Q$5=54,J21,0))))))))))))))))))))))))</f>
        <v>0</v>
      </c>
      <c r="P21" s="126">
        <f>IF($Q$5=31,L19,IF($Q$5=32,L19,IF($Q$5=33,L20,IF($Q$5=34,L20,IF($Q$5=35,K21,IF($Q$5=36,K21,IF($Q$5=37,L21,IF($Q$5=38,K21,IF($Q$5=39,K21,IF($Q$5=40,K21,IF($Q$5=41,K21,IF($Q$5=42,K21,IF($Q$5=43,K21,IF($Q$5=44,K21,IF($Q$5=45,K21,IF($Q$5=46,K21,IF($Q$5=47,K21,IF($Q$5=48,K21,IF($Q$5=49,K21,IF($Q$5=50,K21,IF($Q$5=51,K21,IF($Q$5=52,K21,IF($Q$5=53,K21,IF($Q$5=54,K21,0))))))))))))))))))))))))</f>
        <v>0</v>
      </c>
      <c r="Q21" s="123">
        <f>IF($Q$5=36,L21,IF($Q$5=40,L21,IF($Q$5=41,L21,IF($Q$5=42,L21,IF($Q$5=43,0,IF($Q$5=44,L21,IF($Q$5=45,L21,IF($Q$5=46,L21,IF($Q$5=47,L21,IF($Q$5=48,L21,IF($Q$5=49,L21,IF($Q$5=50,L21,IF($Q$5=51,L21,IF($Q$5=52,L21,IF($Q$5=53,L21,IF($Q$5=54,L21,0))))))))))))))))</f>
        <v>0</v>
      </c>
      <c r="R21" s="141">
        <f>IF($Q$5=31,K11,IF($Q$5=32,J10,IF($Q$5=33,O21,IF($Q$5=34,J10,IF($Q$5=35,J10,IF($Q$5=36,J10,IF($Q$5=37,J22,IF($Q$5=38,J22,IF($Q$5=39,J22,IF($Q$5=40,J22,IF($Q$5=41,J22,IF($Q$5=42,J22,IF($Q$5=43,J22,IF($Q$5=44,J22,IF($Q$5=45,J22,IF($Q$5=46,J22,IF($Q$5=47,J22,IF($Q$5=48,J22,IF($Q$5=49,J22,IF($Q$5=50,J22,IF($Q$5=51,J22,IF($Q$5=52,J22,IF($Q$5=53,J22,IF($Q$5=54,J22,0))))))))))))))))))))))))</f>
        <v>0</v>
      </c>
      <c r="S21" s="137">
        <f>IF($Q$5=31,O21,IF($Q$5=32,P18,IF($Q$5=33,P20,IF($Q$5=34,L19,IF($Q$5=35,K21,IF($Q$5=36,K11,IF($Q$5=37,L10,IF($Q$5=38,K10,IF($Q$5=39,K11,IF($Q$5=40,K10,IF($Q$5=41,K23,IF($Q$5=42,K23,IF($Q$5=43,P11,IF($Q$5=44,K23,IF($Q$5=45,K23,IF($Q$5=46,K23,IF($Q$5=47,K23,IF($Q$5=48,K23,IF($Q$5=49,K23,IF($Q$5=50,K23,IF($Q$5=51,K23,IF($Q$5=52,K23,IF($Q$5=53,K23,IF($Q$5=54,K23,0))))))))))))))))))))))))</f>
        <v>0</v>
      </c>
      <c r="T21" s="153">
        <f>IF($Q$5=36,L12,IF($Q$5=40,L11,IF($Q$5=41,L11,IF($Q$5=42,L10,IF($Q$5=43,0,IF($Q$5=44,L10,IF($Q$5=45,P25,IF($Q$5=46,P25,IF($Q$5=47,L24,IF($Q$5=48,L24,IF($Q$5=49,L11,IF($Q$5=50,P26,IF($Q$5=51,L24,IF($Q$5=52,L24,IF($Q$5=53,L24,IF($Q$5=54,L24,0))))))))))))))))</f>
        <v>0</v>
      </c>
      <c r="U21" s="156">
        <f>IF($Q$5=31,S21,IF($Q$5=32,R20,IF($Q$5=33,R21,IF($Q$5=34,R20,IF($Q$5=35,R20,IF($Q$5=36,O11,IF($Q$5=37,R22,IF($Q$5=38,R22,IF($Q$5=39,O10,IF($Q$5=40,R22,IF($Q$5=41,R22,IF($Q$5=42,O23,IF($Q$5=43,R22,IF($Q$5=44,O23,IF($Q$5=45,R22,IF($Q$5=46,O23,IF($Q$5=47,O23,IF($Q$5=48,R22,IF($Q$5=49,R22,IF($Q$5=50,O23,IF($Q$5=51,R22,IF($Q$5=52,R22,IF($Q$5=53,O23,IF($Q$5=54,O23,0))))))))))))))))))))))))</f>
        <v>0</v>
      </c>
      <c r="V21" s="137">
        <f>IF($Q$5=31,S15,IF($Q$5=32,S19,IF($Q$5=33,S21,IF($Q$5=34,T19,IF($Q$5=35,S14,IF($Q$5=36,S11,IF($Q$5=37,T10,IF($Q$5=38,S10,IF($Q$5=39,S10,IF($Q$5=40,S10,IF($Q$5=41,S23,IF($Q$5=42,S23,IF($Q$5=43,S21,IF($Q$5=44,S11,IF($Q$5=45,S23,IF($Q$5=46,S23,IF($Q$5=47,S23,IF($Q$5=48,S23,IF($Q$5=49,S23,IF($Q$5=50,S23,IF($Q$5=51,S23,IF($Q$5=52,S23,IF($Q$5=53,S23,IF($Q$5=54,S23,0))))))))))))))))))))))))</f>
        <v>0</v>
      </c>
      <c r="W21" s="146">
        <f>IF($Q$5=36,T12,IF($Q$5=39,0,IF($Q$5=40,T11,IF($Q$5=41,T11,IF($Q$5=42,T10,IF($Q$5=43,0,IF($Q$5=44,T10,IF($Q$5=45,S25,IF($Q$5=46,S25,IF($Q$5=47,T24,IF($Q$5=48,T24,IF($Q$5=49,T11,IF($Q$5=50,S26,IF($Q$5=51,T22,IF($Q$5=52,T23,IF($Q$5=53,T24,IF($Q$5=54,T24,0)))))))))))))))))</f>
        <v>0</v>
      </c>
      <c r="X21" s="18"/>
      <c r="Y21" s="383"/>
      <c r="Z21" s="11" t="str">
        <f>+Q12</f>
        <v>C3</v>
      </c>
      <c r="AA21" s="55">
        <f>IF(ISTEXT(Z21),AA19,0)</f>
        <v>8</v>
      </c>
      <c r="AB21" s="55">
        <f>IF(ISTEXT(Z21),AB19,0)</f>
        <v>3</v>
      </c>
      <c r="AC21" s="56">
        <f>IF(ISTEXT(Z21),AC19,0)</f>
        <v>4</v>
      </c>
      <c r="AD21" s="6"/>
      <c r="AE21" s="11" t="str">
        <f>+T12</f>
        <v>C5</v>
      </c>
      <c r="AF21" s="55">
        <f>IF(ISTEXT(AE21),AF19,0)</f>
        <v>6</v>
      </c>
      <c r="AG21" s="52">
        <f>IF(ISTEXT(AE21),AG19,0)</f>
        <v>1</v>
      </c>
      <c r="AH21" s="56">
        <f>IF(ISTEXT(AE21),AH19,0)</f>
        <v>-7</v>
      </c>
      <c r="AI21" s="6"/>
      <c r="AJ21" s="11" t="str">
        <f>+W12</f>
        <v>C2</v>
      </c>
      <c r="AK21" s="55">
        <f>IF(ISTEXT(AJ21),AK19,0)</f>
        <v>10</v>
      </c>
      <c r="AL21" s="52">
        <f>IF(ISTEXT(AJ21),AL19,0)</f>
        <v>1</v>
      </c>
      <c r="AM21" s="56">
        <f>IF(ISTEXT(AJ21),AM19,0)</f>
        <v>-3</v>
      </c>
      <c r="AN21" s="18"/>
      <c r="AO21" s="44">
        <v>13</v>
      </c>
      <c r="AP21" s="278" t="str">
        <f>+Inscrits!B15</f>
        <v>A13</v>
      </c>
      <c r="AQ21" s="247" t="str">
        <f t="shared" si="3"/>
        <v xml:space="preserve"> </v>
      </c>
      <c r="AR21" s="82" t="str">
        <f t="shared" si="4"/>
        <v xml:space="preserve"> </v>
      </c>
      <c r="AS21" s="184" t="str">
        <f t="shared" si="5"/>
        <v xml:space="preserve"> </v>
      </c>
      <c r="AT21" s="250" t="str">
        <f t="shared" si="6"/>
        <v xml:space="preserve"> </v>
      </c>
      <c r="AU21" s="82" t="str">
        <f t="shared" si="7"/>
        <v xml:space="preserve"> </v>
      </c>
      <c r="AV21" s="252" t="str">
        <f t="shared" si="8"/>
        <v xml:space="preserve"> </v>
      </c>
      <c r="AW21" s="247" t="str">
        <f t="shared" si="9"/>
        <v xml:space="preserve"> </v>
      </c>
      <c r="AX21" s="82" t="str">
        <f t="shared" si="10"/>
        <v xml:space="preserve"> </v>
      </c>
      <c r="AY21" s="252" t="str">
        <f t="shared" si="11"/>
        <v xml:space="preserve"> </v>
      </c>
      <c r="AZ21" s="247">
        <f t="shared" si="17"/>
        <v>0</v>
      </c>
      <c r="BA21" s="82">
        <f t="shared" si="12"/>
        <v>0</v>
      </c>
      <c r="BB21" s="252">
        <f t="shared" si="13"/>
        <v>0</v>
      </c>
      <c r="BC21" s="255">
        <f t="shared" si="14"/>
        <v>0</v>
      </c>
      <c r="BD21" s="7">
        <f t="shared" si="15"/>
        <v>0</v>
      </c>
      <c r="BE21" s="183">
        <f t="shared" si="16"/>
        <v>31.00000021</v>
      </c>
      <c r="BF21" s="82">
        <f>IF(AP21="","",SMALL(BE$9:BE$62,ROWS(AZ$9:AZ21)))</f>
        <v>3.95740011</v>
      </c>
      <c r="BH21" s="250" t="str">
        <f>IF(OR(AP21="",AZ21=""),"",INDEX($AP$9:$AP$63,MATCH(BF21,$BE$9:BE$62,0)))</f>
        <v>A3</v>
      </c>
      <c r="BI21" s="7">
        <f t="shared" si="0"/>
        <v>7</v>
      </c>
      <c r="BJ21" s="7">
        <f t="shared" si="1"/>
        <v>4</v>
      </c>
      <c r="BK21" s="7">
        <f t="shared" si="2"/>
        <v>26</v>
      </c>
      <c r="BL21" s="17">
        <f>IF(BF21="","",IF(AND(BI20=BI21,BJ20=BJ21,BK20=BK21),BL20,$BL$9+12))</f>
        <v>12</v>
      </c>
      <c r="BM21" s="22"/>
      <c r="BN21" s="225"/>
    </row>
    <row r="22" spans="1:66" ht="21" x14ac:dyDescent="0.3">
      <c r="A22" s="111">
        <v>13</v>
      </c>
      <c r="B22" s="330"/>
      <c r="C22" s="235">
        <f>IF($Q$5&gt;=37,13,0)</f>
        <v>0</v>
      </c>
      <c r="D22" s="330"/>
      <c r="E22" s="235">
        <f>IF($Q$5&gt;=38,13,0)</f>
        <v>0</v>
      </c>
      <c r="F22" s="333"/>
      <c r="G22" s="235">
        <f>IF($Q$5&gt;=39,13,0)</f>
        <v>0</v>
      </c>
      <c r="H22" s="18"/>
      <c r="I22" s="165">
        <v>13</v>
      </c>
      <c r="J22" s="172" t="str">
        <f>IF(ISNA(MATCH(I22,$C$10:$C$27,0)),"",INDEX(B$10:$B$27,MATCH(I22,$C$10:$C$27,0)))</f>
        <v/>
      </c>
      <c r="K22" s="117" t="str">
        <f>IF(ISNA(MATCH(I22,$E$10:$E$27,0)),"",INDEX($D$10:D$27,MATCH(I22,$E$10:$E$27,0)))</f>
        <v/>
      </c>
      <c r="L22" s="160" t="str">
        <f>IF(ISNA(MATCH(I22,$G$10:$G$27,0)),"",INDEX($F$10:F$27,MATCH(I22,$G$10:$G$27,0)))</f>
        <v/>
      </c>
      <c r="M22" s="130"/>
      <c r="N22" s="67">
        <v>7</v>
      </c>
      <c r="O22" s="127">
        <f>IF($Q$5=36,0,IF($Q$5=37,J22,IF($Q$5=38,J22,IF($Q$5=39,J22,IF($Q$5=40,J22,IF($Q$5=41,J22,IF($Q$5=42,J22,IF($Q$5=43,J22,IF($Q$5=44,J22,IF($Q$5=45,J22,IF($Q$5=46,J22,IF($Q$5=47,J22,IF($Q$5=48,J22,IF($Q$5=49,J22,IF($Q$5=50,J22,IF($Q$5=51,J22,IF($Q$5=52,J22,IF($Q$5=53,J22,IF($Q$5=54,J22,0)))))))))))))))))))</f>
        <v>0</v>
      </c>
      <c r="P22" s="122">
        <f>IF($Q$5=36,0,IF($Q$5=37,L20,IF($Q$5=38,L20,IF($Q$5=39,L21,IF($Q$5=40,K22,IF($Q$5=41,K22,IF($Q$5=42,K22,IF($Q$5=43,K22,IF($Q$5=44,K22,IF($Q$5=45,K22,IF($Q$5=46,K22,IF($Q$5=47,K22,IF($Q$5=48,K22,IF($Q$5=49,K22,IF($Q$5=50,K22,IF($Q$5=51,K22,IF($Q$5=52,K22,IF($Q$5=53,K22,IF($Q$5=54,K22,0)))))))))))))))))))</f>
        <v>0</v>
      </c>
      <c r="Q22" s="128">
        <f>IF($Q$5=39,0,IF($Q$5=40,0,IF($Q$5=41,L22,IF($Q$5=42,L22,IF($Q$5=43,0,IF($Q$5=44,0,IF($Q$5=45,L22,IF($Q$5=46,L22,IF($Q$5=47,L22,IF($Q$5=48,L22,IF($Q$5=49,L22,IF($Q$5=50,L22,IF($Q$5=51,L22,IF($Q$5=52,L22,IF($Q$5=53,L22,IF($Q$5=54,L22,0))))))))))))))))</f>
        <v>0</v>
      </c>
      <c r="R22" s="140">
        <f>IF($Q$5=33,0,IF($Q$5=34,0,IF($Q$5=35,0,IF($Q$5=36,0,IF($Q$5=37,J10,IF($Q$5=38,J10,IF($Q$5=39,J10,IF($Q$5=40,J23,IF($Q$5=41,J23,IF($Q$5=42,J23,IF($Q$5=43,J23,IF($Q$5=44,J23,IF($Q$5=45,J23,IF($Q$5=46,J23,IF($Q$5=47,J23,IF($Q$5=48,J23,IF($Q$5=49,J23,IF($Q$5=50,J23,IF($Q$5=51,J23,IF($Q$5=52,J23,IF($Q$5=53,J23,IF($Q$5=54,J23,0))))))))))))))))))))))</f>
        <v>0</v>
      </c>
      <c r="S22" s="132">
        <f>IF($Q$5=37,L11,IF($Q$5=38,L11,IF($Q$5=39,P23,IF($Q$5=40,K11,IF($Q$5=41,K10,IF($Q$5=42,K10,IF($Q$5=43,K10,IF($Q$5=44,P10,IF($Q$5=45,P11,IF($Q$5=46,K24,IF($Q$5=47,K24,IF($Q$5=48,K24,IF($Q$5=49,K24,IF($Q$5=50,K24,IF($Q$5=51,K24,IF($Q$5=52,K24,IF($Q$5=53,K24,IF($Q$5=54,K24,0))))))))))))))))))</f>
        <v>0</v>
      </c>
      <c r="T22" s="151">
        <f>IF($Q$5=41,L12,IF($Q$5=42,L11,IF($Q$5=43,0,IF($Q$5=44,0,IF($Q$5=45,L10,IF($Q$5=46,L10,IF($Q$5=47,L10,IF($Q$5=48,L25,IF($Q$5=49,L12,IF($Q$5=50,P27,IF($Q$5=51,L10,IF($Q$5=52,L25,IF($Q$5=53,L25,IF($Q$5=54,L25,0))))))))))))))</f>
        <v>0</v>
      </c>
      <c r="U22" s="135">
        <f>IF($Q$5=37,O11,IF($Q$5=38,R10,IF($Q$5=39,R10,IF($Q$5=40,R23,IF($Q$5=41,R23,IF($Q$5=42,R23,IF($Q$5=43,R23,IF($Q$5=44,O24,IF($Q$5=45,R23,IF($Q$5=46,R23,IF($Q$5=47,R23,IF($Q$5=48,R23,IF($Q$5=49,R23,IF($Q$5=50,R23,IF($Q$5=51,R23,IF($Q$5=52,R23,IF($Q$5=53,R23,IF($Q$5=54,O24,0))))))))))))))))))</f>
        <v>0</v>
      </c>
      <c r="V22" s="138">
        <f>IF($Q$5=37,T11,IF($Q$5=38,T12,IF($Q$5=39,T11,IF($Q$5=40,S11,IF($Q$5=41,S10,IF($Q$5=42,S10,IF($Q$5=43,S10,IF($Q$5=44,S25,IF($Q$5=45,S11,IF($Q$5=46,S24,IF($Q$5=47,S24,IF($Q$5=48,S24,IF($Q$5=49,S24,IF($Q$5=50,S11,IF($Q$5=51,S11,IF($Q$5=52,S24,IF($Q$5=53,S24,IF($Q$5=54,S24,0))))))))))))))))))</f>
        <v>0</v>
      </c>
      <c r="W22" s="145">
        <f>IF($Q$5=41,T12,IF($Q$5=42,T11,IF($Q$5=43,0,IF($Q$5=44,0,IF($Q$5=45,T10,IF($Q$5=46,T10,IF($Q$5=47,T10,IF($Q$5=48,T25,IF($Q$5=49,T12,IF($Q$5=50,S27,IF($Q$5=51,T23,IF($Q$5=52,T24,IF($Q$5=53,T25,IF($Q$5=54,T25,0))))))))))))))</f>
        <v>0</v>
      </c>
      <c r="X22" s="18"/>
      <c r="Y22" s="383"/>
      <c r="Z22" s="24"/>
      <c r="AA22" s="16" t="s">
        <v>5</v>
      </c>
      <c r="AB22" s="16"/>
      <c r="AC22" s="17"/>
      <c r="AD22" s="1"/>
      <c r="AE22" s="24"/>
      <c r="AF22" s="16" t="s">
        <v>5</v>
      </c>
      <c r="AG22" s="16"/>
      <c r="AH22" s="17"/>
      <c r="AI22" s="1"/>
      <c r="AJ22" s="24"/>
      <c r="AK22" s="16" t="s">
        <v>5</v>
      </c>
      <c r="AL22" s="16"/>
      <c r="AM22" s="17"/>
      <c r="AN22" s="18"/>
      <c r="AO22" s="44">
        <v>14</v>
      </c>
      <c r="AP22" s="278" t="str">
        <f>+Inscrits!B16</f>
        <v>A14</v>
      </c>
      <c r="AQ22" s="247" t="str">
        <f t="shared" si="3"/>
        <v xml:space="preserve"> </v>
      </c>
      <c r="AR22" s="82" t="str">
        <f t="shared" si="4"/>
        <v xml:space="preserve"> </v>
      </c>
      <c r="AS22" s="184" t="str">
        <f t="shared" si="5"/>
        <v xml:space="preserve"> </v>
      </c>
      <c r="AT22" s="250" t="str">
        <f t="shared" si="6"/>
        <v xml:space="preserve"> </v>
      </c>
      <c r="AU22" s="82" t="str">
        <f t="shared" si="7"/>
        <v xml:space="preserve"> </v>
      </c>
      <c r="AV22" s="252" t="str">
        <f t="shared" si="8"/>
        <v xml:space="preserve"> </v>
      </c>
      <c r="AW22" s="247" t="str">
        <f t="shared" si="9"/>
        <v xml:space="preserve"> </v>
      </c>
      <c r="AX22" s="82" t="str">
        <f t="shared" si="10"/>
        <v xml:space="preserve"> </v>
      </c>
      <c r="AY22" s="252" t="str">
        <f t="shared" si="11"/>
        <v xml:space="preserve"> </v>
      </c>
      <c r="AZ22" s="247">
        <f t="shared" si="17"/>
        <v>0</v>
      </c>
      <c r="BA22" s="82">
        <f t="shared" si="12"/>
        <v>0</v>
      </c>
      <c r="BB22" s="252">
        <f t="shared" si="13"/>
        <v>0</v>
      </c>
      <c r="BC22" s="255">
        <f t="shared" si="14"/>
        <v>0</v>
      </c>
      <c r="BD22" s="7">
        <f t="shared" si="15"/>
        <v>0</v>
      </c>
      <c r="BE22" s="183">
        <f t="shared" si="16"/>
        <v>31.00000022</v>
      </c>
      <c r="BF22" s="82">
        <f>IF(AP22="","",SMALL(BE$9:BE$62,ROWS(AZ$9:AZ22)))</f>
        <v>3.9772005099999999</v>
      </c>
      <c r="BH22" s="250" t="str">
        <f>IF(OR(AP22="",AZ22=""),"",INDEX($AP$9:$AP$63,MATCH(BF22,$BE$9:BE$62,0)))</f>
        <v>C7</v>
      </c>
      <c r="BI22" s="7">
        <f t="shared" si="0"/>
        <v>7</v>
      </c>
      <c r="BJ22" s="7">
        <f t="shared" si="1"/>
        <v>2</v>
      </c>
      <c r="BK22" s="7">
        <f t="shared" si="2"/>
        <v>28</v>
      </c>
      <c r="BL22" s="17">
        <f>IF(BF22="","",IF(AND(BI21=BI22,BJ21=BJ22,BK21=BK22),BL21,$BL$9+13))</f>
        <v>14</v>
      </c>
      <c r="BM22" s="22"/>
      <c r="BN22" s="225"/>
    </row>
    <row r="23" spans="1:66" ht="21.6" thickBot="1" x14ac:dyDescent="0.35">
      <c r="A23" s="111">
        <v>14</v>
      </c>
      <c r="B23" s="330"/>
      <c r="C23" s="237">
        <f>IF($Q$5&gt;=40,14,0)</f>
        <v>0</v>
      </c>
      <c r="D23" s="330"/>
      <c r="E23" s="237">
        <f>IF($Q$5&gt;=41,14,0)</f>
        <v>0</v>
      </c>
      <c r="F23" s="333"/>
      <c r="G23" s="237">
        <f>IF($Q$5&gt;=42,14,0)</f>
        <v>0</v>
      </c>
      <c r="H23" s="18"/>
      <c r="I23" s="165">
        <v>14</v>
      </c>
      <c r="J23" s="172" t="str">
        <f>IF(ISNA(MATCH(I23,$C$10:$C$27,0)),"",INDEX(B$10:$B$27,MATCH(I23,$C$10:$C$27,0)))</f>
        <v/>
      </c>
      <c r="K23" s="117" t="str">
        <f>IF(ISNA(MATCH(I23,$E$10:$E$27,0)),"",INDEX($D$10:D$27,MATCH(I23,$E$10:$E$27,0)))</f>
        <v/>
      </c>
      <c r="L23" s="160" t="str">
        <f>IF(ISNA(MATCH(I23,$G$10:$G$27,0)),"",INDEX($F$10:F$27,MATCH(I23,$G$10:$G$27,0)))</f>
        <v/>
      </c>
      <c r="M23" s="130"/>
      <c r="N23" s="42" t="s">
        <v>5</v>
      </c>
      <c r="O23" s="121">
        <f>IF($Q$5=36,0,IF($Q$5=37,K21,IF($Q$5=38,K22,IF($Q$5=39,K22,IF($Q$5=40,J23,IF($Q$5=41,J23,IF($Q$5=42,J23,IF($Q$5=43,J23,IF($Q$5=44,J23,IF($Q$5=45,J23,IF($Q$5=46,J23,IF($Q$5=47,J23,IF($Q$5=48,J23,IF($Q$5=49,J23,IF($Q$5=50,J23,IF($Q$5=51,J23,IF($Q$5=52,J23,IF($Q$5=53,J23,IF($Q$5=54,J23,0)))))))))))))))))))</f>
        <v>0</v>
      </c>
      <c r="P23" s="126">
        <f>IF($Q$5=36,0,IF($Q$5=37,L19,IF($Q$5=38,L21,IF($Q$5=39,L22,IF($Q$5=40,L22,IF($Q$5=41,K23,IF($Q$5=42,K23,IF($Q$5=43,L22,IF($Q$5=44,K23,IF($Q$5=45,K23,IF($Q$5=46,K2:K23,IF($Q$5=47,K23,IF($Q$5=48,K23,IF($Q$5=49,K23,IF($Q$5=50,K23,IF($Q$5=51,K23,IF($Q$5=52,K23,IF($Q$5=53,K23,IF($Q$5=54,K23,0)))))))))))))))))))</f>
        <v>0</v>
      </c>
      <c r="Q23" s="123">
        <f>IF($Q$5=40,0,IF($Q$5=41,0,IF($Q$5=42,L23,IF($Q$5=43,0,IF($Q$5=44,0,IF($Q$5=45,0,IF($Q$5=46,L23,IF($Q$5=47,L23,IF($Q$5=48,L23,IF($Q$5=49,0,IF($Q$5=50,L23,IF($Q$5=51,L23,IF($Q$5=52,L23,IF($Q$5=53,L23,IF($Q$5=54,L23,0)))))))))))))))</f>
        <v>0</v>
      </c>
      <c r="R23" s="142">
        <f>IF($Q$5=37,O23,IF($Q$5=38,O23,IF($Q$5=39,O23,IF($Q$5=40,J10,IF($Q$5=41,J10,IF($Q$5=42,J10,IF($Q$5=43,J24,IF($Q$5=44,J24,IF($Q$5=45,J24,IF($Q$5=46,J24,IF($Q$5=47,J24,IF($Q$5=48,J24,IF($Q$5=49,J24,IF($Q$5=50,J24,IF($Q$5=51,J24,IF($Q$5=52,J24,IF($Q$5=53,J24,IF($Q$5=54,J24,0))))))))))))))))))</f>
        <v>0</v>
      </c>
      <c r="S23" s="143">
        <f>IF($Q$5=37,L12,IF($Q$5=38,L12,IF($Q$5=39,P22,IF($Q$5=40,L12,IF($Q$5=41,K11,IF($Q$5=42,K11,IF($Q$5=43,L11,IF($Q$5=44,L11,IF($Q$5=45,K10,IF($Q$5=46,K10,IF($Q$5=47,K25,IF($Q$5=48,K25,IF($Q$5=49,P11,IF($Q$5=50,K25,IF($Q$5=51,K25,IF($Q$5=52,K25,IF($Q$5=53,K25,IF($Q$5=54,K25,0))))))))))))))))))</f>
        <v>0</v>
      </c>
      <c r="T23" s="153">
        <f>IF($Q$5=42,L12,IF($Q$5=46,L11,IF($Q$5=47,L11,IF($Q$5=48,L10,IF($Q$5=49,0,IF($Q$5=50,L10,IF($Q$5=51,L11,IF($Q$5=52,L10,IF($Q$5=53,L26,IF($Q$5=54,L26,0))))))))))</f>
        <v>0</v>
      </c>
      <c r="U23" s="157">
        <f>IF($Q$5=32,0,IF($Q$5=33,0,IF($Q$5=34,0,IF($Q$5=35,0,IF($Q$5=36,0,IF($Q$5=37,R23,IF($Q$5=38,R23,IF($Q$5=39,R23,IF($Q$5=40,R10,IF($Q$5=41,R10,IF($Q$5=42,R10,IF($Q$5=43,R24,IF($Q$5=44,R24,IF($Q$5=45,R24,IF($Q$5=46,R24,IF($Q$5=47,R24,IF($Q$5=48,R24,IF($Q$5=49,R24,IF($Q$5=50,R24,IF($Q$5=51,R24,IF($Q$5=52,R24,IF($Q$5=53,R24,IF($Q$5=54,O25,0)))))))))))))))))))))))</f>
        <v>0</v>
      </c>
      <c r="V23" s="148">
        <f>IF($Q$5=37,T12,IF($Q$5=38,T11,IF($Q$5=39,T12,IF($Q$5=40,T12,IF($Q$5=41,S11,IF($Q$5=42,S11,IF($Q$5=43,T12,IF($Q$5=44,S10,IF($Q$5=45,S10,IF($Q$5=46,S10,IF($Q$5=47,S25,IF($Q$5=48,S25,IF($Q$5=49,S11,IF($Q$5=50,S24,IF($Q$5=51,S24,IF($Q$5=52,S25,IF($Q$5=53,S25,IF($Q$5=54,S25,0))))))))))))))))))</f>
        <v>0</v>
      </c>
      <c r="W23" s="149">
        <f>IF($Q$5=42,T12,IF($Q$5=43,0,IF($Q$5=44,0,IF($Q$5=45,0,IF($Q$5=46,T11,IF($Q$5=47,T11,IF($Q$5=48,T10,IF($Q$5=49,0,IF($Q$5=50,T10,IF($Q$5=51,T24,IF($Q$5=52,T25,IF($Q$5=53,T26,IF($Q$5=54,T26,0)))))))))))))</f>
        <v>0</v>
      </c>
      <c r="X23" s="18"/>
      <c r="Y23" s="383"/>
      <c r="Z23" s="11" t="str">
        <f>+O13</f>
        <v>A4</v>
      </c>
      <c r="AA23" s="27">
        <v>4</v>
      </c>
      <c r="AB23" s="23">
        <f>IF(AA19+AA23=0,0,IF(AA19=AA23,2,IF(AA19&lt;AA23,3,1)))</f>
        <v>1</v>
      </c>
      <c r="AC23" s="12">
        <f>AA23-AA19</f>
        <v>-4</v>
      </c>
      <c r="AD23" s="6"/>
      <c r="AE23" s="11" t="str">
        <f>+R13</f>
        <v>A5</v>
      </c>
      <c r="AF23" s="108">
        <v>13</v>
      </c>
      <c r="AG23" s="23">
        <f>IF(AF19+AF23=0,0,IF(AF19=AF23,2,IF(AF19&lt;AF23,3,1)))</f>
        <v>3</v>
      </c>
      <c r="AH23" s="12">
        <f>AF23-AF19</f>
        <v>7</v>
      </c>
      <c r="AI23" s="6"/>
      <c r="AJ23" s="11" t="str">
        <f>+U13</f>
        <v>A5</v>
      </c>
      <c r="AK23" s="29">
        <v>13</v>
      </c>
      <c r="AL23" s="23">
        <f>IF(AK19+AK23=0,0,IF(AK19=AK23,2,IF(AK19&lt;AK23,3,1)))</f>
        <v>3</v>
      </c>
      <c r="AM23" s="12">
        <f>AK23-AK19</f>
        <v>3</v>
      </c>
      <c r="AN23" s="18"/>
      <c r="AO23" s="44">
        <v>15</v>
      </c>
      <c r="AP23" s="278" t="str">
        <f>+Inscrits!B17</f>
        <v>A15</v>
      </c>
      <c r="AQ23" s="247" t="str">
        <f t="shared" si="3"/>
        <v xml:space="preserve"> </v>
      </c>
      <c r="AR23" s="82" t="str">
        <f t="shared" si="4"/>
        <v xml:space="preserve"> </v>
      </c>
      <c r="AS23" s="184" t="str">
        <f t="shared" si="5"/>
        <v xml:space="preserve"> </v>
      </c>
      <c r="AT23" s="250" t="str">
        <f t="shared" si="6"/>
        <v xml:space="preserve"> </v>
      </c>
      <c r="AU23" s="82" t="str">
        <f t="shared" si="7"/>
        <v xml:space="preserve"> </v>
      </c>
      <c r="AV23" s="252" t="str">
        <f t="shared" si="8"/>
        <v xml:space="preserve"> </v>
      </c>
      <c r="AW23" s="247" t="str">
        <f t="shared" si="9"/>
        <v xml:space="preserve"> </v>
      </c>
      <c r="AX23" s="82" t="str">
        <f t="shared" si="10"/>
        <v xml:space="preserve"> </v>
      </c>
      <c r="AY23" s="252" t="str">
        <f t="shared" si="11"/>
        <v xml:space="preserve"> </v>
      </c>
      <c r="AZ23" s="247">
        <f t="shared" si="17"/>
        <v>0</v>
      </c>
      <c r="BA23" s="82">
        <f t="shared" si="12"/>
        <v>0</v>
      </c>
      <c r="BB23" s="252">
        <f t="shared" si="13"/>
        <v>0</v>
      </c>
      <c r="BC23" s="255">
        <f t="shared" si="14"/>
        <v>0</v>
      </c>
      <c r="BD23" s="7">
        <f t="shared" si="15"/>
        <v>0</v>
      </c>
      <c r="BE23" s="183">
        <f t="shared" si="16"/>
        <v>31.000000230000001</v>
      </c>
      <c r="BF23" s="82">
        <f>IF(AP23="","",SMALL(BE$9:BE$62,ROWS(AZ$9:AZ23)))</f>
        <v>3.9773002800000001</v>
      </c>
      <c r="BH23" s="250" t="str">
        <f>IF(OR(AP23="",AZ23=""),"",INDEX($AP$9:$AP$63,MATCH(BF23,$BE$9:BE$62,0)))</f>
        <v>B2</v>
      </c>
      <c r="BI23" s="7">
        <f t="shared" si="0"/>
        <v>7</v>
      </c>
      <c r="BJ23" s="7">
        <f t="shared" si="1"/>
        <v>2</v>
      </c>
      <c r="BK23" s="7">
        <f t="shared" si="2"/>
        <v>27</v>
      </c>
      <c r="BL23" s="17">
        <f>IF(BF23="","",IF(AND(BI22=BI23,BJ22=BJ23,BK22=BK23),BL22,$BL$9+14))</f>
        <v>15</v>
      </c>
      <c r="BM23" s="22"/>
      <c r="BN23" s="225"/>
    </row>
    <row r="24" spans="1:66" ht="21.6" thickBot="1" x14ac:dyDescent="0.35">
      <c r="A24" s="111">
        <v>15</v>
      </c>
      <c r="B24" s="330"/>
      <c r="C24" s="237">
        <f>IF($Q$5&gt;=43,15,0)</f>
        <v>0</v>
      </c>
      <c r="D24" s="330"/>
      <c r="E24" s="237">
        <f>IF($Q$5&gt;=44,15,0)</f>
        <v>0</v>
      </c>
      <c r="F24" s="333"/>
      <c r="G24" s="237">
        <f>IF($Q$5&gt;=45,15,0)</f>
        <v>0</v>
      </c>
      <c r="H24" s="18"/>
      <c r="I24" s="165">
        <v>15</v>
      </c>
      <c r="J24" s="172" t="str">
        <f>IF(ISNA(MATCH(I24,$C$10:$C$27,0)),"",INDEX(B$10:$B$27,MATCH(I24,$C$10:$C$27,0)))</f>
        <v/>
      </c>
      <c r="K24" s="117" t="str">
        <f>IF(ISNA(MATCH(I24,$E$10:$E$27,0)),"",INDEX($D$10:D$27,MATCH(I24,$E$10:$E$27,0)))</f>
        <v/>
      </c>
      <c r="L24" s="160" t="str">
        <f>IF(ISNA(MATCH(I24,$G$10:$G$27,0)),"",INDEX($F$10:F$27,MATCH(I24,$G$10:$G$27,0)))</f>
        <v/>
      </c>
      <c r="M24" s="130"/>
      <c r="N24" s="67">
        <v>8</v>
      </c>
      <c r="O24" s="127">
        <f>IF($Q$5=43,J24,IF($Q$5=44,J24,IF($Q$5=45,J24,IF($Q$5=46,J24,IF($Q$5=47,J24,IF($Q$5=48,J24,IF($Q$5=49,J24,IF($Q$5=50,J24,IF($Q$5=51,J24,IF($Q$5=52,J24,IF($Q$5=53,J24,IF($Q$5=54,J24,0))))))))))))</f>
        <v>0</v>
      </c>
      <c r="P24" s="122">
        <f>IF($Q$5=43,L23,IF($Q$5=44,L22,IF($Q$5=45,L23,IF($Q$5=46,K24,IF($Q$5=47,K24,IF($Q$5=48,K24,IF($Q$5=49,K24,IF($Q$5=50,K24,IF($Q$5=51,K24,IF($Q$5=52,K24,IF($Q$5=53,K24,IF($Q$5=54,K24,0))))))))))))</f>
        <v>0</v>
      </c>
      <c r="Q24" s="128">
        <f>IF($Q$5=43,0,IF($Q$5=44,0,IF($Q$5=45,0,IF($Q$5=46,0,IF($Q$5=47,L24,IF($Q$5=48,L24,IF($Q$5=49,0,IF($Q$5=50,0,IF($Q$5=51,L24,IF($Q$5=52,L24,IF($Q$5=53,L24,IF($Q$5=54,L24,0))))))))))))</f>
        <v>0</v>
      </c>
      <c r="R24" s="140">
        <f>IF($Q$5=43,J10,IF($Q$5=44,J10,IF($Q$5=45,J10,IF($Q$5=46,J25,IF($Q$5=47,J25,IF($Q$5=48,J25,IF($Q$5=49,J25,IF($Q$5=50,J25,IF($Q$5=51,J25,IF($Q$5=52,J25,IF($Q$5=53,J25,IF($Q$5=54,J25,0))))))))))))</f>
        <v>0</v>
      </c>
      <c r="S24" s="132">
        <f>IF($Q$5=43,L12,IF($Q$5=44,L12,IF($Q$5=45,L11,IF($Q$5=46,K11,IF($Q$5=47,K10,IF($Q$5=48,K10,IF($Q$5=49,K10,IF($Q$5=50,K10,IF($Q$5=51,K10,IF($Q$5=52,K26,IF($Q$5=53,K26,IF($Q$5=54,K26,0))))))))))))</f>
        <v>0</v>
      </c>
      <c r="T24" s="151">
        <f>IF($Q$5=47,L12,IF($Q$5=48,L11,IF($Q$5=49,0,IF($Q$5=50,0,IF($Q$5=51,L12,IF($Q$5=52,L11,IF($Q$5=53,L10,IF($Q$5=54,L27,0))))))))</f>
        <v>0</v>
      </c>
      <c r="U24" s="140">
        <f>IF($Q$5=42,0,IF($Q$5=43,R10,IF($Q$5=44,R10,IF($Q$5=45,R10,IF($Q$5=46,R25,IF($Q$5=47,R25,IF($Q$5=48,O10,IF($Q$5=49,R25,IF($Q$5=50,R25,IF($Q$5=51,R25,IF($Q$5=52,R25,IF($Q$5=53,O26,IF($Q$5=54,O26,0)))))))))))))</f>
        <v>0</v>
      </c>
      <c r="V24" s="138">
        <f>IF($Q$5=43,T10,IF($Q$5=44,T11,IF($Q$5=45,T11,IF($Q$5=46,S11,IF($Q$5=47,S10,IF($Q$5=48,S10,IF($Q$5=49,S10,IF($Q$5=50,S25,IF($Q$5=51,S25,IF($Q$5=52,S26,IF($Q$5=53,S26,IF($Q$5=54,S26,0))))))))))))</f>
        <v>0</v>
      </c>
      <c r="W24" s="145">
        <f>IF($Q$5=47,T12,IF($Q$5=48,T11,IF($Q$5=49,0,IF($Q$5=50,0,IF($Q$5=51,T10,IF($Q$5=52,T10,IF($Q$5=53,T10,IF($Q$5=54,T27,0))))))))</f>
        <v>0</v>
      </c>
      <c r="X24" s="18"/>
      <c r="Y24" s="383"/>
      <c r="Z24" s="11" t="str">
        <f>+P13</f>
        <v>B4</v>
      </c>
      <c r="AA24" s="57">
        <f>IF(ISTEXT(Z24),AA23,0)</f>
        <v>4</v>
      </c>
      <c r="AB24" s="14">
        <f>IF(ISTEXT(Z24),AB23,0)</f>
        <v>1</v>
      </c>
      <c r="AC24" s="15">
        <f>IF(ISTEXT(Z24),AC23,0)</f>
        <v>-4</v>
      </c>
      <c r="AD24" s="6"/>
      <c r="AE24" s="11" t="str">
        <f>+S13</f>
        <v>B3</v>
      </c>
      <c r="AF24" s="14">
        <f>IF(ISTEXT(AE24),AF23,0)</f>
        <v>13</v>
      </c>
      <c r="AG24" s="14">
        <f>IF(ISTEXT(AE24),AG23,0)</f>
        <v>3</v>
      </c>
      <c r="AH24" s="15">
        <f>IF(ISTEXT(AE24),AH23,0)</f>
        <v>7</v>
      </c>
      <c r="AI24" s="6"/>
      <c r="AJ24" s="11" t="str">
        <f>+V13</f>
        <v>B6</v>
      </c>
      <c r="AK24" s="14">
        <f>IF(ISTEXT(AJ24),AK23,0)</f>
        <v>13</v>
      </c>
      <c r="AL24" s="14">
        <f>IF(ISTEXT(AJ24),AL23,0)</f>
        <v>3</v>
      </c>
      <c r="AM24" s="15">
        <f>IF(ISTEXT(AJ24),AM23,0)</f>
        <v>3</v>
      </c>
      <c r="AN24" s="18"/>
      <c r="AO24" s="44">
        <v>16</v>
      </c>
      <c r="AP24" s="278" t="str">
        <f>+Inscrits!B18</f>
        <v>A16</v>
      </c>
      <c r="AQ24" s="247" t="str">
        <f t="shared" si="3"/>
        <v xml:space="preserve"> </v>
      </c>
      <c r="AR24" s="82" t="str">
        <f t="shared" si="4"/>
        <v xml:space="preserve"> </v>
      </c>
      <c r="AS24" s="184" t="str">
        <f t="shared" si="5"/>
        <v xml:space="preserve"> </v>
      </c>
      <c r="AT24" s="250" t="str">
        <f t="shared" si="6"/>
        <v xml:space="preserve"> </v>
      </c>
      <c r="AU24" s="82" t="str">
        <f t="shared" si="7"/>
        <v xml:space="preserve"> </v>
      </c>
      <c r="AV24" s="252" t="str">
        <f t="shared" si="8"/>
        <v xml:space="preserve"> </v>
      </c>
      <c r="AW24" s="247" t="str">
        <f t="shared" si="9"/>
        <v xml:space="preserve"> </v>
      </c>
      <c r="AX24" s="82" t="str">
        <f t="shared" si="10"/>
        <v xml:space="preserve"> </v>
      </c>
      <c r="AY24" s="252" t="str">
        <f t="shared" si="11"/>
        <v xml:space="preserve"> </v>
      </c>
      <c r="AZ24" s="247">
        <f t="shared" si="17"/>
        <v>0</v>
      </c>
      <c r="BA24" s="82">
        <f t="shared" si="12"/>
        <v>0</v>
      </c>
      <c r="BB24" s="252">
        <f t="shared" si="13"/>
        <v>0</v>
      </c>
      <c r="BC24" s="255">
        <f t="shared" si="14"/>
        <v>0</v>
      </c>
      <c r="BD24" s="7">
        <f t="shared" si="15"/>
        <v>0</v>
      </c>
      <c r="BE24" s="183">
        <f t="shared" si="16"/>
        <v>31.000000239999999</v>
      </c>
      <c r="BF24" s="82">
        <f>IF(AP24="","",SMALL(BE$9:BE$62,ROWS(AZ$9:AZ24)))</f>
        <v>3.9874003300000003</v>
      </c>
      <c r="BH24" s="250" t="str">
        <f>IF(OR(AP24="",AZ24=""),"",INDEX($AP$9:$AP$63,MATCH(BF24,$BE$9:BE$62,0)))</f>
        <v>B7</v>
      </c>
      <c r="BI24" s="7">
        <f t="shared" si="0"/>
        <v>7</v>
      </c>
      <c r="BJ24" s="7">
        <f t="shared" si="1"/>
        <v>1</v>
      </c>
      <c r="BK24" s="7">
        <f t="shared" si="2"/>
        <v>26</v>
      </c>
      <c r="BL24" s="17">
        <f>IF(BF24="","",IF(AND(BI23=BI24,BJ23=BJ24,BK23=BK24),BL23,$BL$9+15))</f>
        <v>16</v>
      </c>
      <c r="BM24" s="22"/>
      <c r="BN24" s="225"/>
    </row>
    <row r="25" spans="1:66" ht="21.6" thickBot="1" x14ac:dyDescent="0.35">
      <c r="A25" s="111">
        <v>16</v>
      </c>
      <c r="B25" s="330"/>
      <c r="C25" s="237">
        <f>IF($Q$5&gt;=46,16,0)</f>
        <v>0</v>
      </c>
      <c r="D25" s="330"/>
      <c r="E25" s="237">
        <f>IF($Q$5&gt;=47,16,0)</f>
        <v>0</v>
      </c>
      <c r="F25" s="333"/>
      <c r="G25" s="237">
        <f>IF($Q$5&gt;=48,16,0)</f>
        <v>0</v>
      </c>
      <c r="H25" s="18"/>
      <c r="I25" s="165">
        <v>16</v>
      </c>
      <c r="J25" s="172" t="str">
        <f>IF(ISNA(MATCH(I25,$C$10:$C$27,0)),"",INDEX(B$10:$B$27,MATCH(I25,$C$10:$C$27,0)))</f>
        <v/>
      </c>
      <c r="K25" s="117" t="str">
        <f>IF(ISNA(MATCH(I25,$E$10:$E$27,0)),"",INDEX($D$10:D$27,MATCH(I25,$E$10:$E$27,0)))</f>
        <v/>
      </c>
      <c r="L25" s="160" t="str">
        <f>IF(ISNA(MATCH(I25,$G$10:$G$27,0)),"",INDEX($F$10:F$27,MATCH(I25,$G$10:$G$27,0)))</f>
        <v/>
      </c>
      <c r="M25" s="130"/>
      <c r="N25" s="42" t="s">
        <v>5</v>
      </c>
      <c r="O25" s="121">
        <f>IF($Q$5=43,K23,IF($Q$5=44,K24,IF($Q$5=45,K24,IF($Q$5=46,J25,IF($Q$5=47,J25,IF($Q$5=48,J25,IF($Q$5=49,J25,IF($Q$5=50,J25,IF($Q$5=51,J25,IF($Q$5=52,J25,IF($Q$5=53,J25,IF($Q$5=54,J25,0))))))))))))</f>
        <v>0</v>
      </c>
      <c r="P25" s="126">
        <f>IF($Q$5=43,L21,IF($Q$5=44,L23,IF($Q$5=45,L24,IF($Q$5=46,L24,IF($Q$5=47,K25,IF($Q$5=48,K25,IF($Q$5=49,L25,IF($Q$5=50,K25,IF($Q$5=51,K25,IF($Q$5=52,K25,IF($Q$5=53,K25,IF($Q$5=54,K25,0))))))))))))</f>
        <v>0</v>
      </c>
      <c r="Q25" s="123">
        <f>IF($Q$5=48,L25,IF($Q$5=49,0,IF($Q$5=50,0,IF($Q$5=51,0,IF($Q$5=52,L25,IF($Q$5=53,L25,IF($Q$5=54,L25,0)))))))</f>
        <v>0</v>
      </c>
      <c r="R25" s="142">
        <f>IF($Q$5=43,O25,IF($Q$5=44,O25,IF($Q$5=45,O25,IF($Q$5=46,J10,IF($Q$5=47,J10,IF($Q$5=48,J10,IF($Q$5=49,J26,IF($Q$5=50,J26,IF($Q$5=51,J26,IF($Q$5=52,J26,IF($Q$5=53,J26,IF($Q$5=54,J26,0))))))))))))</f>
        <v>0</v>
      </c>
      <c r="S25" s="143">
        <f>IF($Q$5=43,L10,IF($Q$5=44,K11,IF($Q$5=45,L12,IF($Q$5=46,L12,IF($Q$5=47,K11,IF($Q$5=48,K11,IF($Q$5=49,P27,IF($Q$5=50,K11,IF($Q$5=51,K11,IF($Q$5=52,K10,IF($Q$5=53,K27,IF($Q$5=54,K27,0))))))))))))</f>
        <v>0</v>
      </c>
      <c r="T25" s="153">
        <f>IF($Q$5=48,L12,IF($Q$5=49,0,IF($Q$5=50,0,IF($Q$5=51,0,IF($Q$5=52,L12,IF($Q$5=53,L11,IF($Q$5=54,L10,0)))))))</f>
        <v>0</v>
      </c>
      <c r="U25" s="156">
        <f>IF($Q$5=43,R25,IF($Q$5=44,R25,IF($Q$5=45,R25,IF($Q$5=46,R10,IF($Q$5=47,R10,IF($Q$5=48,R10,IF($Q$5=49,R26,IF($Q$5=50,R26,IF($Q$5=51,R26,IF($Q$5=52,O27,IF($Q$5=53,R26,IF($Q$5=54,O27,0))))))))))))</f>
        <v>0</v>
      </c>
      <c r="V25" s="148">
        <f>IF($Q$5=43,T11,IF($Q$5=44,T12,IF($Q$5=45,T12,IF($Q$5=46,T12,IF($Q$5=47,S11,IF($Q$5=48,S11,IF($Q$5=49,S25,IF($Q$5=50,S10,IF($Q$5=51,S10,IF($Q$5=52,S10,IF($Q$5=53,S27,IF($Q$5=54,S27,0))))))))))))</f>
        <v>0</v>
      </c>
      <c r="W25" s="149">
        <f>IF($Q$5=48,T12,IF($Q$5=49,0,IF($Q$5=50,0,IF($Q$5=51,0,IF($Q$5=52,T11,IF($Q$5=53,T11,IF($Q$5=54,T10,0)))))))</f>
        <v>0</v>
      </c>
      <c r="X25" s="18"/>
      <c r="Y25" s="384"/>
      <c r="Z25" s="13" t="str">
        <f>+Q13</f>
        <v>C4</v>
      </c>
      <c r="AA25" s="57">
        <f>IF(ISTEXT(Z25),AA23,0)</f>
        <v>4</v>
      </c>
      <c r="AB25" s="14">
        <f>IF(ISTEXT(Z25),AB23,0)</f>
        <v>1</v>
      </c>
      <c r="AC25" s="15">
        <f>IF(ISTEXT(Z25),AC23,0)</f>
        <v>-4</v>
      </c>
      <c r="AD25" s="6"/>
      <c r="AE25" s="13" t="str">
        <f>+T13</f>
        <v>C6</v>
      </c>
      <c r="AF25" s="14">
        <f>IF(ISTEXT(AE25),AF23,0)</f>
        <v>13</v>
      </c>
      <c r="AG25" s="14">
        <f>IF(ISTEXT(AE25),AG23,0)</f>
        <v>3</v>
      </c>
      <c r="AH25" s="15">
        <f>IF(ISTEXT(AE25),AH23,0)</f>
        <v>7</v>
      </c>
      <c r="AI25" s="6"/>
      <c r="AJ25" s="13" t="str">
        <f>+W13</f>
        <v>C7</v>
      </c>
      <c r="AK25" s="14">
        <f>IF(ISTEXT(AJ25),AK23,0)</f>
        <v>13</v>
      </c>
      <c r="AL25" s="14">
        <f>IF(ISTEXT(AJ25),AL23,0)</f>
        <v>3</v>
      </c>
      <c r="AM25" s="15">
        <f>IF(ISTEXT(AJ25),AM23,0)</f>
        <v>3</v>
      </c>
      <c r="AN25" s="18"/>
      <c r="AO25" s="44">
        <v>17</v>
      </c>
      <c r="AP25" s="278" t="str">
        <f>+Inscrits!B19</f>
        <v>A17</v>
      </c>
      <c r="AQ25" s="247" t="str">
        <f t="shared" si="3"/>
        <v xml:space="preserve"> </v>
      </c>
      <c r="AR25" s="82" t="str">
        <f t="shared" si="4"/>
        <v xml:space="preserve"> </v>
      </c>
      <c r="AS25" s="184" t="str">
        <f t="shared" si="5"/>
        <v xml:space="preserve"> </v>
      </c>
      <c r="AT25" s="250" t="str">
        <f t="shared" si="6"/>
        <v xml:space="preserve"> </v>
      </c>
      <c r="AU25" s="82" t="str">
        <f t="shared" si="7"/>
        <v xml:space="preserve"> </v>
      </c>
      <c r="AV25" s="252" t="str">
        <f t="shared" si="8"/>
        <v xml:space="preserve"> </v>
      </c>
      <c r="AW25" s="247" t="str">
        <f t="shared" si="9"/>
        <v xml:space="preserve"> </v>
      </c>
      <c r="AX25" s="82" t="str">
        <f t="shared" si="10"/>
        <v xml:space="preserve"> </v>
      </c>
      <c r="AY25" s="252" t="str">
        <f t="shared" si="11"/>
        <v xml:space="preserve"> </v>
      </c>
      <c r="AZ25" s="247">
        <f t="shared" si="17"/>
        <v>0</v>
      </c>
      <c r="BA25" s="82">
        <f t="shared" si="12"/>
        <v>0</v>
      </c>
      <c r="BB25" s="252">
        <f t="shared" si="13"/>
        <v>0</v>
      </c>
      <c r="BC25" s="255">
        <f t="shared" si="14"/>
        <v>0</v>
      </c>
      <c r="BD25" s="7">
        <f t="shared" si="15"/>
        <v>0</v>
      </c>
      <c r="BE25" s="183">
        <f t="shared" si="16"/>
        <v>31.000000249999999</v>
      </c>
      <c r="BF25" s="82">
        <f>IF(AP25="","",SMALL(BE$9:BE$62,ROWS(AZ$9:AZ25)))</f>
        <v>3.9971001300000002</v>
      </c>
      <c r="BH25" s="250" t="str">
        <f>IF(OR(AP25="",AZ25=""),"",INDEX($AP$9:$AP$63,MATCH(BF25,$BE$9:BE$62,0)))</f>
        <v>A5</v>
      </c>
      <c r="BI25" s="7">
        <f t="shared" si="0"/>
        <v>7</v>
      </c>
      <c r="BJ25" s="7">
        <f t="shared" si="1"/>
        <v>0</v>
      </c>
      <c r="BK25" s="7">
        <f t="shared" si="2"/>
        <v>29</v>
      </c>
      <c r="BL25" s="17">
        <f>IF(BF25="","",IF(AND(BI24=BI25,BJ24=BJ25,BK24=BK25),BL24,$BL$9+16))</f>
        <v>17</v>
      </c>
      <c r="BM25" s="22"/>
      <c r="BN25" s="225"/>
    </row>
    <row r="26" spans="1:66" ht="21.6" thickBot="1" x14ac:dyDescent="0.35">
      <c r="A26" s="111">
        <v>17</v>
      </c>
      <c r="B26" s="330"/>
      <c r="C26" s="235">
        <f>IF($Q$5&gt;=49,17,0)</f>
        <v>0</v>
      </c>
      <c r="D26" s="330"/>
      <c r="E26" s="235">
        <f>IF($Q$5&gt;=50,17,0)</f>
        <v>0</v>
      </c>
      <c r="F26" s="333"/>
      <c r="G26" s="235">
        <f>IF($Q$5&gt;=51,17,0)</f>
        <v>0</v>
      </c>
      <c r="H26" s="114"/>
      <c r="I26" s="168">
        <v>17</v>
      </c>
      <c r="J26" s="173" t="str">
        <f>IF(ISNA(MATCH(I26,$C$10:$C$27,0)),"",INDEX(B$10:$B$27,MATCH(I26,$C$10:$C$27,0)))</f>
        <v/>
      </c>
      <c r="K26" s="169" t="str">
        <f>IF(ISNA(MATCH(I26,$E$10:$E$27,0)),"",INDEX($D$10:D$27,MATCH(I26,$E$10:$E$27,0)))</f>
        <v/>
      </c>
      <c r="L26" s="174" t="str">
        <f>IF(ISNA(MATCH(I26,$G$10:$G$27,0)),"",INDEX($F$10:F$27,MATCH(I26,$G$10:$G$27,0)))</f>
        <v/>
      </c>
      <c r="N26" s="67">
        <v>9</v>
      </c>
      <c r="O26" s="127">
        <f>IF($Q$5=49,J26,IF($Q$5=50,J26,IF($Q$5=51,J26,IF($Q$5=52,J26,IF($Q$5=53,J26,IF($Q$5=54,J26,0))))))</f>
        <v>0</v>
      </c>
      <c r="P26" s="122">
        <f>IF($Q$5=49,L24,IF($Q$5=50,L24,IF($Q$5=51,L25,IF($Q$5=52,K26,IF($Q$5=53,K26,IF($Q$5=54,K26,0))))))</f>
        <v>0</v>
      </c>
      <c r="Q26" s="128">
        <f>IF($Q$5=51,0,IF($Q$5=52,0,IF($Q$5=53,L26,IF($Q$5=54,L26,0))))</f>
        <v>0</v>
      </c>
      <c r="R26" s="140">
        <f>IF($Q$5=43,0,IF($Q$5=44,0,IF($Q$5=45,0,IF($Q$5=46,0,IF($Q$5=47,0,IF($Q$5=48,0,IF($Q$5=49,O10,IF($Q$5=50,O10,IF($Q$5=51,O10,IF($Q$5=52,O27,IF($Q$5=53,O27,IF($Q$5=54,O27,0))))))))))))</f>
        <v>0</v>
      </c>
      <c r="S26" s="132">
        <f>IF($Q$5=43,0,IF($Q$5=44,0,IF($Q$5=45,0,IF($Q$5=46,0,IF($Q$5=47,0,IF($Q$5=48,0,IF($Q$5=49,P26,IF($Q$5=50,Q11,IF($Q$5=51,P27,IF($Q$5=52,P11,IF($Q$5=53,P10,IF($Q$5=54,P10,0))))))))))))</f>
        <v>0</v>
      </c>
      <c r="T26" s="177">
        <f>IF($Q$5=53,Q12,IF($Q$5=54,Q11,0))</f>
        <v>0</v>
      </c>
      <c r="U26" s="180">
        <f>IF($Q$5=43,0,IF($Q$5=44,0,IF($Q$5=45,0,IF($Q$5=46,0,IF($Q$5=47,0,IF($Q$5=48,0,IF($Q$5=49,R10,IF($Q$5=50,R10,IF($Q$5=51,R10,IF($Q$5=52,R27,IF($Q$5=53,R27,IF($Q$5=54,R27,0))))))))))))</f>
        <v>0</v>
      </c>
      <c r="V26" s="138">
        <f>IF($Q$5=43,0,IF($Q$5=44,0,IF($Q$5=45,0,IF($Q$5=46,0,IF($Q$5=47,0,IF($Q$5=48,0,IF($Q$5=49,S27,IF($Q$5=50,T11,IF($Q$5=51,T11,IF($Q$5=52,S11,IF($Q$5=53,S10,IF($Q$5=54,S10,0))))))))))))</f>
        <v>0</v>
      </c>
      <c r="W26" s="145">
        <f>IF($Q$5=43,0,IF($Q$5=44,0,IF($Q$5=45,0,IF($Q$5=46,0,IF($Q$5=47,0,IF($Q$5=48,0,IF($Q$5=49,0,IF($Q$5=50,0,IF($Q$5=51,0,IF($Q$5=52,0,IF($Q$5=53,T12,IF($Q$5=54,T11,0))))))))))))</f>
        <v>0</v>
      </c>
      <c r="X26" s="18"/>
      <c r="Y26" s="20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18"/>
      <c r="AO26" s="44">
        <v>18</v>
      </c>
      <c r="AP26" s="278" t="str">
        <f>+Inscrits!B20</f>
        <v>A18</v>
      </c>
      <c r="AQ26" s="247" t="str">
        <f t="shared" si="3"/>
        <v xml:space="preserve"> </v>
      </c>
      <c r="AR26" s="82" t="str">
        <f t="shared" si="4"/>
        <v xml:space="preserve"> </v>
      </c>
      <c r="AS26" s="184" t="str">
        <f t="shared" si="5"/>
        <v xml:space="preserve"> </v>
      </c>
      <c r="AT26" s="250" t="str">
        <f t="shared" si="6"/>
        <v xml:space="preserve"> </v>
      </c>
      <c r="AU26" s="82" t="str">
        <f t="shared" si="7"/>
        <v xml:space="preserve"> </v>
      </c>
      <c r="AV26" s="252" t="str">
        <f t="shared" si="8"/>
        <v xml:space="preserve"> </v>
      </c>
      <c r="AW26" s="247" t="str">
        <f t="shared" si="9"/>
        <v xml:space="preserve"> </v>
      </c>
      <c r="AX26" s="82" t="str">
        <f t="shared" si="10"/>
        <v xml:space="preserve"> </v>
      </c>
      <c r="AY26" s="252" t="str">
        <f t="shared" si="11"/>
        <v xml:space="preserve"> </v>
      </c>
      <c r="AZ26" s="247">
        <f t="shared" si="17"/>
        <v>0</v>
      </c>
      <c r="BA26" s="82">
        <f t="shared" si="12"/>
        <v>0</v>
      </c>
      <c r="BB26" s="252">
        <f t="shared" si="13"/>
        <v>0</v>
      </c>
      <c r="BC26" s="255">
        <f t="shared" si="14"/>
        <v>0</v>
      </c>
      <c r="BD26" s="7">
        <f t="shared" si="15"/>
        <v>0</v>
      </c>
      <c r="BE26" s="183">
        <f t="shared" si="16"/>
        <v>31.00000026</v>
      </c>
      <c r="BF26" s="82">
        <f>IF(AP26="","",SMALL(BE$9:BE$62,ROWS(AZ$9:AZ26)))</f>
        <v>18.027500270000001</v>
      </c>
      <c r="BH26" s="250" t="str">
        <f>IF(OR(AP26="",AZ26=""),"",INDEX($AP$9:$AP$63,MATCH(BF26,$BE$9:BE$62,0)))</f>
        <v>B1</v>
      </c>
      <c r="BI26" s="7">
        <f t="shared" si="0"/>
        <v>5</v>
      </c>
      <c r="BJ26" s="7">
        <f t="shared" si="1"/>
        <v>-3</v>
      </c>
      <c r="BK26" s="7">
        <f t="shared" si="2"/>
        <v>25</v>
      </c>
      <c r="BL26" s="17">
        <f>IF(BF26="","",IF(AND(BI25=BI26,BJ25=BJ26,BK25=BK26),BL25,$BL$9+17))</f>
        <v>18</v>
      </c>
      <c r="BM26" s="22"/>
      <c r="BN26" s="225"/>
    </row>
    <row r="27" spans="1:66" ht="21.6" thickBot="1" x14ac:dyDescent="0.35">
      <c r="A27" s="166">
        <v>18</v>
      </c>
      <c r="B27" s="331"/>
      <c r="C27" s="238">
        <f>IF($Q$5&gt;=52,18,0)</f>
        <v>0</v>
      </c>
      <c r="D27" s="331"/>
      <c r="E27" s="238">
        <f>IF($Q$5&gt;=53,18,0)</f>
        <v>0</v>
      </c>
      <c r="F27" s="334"/>
      <c r="G27" s="238">
        <f>IF($Q$5&gt;=54,18,0)</f>
        <v>0</v>
      </c>
      <c r="H27" s="114"/>
      <c r="I27" s="167">
        <v>18</v>
      </c>
      <c r="J27" s="175" t="str">
        <f>IF(ISNA(MATCH(I27,$C$10:$C$27,0)),"",INDEX(B$10:$B$27,MATCH(I27,$C$10:$C$27,0)))</f>
        <v/>
      </c>
      <c r="K27" s="161" t="str">
        <f>IF(ISNA(MATCH(I27,$E$10:$E$27,0)),"",INDEX($D$10:D$27,MATCH(I27,$E$10:$E$27,0)))</f>
        <v/>
      </c>
      <c r="L27" s="162" t="str">
        <f>IF(ISNA(MATCH(I27,$G$10:$G$27,0)),"",INDEX($F$10:F$27,MATCH(I27,$G$10:$G$27,0)))</f>
        <v/>
      </c>
      <c r="N27" s="42" t="s">
        <v>5</v>
      </c>
      <c r="O27" s="121">
        <f>IF($Q$5=49,K25,IF($Q$5=50,K26,IF($Q$5=51,K26,IF($Q$5=52,J27,IF($Q$5=53,J27,IF($Q$5=54,J27,0))))))</f>
        <v>0</v>
      </c>
      <c r="P27" s="126">
        <f>IF($Q$5=49,L23,IF($Q$5=50,L25,IF($Q$5=51,L26,IF($Q$5=52,L26,IF($Q$5=53,K27,IF($Q$5=54,K27,0))))))</f>
        <v>0</v>
      </c>
      <c r="Q27" s="176">
        <f>IF($Q$5=54,L27,0)</f>
        <v>0</v>
      </c>
      <c r="R27" s="178">
        <f>IF($Q$5=43,0,IF($Q$5=44,0,IF($Q$5=45,0,IF($Q$5=46,0,IF($Q$5=47,0,IF($Q$5=48,0,IF($Q$5=49,O27,IF($Q$5=50,O27,IF($Q$5=51,O27,IF($Q$5=52,O10,IF($Q$5=53,O10,IF($Q$5=54,O10,0))))))))))))</f>
        <v>0</v>
      </c>
      <c r="S27" s="126">
        <f>IF($Q$5=43,0,IF($Q$5=44,0,IF($Q$5=45,0,IF($Q$5=46,0,IF($Q$5=47,0,IF($Q$5=48,0,IF($Q$5=49,P25,IF($Q$5=50,Q12,IF($Q$5=51,P26,IF($Q$5=52,P27,IF($Q$5=53,P11,IF($Q$5=54,P11,0))))))))))))</f>
        <v>0</v>
      </c>
      <c r="T27" s="179">
        <f>IF($Q$5=54,Q12,0)</f>
        <v>0</v>
      </c>
      <c r="U27" s="181">
        <f>IF($Q$5=43,0,IF($Q$5=44,0,IF($Q$5=45,0,IF($Q$5=46,0,IF($Q$5=47,0,IF($Q$5=48,0,IF($Q$5=49,R27,IF($Q$5=50,R27,IF($Q$5=51,R27,IF($Q$5=52,R10,IF($Q$5=53,R10,IF($Q$5=54,R10,0))))))))))))</f>
        <v>0</v>
      </c>
      <c r="V27" s="148">
        <f>IF($Q$5=43,0,IF($Q$5=44,0,IF($Q$5=45,0,IF($Q$5=46,0,IF($Q$5=47,0,IF($Q$5=48,0,IF($Q$5=49,S26,IF($Q$5=50,T12,IF($Q$5=51,T12,IF($Q$5=52,T12,IF($Q$5=53,S11,IF($Q$5=54,S11,0))))))))))))</f>
        <v>0</v>
      </c>
      <c r="W27" s="149">
        <f>IF($Q$5=43,0,IF($Q$5=44,0,IF($Q$5=45,0,IF($Q$5=46,0,IF($Q$5=47,0,IF($Q$5=48,0,IF($Q$5=49,0,IF($Q$5=50,0,IF($Q$5=51,0,IF($Q$5=52,0,IF($Q$5=53,0,IF($Q$5=54,T12,0))))))))))))</f>
        <v>0</v>
      </c>
      <c r="X27" s="18"/>
      <c r="Y27" s="382">
        <v>3</v>
      </c>
      <c r="Z27" s="9" t="str">
        <f>+O14</f>
        <v>A5</v>
      </c>
      <c r="AA27" s="25">
        <v>3</v>
      </c>
      <c r="AB27" s="38">
        <f>IF(AA27+AA31=0,0,IF(AA27=AA31,2,IF(AA27&gt;AA31,3,1)))</f>
        <v>1</v>
      </c>
      <c r="AC27" s="10">
        <f>AA27-AA31</f>
        <v>-10</v>
      </c>
      <c r="AD27" s="6"/>
      <c r="AE27" s="9" t="str">
        <f>+R14</f>
        <v>A6</v>
      </c>
      <c r="AF27" s="107">
        <v>11</v>
      </c>
      <c r="AG27" s="38">
        <f>IF(AF27+AF31=0,0,IF(AF27=AF31,2,IF(AF27&gt;AF31,3,1)))</f>
        <v>3</v>
      </c>
      <c r="AH27" s="10">
        <f>AF27-AF31</f>
        <v>6</v>
      </c>
      <c r="AI27" s="6"/>
      <c r="AJ27" s="9" t="str">
        <f>+U14</f>
        <v>A2</v>
      </c>
      <c r="AK27" s="28">
        <v>11</v>
      </c>
      <c r="AL27" s="38">
        <f>IF(AK27+AK31=0,0,IF(AK27=AK31,2,IF(AK27&gt;AK31,3,1)))</f>
        <v>3</v>
      </c>
      <c r="AM27" s="10">
        <f>AK27-AK31</f>
        <v>2</v>
      </c>
      <c r="AN27" s="18"/>
      <c r="AO27" s="44">
        <v>19</v>
      </c>
      <c r="AP27" s="279" t="str">
        <f>+Inscrits!D3</f>
        <v>B1</v>
      </c>
      <c r="AQ27" s="247">
        <f t="shared" si="3"/>
        <v>1</v>
      </c>
      <c r="AR27" s="82">
        <f t="shared" si="4"/>
        <v>-5</v>
      </c>
      <c r="AS27" s="184">
        <f t="shared" si="5"/>
        <v>5</v>
      </c>
      <c r="AT27" s="250">
        <f t="shared" si="6"/>
        <v>3</v>
      </c>
      <c r="AU27" s="82">
        <f t="shared" si="7"/>
        <v>6</v>
      </c>
      <c r="AV27" s="252">
        <f t="shared" si="8"/>
        <v>13</v>
      </c>
      <c r="AW27" s="247">
        <f t="shared" si="9"/>
        <v>1</v>
      </c>
      <c r="AX27" s="82">
        <f t="shared" si="10"/>
        <v>-4</v>
      </c>
      <c r="AY27" s="252">
        <f t="shared" si="11"/>
        <v>7</v>
      </c>
      <c r="AZ27" s="247">
        <f t="shared" si="17"/>
        <v>5</v>
      </c>
      <c r="BA27" s="82">
        <f t="shared" si="12"/>
        <v>-3</v>
      </c>
      <c r="BB27" s="252">
        <f t="shared" si="13"/>
        <v>25</v>
      </c>
      <c r="BC27" s="255">
        <f t="shared" si="14"/>
        <v>-3</v>
      </c>
      <c r="BD27" s="7">
        <f t="shared" si="15"/>
        <v>0</v>
      </c>
      <c r="BE27" s="183">
        <f t="shared" si="16"/>
        <v>18.027500270000001</v>
      </c>
      <c r="BF27" s="82">
        <f>IF(AP27="","",SMALL(BE$9:BE$62,ROWS(AZ$9:AZ27)))</f>
        <v>18.027600150000001</v>
      </c>
      <c r="BH27" s="250" t="str">
        <f>IF(OR(AP27="",AZ27=""),"",INDEX($AP$9:$AP$63,MATCH(BF27,$BE$9:BE$62,0)))</f>
        <v>A7</v>
      </c>
      <c r="BI27" s="7">
        <f t="shared" si="0"/>
        <v>5</v>
      </c>
      <c r="BJ27" s="7">
        <f t="shared" si="1"/>
        <v>-3</v>
      </c>
      <c r="BK27" s="7">
        <f t="shared" si="2"/>
        <v>24</v>
      </c>
      <c r="BL27" s="17">
        <f>IF(BF27="","",IF(AND(BI26=BI27,BJ26=BJ27,BK26=BK27),BL26,$BL$9+18))</f>
        <v>19</v>
      </c>
      <c r="BM27" s="22"/>
      <c r="BN27" s="225"/>
    </row>
    <row r="28" spans="1:66" ht="16.2" thickBot="1" x14ac:dyDescent="0.3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0"/>
      <c r="P28" s="18"/>
      <c r="Q28" s="18"/>
      <c r="R28" s="18"/>
      <c r="S28" s="18"/>
      <c r="T28" s="18"/>
      <c r="U28" s="22"/>
      <c r="V28" s="18"/>
      <c r="W28" s="18"/>
      <c r="X28" s="18"/>
      <c r="Y28" s="383"/>
      <c r="Z28" s="11" t="str">
        <f>+P14</f>
        <v>B5</v>
      </c>
      <c r="AA28" s="14">
        <f>IF(ISTEXT(Z28),AA27,0)</f>
        <v>3</v>
      </c>
      <c r="AB28" s="14">
        <f>IF(ISTEXT(Z28),AB27,0)</f>
        <v>1</v>
      </c>
      <c r="AC28" s="15">
        <f>IF(ISTEXT(Z28),AC27,0)</f>
        <v>-10</v>
      </c>
      <c r="AD28" s="6"/>
      <c r="AE28" s="11" t="str">
        <f>+S14</f>
        <v>B6</v>
      </c>
      <c r="AF28" s="14">
        <f>IF(ISTEXT(AE28),AF27,0)</f>
        <v>11</v>
      </c>
      <c r="AG28" s="48">
        <f>IF(ISTEXT(AE28),AG27,0)</f>
        <v>3</v>
      </c>
      <c r="AH28" s="15">
        <f>IF(ISTEXT(AE28),AH27,0)</f>
        <v>6</v>
      </c>
      <c r="AI28" s="6"/>
      <c r="AJ28" s="11" t="str">
        <f>+V14</f>
        <v>B7</v>
      </c>
      <c r="AK28" s="14">
        <f>IF(ISTEXT(AJ28),AK27,0)</f>
        <v>11</v>
      </c>
      <c r="AL28" s="48">
        <f>IF(ISTEXT(AJ28),AL27,0)</f>
        <v>3</v>
      </c>
      <c r="AM28" s="15">
        <f>IF(ISTEXT(AJ28),AM27,0)</f>
        <v>2</v>
      </c>
      <c r="AN28" s="18"/>
      <c r="AO28" s="44">
        <v>20</v>
      </c>
      <c r="AP28" s="279" t="str">
        <f>+Inscrits!D4</f>
        <v>B2</v>
      </c>
      <c r="AQ28" s="247">
        <f t="shared" si="3"/>
        <v>3</v>
      </c>
      <c r="AR28" s="82">
        <f t="shared" si="4"/>
        <v>5</v>
      </c>
      <c r="AS28" s="184">
        <f t="shared" si="5"/>
        <v>10</v>
      </c>
      <c r="AT28" s="250">
        <f t="shared" si="6"/>
        <v>1</v>
      </c>
      <c r="AU28" s="82">
        <f t="shared" si="7"/>
        <v>-7</v>
      </c>
      <c r="AV28" s="252">
        <f t="shared" si="8"/>
        <v>6</v>
      </c>
      <c r="AW28" s="247">
        <f t="shared" si="9"/>
        <v>3</v>
      </c>
      <c r="AX28" s="82">
        <f t="shared" si="10"/>
        <v>4</v>
      </c>
      <c r="AY28" s="252">
        <f t="shared" si="11"/>
        <v>11</v>
      </c>
      <c r="AZ28" s="247">
        <f t="shared" si="17"/>
        <v>7</v>
      </c>
      <c r="BA28" s="82">
        <f t="shared" si="12"/>
        <v>2</v>
      </c>
      <c r="BB28" s="252">
        <f t="shared" si="13"/>
        <v>27</v>
      </c>
      <c r="BC28" s="255">
        <f t="shared" si="14"/>
        <v>0</v>
      </c>
      <c r="BD28" s="7">
        <f t="shared" si="15"/>
        <v>2</v>
      </c>
      <c r="BE28" s="183">
        <f t="shared" si="16"/>
        <v>3.9773002800000001</v>
      </c>
      <c r="BF28" s="82">
        <f>IF(AP28="","",SMALL(BE$9:BE$62,ROWS(AZ$9:AZ28)))</f>
        <v>18.067900090000002</v>
      </c>
      <c r="BH28" s="250" t="str">
        <f>IF(OR(AP28="",AZ28=""),"",INDEX($AP$9:$AP$63,MATCH(BF28,$BE$9:BE$62,0)))</f>
        <v>A1</v>
      </c>
      <c r="BI28" s="7">
        <f t="shared" si="0"/>
        <v>5</v>
      </c>
      <c r="BJ28" s="7">
        <f t="shared" si="1"/>
        <v>-7</v>
      </c>
      <c r="BK28" s="7">
        <f t="shared" si="2"/>
        <v>21</v>
      </c>
      <c r="BL28" s="17">
        <f>IF(BF28="","",IF(AND(BI27=BI28,BJ27=BJ28,BK27=BK28),BL27,$BL$9+19))</f>
        <v>20</v>
      </c>
      <c r="BM28" s="22"/>
      <c r="BN28" s="225"/>
    </row>
    <row r="29" spans="1:66" ht="15.6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P29" s="18"/>
      <c r="Q29" s="18"/>
      <c r="R29" s="18"/>
      <c r="S29" s="18"/>
      <c r="T29" s="18"/>
      <c r="U29" s="22"/>
      <c r="V29" s="18"/>
      <c r="W29" s="18"/>
      <c r="X29" s="18"/>
      <c r="Y29" s="383"/>
      <c r="Z29" s="11" t="str">
        <f>+Q14</f>
        <v>C5</v>
      </c>
      <c r="AA29" s="55">
        <f>IF(ISTEXT(Z29),AA27,0)</f>
        <v>3</v>
      </c>
      <c r="AB29" s="55">
        <f>IF(ISTEXT(Z29),AB27,0)</f>
        <v>1</v>
      </c>
      <c r="AC29" s="56">
        <f>IF(ISTEXT(Z29),AC27,0)</f>
        <v>-10</v>
      </c>
      <c r="AD29" s="6"/>
      <c r="AE29" s="11" t="str">
        <f>+T14</f>
        <v>C2</v>
      </c>
      <c r="AF29" s="55">
        <f>IF(ISTEXT(AE29),AF27,0)</f>
        <v>11</v>
      </c>
      <c r="AG29" s="52">
        <f>IF(ISTEXT(AE29),AG27,0)</f>
        <v>3</v>
      </c>
      <c r="AH29" s="56">
        <f>IF(ISTEXT(AE29),AH27,0)</f>
        <v>6</v>
      </c>
      <c r="AI29" s="6"/>
      <c r="AJ29" s="11" t="str">
        <f>+W14</f>
        <v>C8</v>
      </c>
      <c r="AK29" s="55">
        <f>IF(ISTEXT(AJ29),AK27,0)</f>
        <v>11</v>
      </c>
      <c r="AL29" s="52">
        <f>IF(ISTEXT(AJ29),AL27,0)</f>
        <v>3</v>
      </c>
      <c r="AM29" s="56">
        <f>IF(ISTEXT(AJ29),AM27,0)</f>
        <v>2</v>
      </c>
      <c r="AN29" s="18"/>
      <c r="AO29" s="44">
        <v>21</v>
      </c>
      <c r="AP29" s="279" t="str">
        <f>+Inscrits!D5</f>
        <v>B3</v>
      </c>
      <c r="AQ29" s="247">
        <f t="shared" si="3"/>
        <v>3</v>
      </c>
      <c r="AR29" s="82">
        <f t="shared" si="4"/>
        <v>4</v>
      </c>
      <c r="AS29" s="184">
        <f t="shared" si="5"/>
        <v>8</v>
      </c>
      <c r="AT29" s="250">
        <f t="shared" si="6"/>
        <v>3</v>
      </c>
      <c r="AU29" s="82">
        <f t="shared" si="7"/>
        <v>7</v>
      </c>
      <c r="AV29" s="252">
        <f t="shared" si="8"/>
        <v>13</v>
      </c>
      <c r="AW29" s="247">
        <f t="shared" si="9"/>
        <v>3</v>
      </c>
      <c r="AX29" s="82">
        <f t="shared" si="10"/>
        <v>4</v>
      </c>
      <c r="AY29" s="252">
        <f t="shared" si="11"/>
        <v>9</v>
      </c>
      <c r="AZ29" s="247">
        <f t="shared" si="17"/>
        <v>9</v>
      </c>
      <c r="BA29" s="82">
        <f t="shared" si="12"/>
        <v>15</v>
      </c>
      <c r="BB29" s="252">
        <f t="shared" si="13"/>
        <v>30</v>
      </c>
      <c r="BC29" s="255">
        <f t="shared" si="14"/>
        <v>0</v>
      </c>
      <c r="BD29" s="7">
        <f t="shared" si="15"/>
        <v>15</v>
      </c>
      <c r="BE29" s="183">
        <f t="shared" si="16"/>
        <v>0.84700028999999999</v>
      </c>
      <c r="BF29" s="82">
        <f>IF(AP29="","",SMALL(BE$9:BE$62,ROWS(AZ$9:AZ29)))</f>
        <v>18.088600450000001</v>
      </c>
      <c r="BH29" s="250" t="str">
        <f>IF(OR(AP29="",AZ29=""),"",INDEX($AP$9:$AP$63,MATCH(BF29,$BE$9:BE$62,0)))</f>
        <v>C1</v>
      </c>
      <c r="BI29" s="7">
        <f t="shared" si="0"/>
        <v>5</v>
      </c>
      <c r="BJ29" s="7">
        <f t="shared" si="1"/>
        <v>-9</v>
      </c>
      <c r="BK29" s="7">
        <f t="shared" si="2"/>
        <v>14</v>
      </c>
      <c r="BL29" s="17">
        <f>IF(BF29="","",IF(AND(BI28=BI29,BJ28=BJ29,BK28=BK29),BL28,$BL$9+20))</f>
        <v>21</v>
      </c>
      <c r="BM29" s="22"/>
      <c r="BN29" s="225"/>
    </row>
    <row r="30" spans="1:66" ht="15.6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P30" s="18"/>
      <c r="Q30" s="18"/>
      <c r="R30" s="18"/>
      <c r="S30" s="18"/>
      <c r="T30" s="18"/>
      <c r="U30" s="22"/>
      <c r="V30" s="18"/>
      <c r="W30" s="18"/>
      <c r="X30" s="18"/>
      <c r="Y30" s="383"/>
      <c r="Z30" s="24"/>
      <c r="AA30" s="16" t="s">
        <v>5</v>
      </c>
      <c r="AB30" s="16"/>
      <c r="AC30" s="17"/>
      <c r="AD30" s="1"/>
      <c r="AE30" s="24"/>
      <c r="AF30" s="16" t="s">
        <v>5</v>
      </c>
      <c r="AG30" s="16"/>
      <c r="AH30" s="17"/>
      <c r="AI30" s="1"/>
      <c r="AJ30" s="24"/>
      <c r="AK30" s="16" t="s">
        <v>5</v>
      </c>
      <c r="AL30" s="16"/>
      <c r="AM30" s="17"/>
      <c r="AN30" s="18"/>
      <c r="AO30" s="44">
        <v>22</v>
      </c>
      <c r="AP30" s="279" t="str">
        <f>+Inscrits!D6</f>
        <v>B4</v>
      </c>
      <c r="AQ30" s="247">
        <f t="shared" si="3"/>
        <v>1</v>
      </c>
      <c r="AR30" s="82">
        <f t="shared" si="4"/>
        <v>-4</v>
      </c>
      <c r="AS30" s="184">
        <f t="shared" si="5"/>
        <v>4</v>
      </c>
      <c r="AT30" s="250">
        <f t="shared" si="6"/>
        <v>1</v>
      </c>
      <c r="AU30" s="82">
        <f t="shared" si="7"/>
        <v>-3</v>
      </c>
      <c r="AV30" s="252">
        <f t="shared" si="8"/>
        <v>5</v>
      </c>
      <c r="AW30" s="247">
        <f t="shared" si="9"/>
        <v>1</v>
      </c>
      <c r="AX30" s="82">
        <f t="shared" si="10"/>
        <v>-3</v>
      </c>
      <c r="AY30" s="252">
        <f t="shared" si="11"/>
        <v>10</v>
      </c>
      <c r="AZ30" s="247">
        <f t="shared" si="17"/>
        <v>3</v>
      </c>
      <c r="BA30" s="82">
        <f t="shared" si="12"/>
        <v>-10</v>
      </c>
      <c r="BB30" s="252">
        <f t="shared" si="13"/>
        <v>19</v>
      </c>
      <c r="BC30" s="255">
        <f t="shared" si="14"/>
        <v>-10</v>
      </c>
      <c r="BD30" s="7">
        <f t="shared" si="15"/>
        <v>0</v>
      </c>
      <c r="BE30" s="183">
        <f t="shared" si="16"/>
        <v>26.098100300000002</v>
      </c>
      <c r="BF30" s="82">
        <f>IF(AP30="","",SMALL(BE$9:BE$62,ROWS(AZ$9:AZ30)))</f>
        <v>18.10840031</v>
      </c>
      <c r="BH30" s="250" t="str">
        <f>IF(OR(AP30="",AZ30=""),"",INDEX($AP$9:$AP$63,MATCH(BF30,$BE$9:BE$62,0)))</f>
        <v>B5</v>
      </c>
      <c r="BI30" s="7">
        <f t="shared" si="0"/>
        <v>5</v>
      </c>
      <c r="BJ30" s="7">
        <f t="shared" si="1"/>
        <v>-11</v>
      </c>
      <c r="BK30" s="7">
        <f t="shared" si="2"/>
        <v>16</v>
      </c>
      <c r="BL30" s="17">
        <f>IF(BF30="","",IF(AND(BI29=BI30,BJ29=BJ30,BK29=BK30),BL29,$BL$9+21))</f>
        <v>22</v>
      </c>
      <c r="BM30" s="22"/>
      <c r="BN30" s="225"/>
    </row>
    <row r="31" spans="1:66" ht="15.6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P31" s="18"/>
      <c r="Q31" s="18"/>
      <c r="R31" s="18"/>
      <c r="S31" s="18"/>
      <c r="T31" s="18"/>
      <c r="U31" s="18"/>
      <c r="V31" s="18"/>
      <c r="W31" s="18"/>
      <c r="X31" s="18"/>
      <c r="Y31" s="383"/>
      <c r="Z31" s="11" t="str">
        <f>+O15</f>
        <v>A6</v>
      </c>
      <c r="AA31" s="27">
        <v>13</v>
      </c>
      <c r="AB31" s="23">
        <f>IF(AA27+AA31=0,0,IF(AA27=AA31,2,IF(AA27&lt;AA31,3,1)))</f>
        <v>3</v>
      </c>
      <c r="AC31" s="12">
        <f>AA31-AA27</f>
        <v>10</v>
      </c>
      <c r="AD31" s="6"/>
      <c r="AE31" s="11" t="str">
        <f>+R15</f>
        <v>A7</v>
      </c>
      <c r="AF31" s="108">
        <v>5</v>
      </c>
      <c r="AG31" s="23">
        <f>IF(AF27+AF31=0,0,IF(AF27=AF31,2,IF(AF27&lt;AF31,3,1)))</f>
        <v>1</v>
      </c>
      <c r="AH31" s="12">
        <f>AF31-AF27</f>
        <v>-6</v>
      </c>
      <c r="AI31" s="6"/>
      <c r="AJ31" s="11" t="str">
        <f>+U15</f>
        <v>A7</v>
      </c>
      <c r="AK31" s="29">
        <v>9</v>
      </c>
      <c r="AL31" s="23">
        <f>IF(AK27+AK31=0,0,IF(AK27=AK31,2,IF(AK27&lt;AK31,3,1)))</f>
        <v>1</v>
      </c>
      <c r="AM31" s="12">
        <f>AK31-AK27</f>
        <v>-2</v>
      </c>
      <c r="AN31" s="18"/>
      <c r="AO31" s="44">
        <v>23</v>
      </c>
      <c r="AP31" s="279" t="str">
        <f>+Inscrits!D7</f>
        <v>B5</v>
      </c>
      <c r="AQ31" s="247">
        <f t="shared" si="3"/>
        <v>1</v>
      </c>
      <c r="AR31" s="82">
        <f t="shared" si="4"/>
        <v>-10</v>
      </c>
      <c r="AS31" s="184">
        <f t="shared" si="5"/>
        <v>3</v>
      </c>
      <c r="AT31" s="250">
        <f t="shared" si="6"/>
        <v>3</v>
      </c>
      <c r="AU31" s="82">
        <f t="shared" si="7"/>
        <v>3</v>
      </c>
      <c r="AV31" s="252">
        <f t="shared" si="8"/>
        <v>8</v>
      </c>
      <c r="AW31" s="247">
        <f t="shared" si="9"/>
        <v>1</v>
      </c>
      <c r="AX31" s="82">
        <f t="shared" si="10"/>
        <v>-4</v>
      </c>
      <c r="AY31" s="252">
        <f t="shared" si="11"/>
        <v>5</v>
      </c>
      <c r="AZ31" s="247">
        <f t="shared" si="17"/>
        <v>5</v>
      </c>
      <c r="BA31" s="82">
        <f t="shared" si="12"/>
        <v>-11</v>
      </c>
      <c r="BB31" s="252">
        <f t="shared" si="13"/>
        <v>16</v>
      </c>
      <c r="BC31" s="255">
        <f t="shared" si="14"/>
        <v>-11</v>
      </c>
      <c r="BD31" s="7">
        <f t="shared" si="15"/>
        <v>0</v>
      </c>
      <c r="BE31" s="183">
        <f t="shared" si="16"/>
        <v>18.10840031</v>
      </c>
      <c r="BF31" s="82">
        <f>IF(AP31="","",SMALL(BE$9:BE$62,ROWS(AZ$9:AZ31)))</f>
        <v>18.118300520000002</v>
      </c>
      <c r="BH31" s="250" t="str">
        <f>IF(OR(AP31="",AZ31=""),"",INDEX($AP$9:$AP$63,MATCH(BF31,$BE$9:BE$62,0)))</f>
        <v>C8</v>
      </c>
      <c r="BI31" s="7">
        <f t="shared" si="0"/>
        <v>5</v>
      </c>
      <c r="BJ31" s="7">
        <f t="shared" si="1"/>
        <v>-12</v>
      </c>
      <c r="BK31" s="7">
        <f t="shared" si="2"/>
        <v>17</v>
      </c>
      <c r="BL31" s="17">
        <f>IF(BF31="","",IF(AND(BI30=BI31,BJ30=BJ31,BK30=BK31),BL30,$BL$9+22))</f>
        <v>23</v>
      </c>
      <c r="BM31" s="22"/>
      <c r="BN31" s="225"/>
    </row>
    <row r="32" spans="1:66" ht="16.2" thickBot="1" x14ac:dyDescent="0.3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P32" s="18"/>
      <c r="Q32" s="18"/>
      <c r="R32" s="18"/>
      <c r="S32" s="18"/>
      <c r="T32" s="18"/>
      <c r="U32" s="18"/>
      <c r="V32" s="18"/>
      <c r="W32" s="18"/>
      <c r="X32" s="18"/>
      <c r="Y32" s="383"/>
      <c r="Z32" s="11" t="str">
        <f>+P15</f>
        <v>B6</v>
      </c>
      <c r="AA32" s="14">
        <f>IF(ISTEXT(Z32),AA31,0)</f>
        <v>13</v>
      </c>
      <c r="AB32" s="14">
        <f>IF(ISTEXT(Z32),AB31,0)</f>
        <v>3</v>
      </c>
      <c r="AC32" s="15">
        <f>IF(ISTEXT(Z32),AC31,0)</f>
        <v>10</v>
      </c>
      <c r="AD32" s="6"/>
      <c r="AE32" s="11" t="str">
        <f>+S15</f>
        <v>B7</v>
      </c>
      <c r="AF32" s="14">
        <f>IF(ISTEXT(AE32),AF31,0)</f>
        <v>5</v>
      </c>
      <c r="AG32" s="14">
        <f>IF(ISTEXT(AE32),AG31,0)</f>
        <v>1</v>
      </c>
      <c r="AH32" s="15">
        <f>IF(ISTEXT(AE32),AH31,0)</f>
        <v>-6</v>
      </c>
      <c r="AI32" s="6"/>
      <c r="AJ32" s="11" t="str">
        <f>+V15</f>
        <v>B8</v>
      </c>
      <c r="AK32" s="14">
        <f>IF(ISTEXT(AJ32),AK31,0)</f>
        <v>9</v>
      </c>
      <c r="AL32" s="14">
        <f>IF(ISTEXT(AJ32),AL31,0)</f>
        <v>1</v>
      </c>
      <c r="AM32" s="15">
        <f>IF(ISTEXT(AJ32),AM31,0)</f>
        <v>-2</v>
      </c>
      <c r="AN32" s="18"/>
      <c r="AO32" s="44">
        <v>24</v>
      </c>
      <c r="AP32" s="279" t="str">
        <f>+Inscrits!D8</f>
        <v>B6</v>
      </c>
      <c r="AQ32" s="247">
        <f t="shared" si="3"/>
        <v>3</v>
      </c>
      <c r="AR32" s="82">
        <f t="shared" si="4"/>
        <v>10</v>
      </c>
      <c r="AS32" s="184">
        <f t="shared" si="5"/>
        <v>13</v>
      </c>
      <c r="AT32" s="250">
        <f t="shared" si="6"/>
        <v>3</v>
      </c>
      <c r="AU32" s="82">
        <f t="shared" si="7"/>
        <v>6</v>
      </c>
      <c r="AV32" s="252">
        <f t="shared" si="8"/>
        <v>11</v>
      </c>
      <c r="AW32" s="247">
        <f t="shared" si="9"/>
        <v>3</v>
      </c>
      <c r="AX32" s="82">
        <f t="shared" si="10"/>
        <v>3</v>
      </c>
      <c r="AY32" s="252">
        <f t="shared" si="11"/>
        <v>13</v>
      </c>
      <c r="AZ32" s="247">
        <f t="shared" si="17"/>
        <v>9</v>
      </c>
      <c r="BA32" s="82">
        <f t="shared" si="12"/>
        <v>19</v>
      </c>
      <c r="BB32" s="252">
        <f t="shared" si="13"/>
        <v>37</v>
      </c>
      <c r="BC32" s="255">
        <f t="shared" si="14"/>
        <v>0</v>
      </c>
      <c r="BD32" s="7">
        <f t="shared" si="15"/>
        <v>19</v>
      </c>
      <c r="BE32" s="183">
        <f t="shared" si="16"/>
        <v>0.80630032000000007</v>
      </c>
      <c r="BF32" s="82">
        <f>IF(AP32="","",SMALL(BE$9:BE$62,ROWS(AZ$9:AZ32)))</f>
        <v>18.11910035</v>
      </c>
      <c r="BH32" s="250" t="str">
        <f>IF(OR(AP32="",AZ32=""),"",INDEX($AP$9:$AP$63,MATCH(BF32,$BE$9:BE$62,0)))</f>
        <v>B9</v>
      </c>
      <c r="BI32" s="7">
        <f t="shared" si="0"/>
        <v>5</v>
      </c>
      <c r="BJ32" s="7">
        <f t="shared" si="1"/>
        <v>-12</v>
      </c>
      <c r="BK32" s="7">
        <f t="shared" si="2"/>
        <v>9</v>
      </c>
      <c r="BL32" s="17">
        <f>IF(BF32="","",IF(AND(BI31=BI32,BJ31=BJ32,BK31=BK32),BL31,$BL$9+23))</f>
        <v>24</v>
      </c>
      <c r="BM32" s="22"/>
      <c r="BN32" s="225"/>
    </row>
    <row r="33" spans="1:66" ht="16.2" thickBot="1" x14ac:dyDescent="0.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P33" s="18"/>
      <c r="Q33" s="18"/>
      <c r="R33" s="18"/>
      <c r="S33" s="18"/>
      <c r="T33" s="18"/>
      <c r="U33" s="18"/>
      <c r="V33" s="18"/>
      <c r="W33" s="18"/>
      <c r="X33" s="18"/>
      <c r="Y33" s="384"/>
      <c r="Z33" s="13" t="str">
        <f>+Q15</f>
        <v>C6</v>
      </c>
      <c r="AA33" s="14">
        <f>IF(ISTEXT(Z33),AA31,0)</f>
        <v>13</v>
      </c>
      <c r="AB33" s="14">
        <f>IF(ISTEXT(Z33),AB31,0)</f>
        <v>3</v>
      </c>
      <c r="AC33" s="15">
        <f>IF(ISTEXT(Z33),AC31,0)</f>
        <v>10</v>
      </c>
      <c r="AD33" s="6"/>
      <c r="AE33" s="13" t="str">
        <f>+T15</f>
        <v>C7</v>
      </c>
      <c r="AF33" s="14">
        <f>IF(ISTEXT(AE33),AF31,0)</f>
        <v>5</v>
      </c>
      <c r="AG33" s="14">
        <f>IF(ISTEXT(AE33),AG31,0)</f>
        <v>1</v>
      </c>
      <c r="AH33" s="15">
        <f>IF(ISTEXT(AE33),AH31,0)</f>
        <v>-6</v>
      </c>
      <c r="AI33" s="6"/>
      <c r="AJ33" s="13" t="str">
        <f>+W15</f>
        <v>C9</v>
      </c>
      <c r="AK33" s="14">
        <f>IF(ISTEXT(AJ33),AK31,0)</f>
        <v>9</v>
      </c>
      <c r="AL33" s="14">
        <f>IF(ISTEXT(AJ33),AL31,0)</f>
        <v>1</v>
      </c>
      <c r="AM33" s="15">
        <f>IF(ISTEXT(AJ33),AM31,0)</f>
        <v>-2</v>
      </c>
      <c r="AN33" s="18"/>
      <c r="AO33" s="44">
        <v>25</v>
      </c>
      <c r="AP33" s="279" t="str">
        <f>+Inscrits!D9</f>
        <v>B7</v>
      </c>
      <c r="AQ33" s="247">
        <f t="shared" si="3"/>
        <v>3</v>
      </c>
      <c r="AR33" s="82">
        <f t="shared" si="4"/>
        <v>5</v>
      </c>
      <c r="AS33" s="184">
        <f t="shared" si="5"/>
        <v>10</v>
      </c>
      <c r="AT33" s="250">
        <f t="shared" si="6"/>
        <v>1</v>
      </c>
      <c r="AU33" s="82">
        <f t="shared" si="7"/>
        <v>-6</v>
      </c>
      <c r="AV33" s="252">
        <f t="shared" si="8"/>
        <v>5</v>
      </c>
      <c r="AW33" s="247">
        <f t="shared" si="9"/>
        <v>3</v>
      </c>
      <c r="AX33" s="82">
        <f t="shared" si="10"/>
        <v>2</v>
      </c>
      <c r="AY33" s="252">
        <f t="shared" si="11"/>
        <v>11</v>
      </c>
      <c r="AZ33" s="247">
        <f t="shared" si="17"/>
        <v>7</v>
      </c>
      <c r="BA33" s="82">
        <f t="shared" si="12"/>
        <v>1</v>
      </c>
      <c r="BB33" s="252">
        <f t="shared" si="13"/>
        <v>26</v>
      </c>
      <c r="BC33" s="255">
        <f t="shared" si="14"/>
        <v>0</v>
      </c>
      <c r="BD33" s="7">
        <f t="shared" si="15"/>
        <v>1</v>
      </c>
      <c r="BE33" s="183">
        <f t="shared" si="16"/>
        <v>3.9874003300000003</v>
      </c>
      <c r="BF33" s="82">
        <f>IF(AP33="","",SMALL(BE$9:BE$62,ROWS(AZ$9:AZ33)))</f>
        <v>18.128200490000001</v>
      </c>
      <c r="BH33" s="250" t="str">
        <f>IF(OR(AP33="",AZ33=""),"",INDEX($AP$9:$AP$63,MATCH(BF33,$BE$9:BE$62,0)))</f>
        <v>C5</v>
      </c>
      <c r="BI33" s="7">
        <f t="shared" si="0"/>
        <v>5</v>
      </c>
      <c r="BJ33" s="7">
        <f t="shared" si="1"/>
        <v>-13</v>
      </c>
      <c r="BK33" s="7">
        <f t="shared" si="2"/>
        <v>18</v>
      </c>
      <c r="BL33" s="17">
        <f>IF(BF33="","",IF(AND(BI32=BI33,BJ32=BJ33,BK32=BK33),BL32,$BL$9+24))</f>
        <v>25</v>
      </c>
      <c r="BM33" s="22"/>
      <c r="BN33" s="225"/>
    </row>
    <row r="34" spans="1:66" ht="16.2" thickBot="1" x14ac:dyDescent="0.3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P34" s="18"/>
      <c r="Q34" s="18"/>
      <c r="R34" s="18"/>
      <c r="S34" s="18"/>
      <c r="T34" s="18"/>
      <c r="U34" s="18"/>
      <c r="V34" s="18"/>
      <c r="W34" s="18"/>
      <c r="X34" s="18"/>
      <c r="Y34" s="20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18"/>
      <c r="AO34" s="44">
        <v>26</v>
      </c>
      <c r="AP34" s="279" t="str">
        <f>+Inscrits!D10</f>
        <v>B8</v>
      </c>
      <c r="AQ34" s="247">
        <f t="shared" si="3"/>
        <v>1</v>
      </c>
      <c r="AR34" s="82">
        <f t="shared" si="4"/>
        <v>-5</v>
      </c>
      <c r="AS34" s="184">
        <f t="shared" si="5"/>
        <v>5</v>
      </c>
      <c r="AT34" s="250">
        <f t="shared" si="6"/>
        <v>1</v>
      </c>
      <c r="AU34" s="82">
        <f t="shared" si="7"/>
        <v>-9</v>
      </c>
      <c r="AV34" s="252">
        <f t="shared" si="8"/>
        <v>1</v>
      </c>
      <c r="AW34" s="247">
        <f t="shared" si="9"/>
        <v>1</v>
      </c>
      <c r="AX34" s="82">
        <f t="shared" si="10"/>
        <v>-2</v>
      </c>
      <c r="AY34" s="252">
        <f t="shared" si="11"/>
        <v>9</v>
      </c>
      <c r="AZ34" s="247">
        <f t="shared" si="17"/>
        <v>3</v>
      </c>
      <c r="BA34" s="82">
        <f t="shared" si="12"/>
        <v>-16</v>
      </c>
      <c r="BB34" s="252">
        <f t="shared" si="13"/>
        <v>15</v>
      </c>
      <c r="BC34" s="255">
        <f t="shared" si="14"/>
        <v>-16</v>
      </c>
      <c r="BD34" s="7">
        <f t="shared" si="15"/>
        <v>0</v>
      </c>
      <c r="BE34" s="183">
        <f t="shared" si="16"/>
        <v>26.15850034</v>
      </c>
      <c r="BF34" s="82">
        <f>IF(AP34="","",SMALL(BE$9:BE$62,ROWS(AZ$9:AZ34)))</f>
        <v>26.098100300000002</v>
      </c>
      <c r="BH34" s="250" t="str">
        <f>IF(OR(AP34="",AZ34=""),"",INDEX($AP$9:$AP$63,MATCH(BF34,$BE$9:BE$62,0)))</f>
        <v>B4</v>
      </c>
      <c r="BI34" s="7">
        <f t="shared" si="0"/>
        <v>3</v>
      </c>
      <c r="BJ34" s="7">
        <f t="shared" si="1"/>
        <v>-10</v>
      </c>
      <c r="BK34" s="7">
        <f t="shared" si="2"/>
        <v>19</v>
      </c>
      <c r="BL34" s="17">
        <f>IF(BF34="","",IF(AND(BI33=BI34,BJ33=BJ34,BK33=BK34),BL33,$BL$9+25))</f>
        <v>26</v>
      </c>
      <c r="BM34" s="22"/>
      <c r="BN34" s="225"/>
    </row>
    <row r="35" spans="1:66" ht="15.6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P35" s="18"/>
      <c r="Q35" s="18"/>
      <c r="R35" s="18"/>
      <c r="S35" s="18"/>
      <c r="T35" s="18"/>
      <c r="U35" s="18"/>
      <c r="V35" s="18"/>
      <c r="W35" s="18"/>
      <c r="X35" s="18"/>
      <c r="Y35" s="382">
        <v>4</v>
      </c>
      <c r="Z35" s="9" t="str">
        <f>+O16</f>
        <v>A7</v>
      </c>
      <c r="AA35" s="25">
        <v>10</v>
      </c>
      <c r="AB35" s="38">
        <f>IF(AA35+AA39=0,0,IF(AA35=AA39,2,IF(AA35&gt;AA39,3,1)))</f>
        <v>3</v>
      </c>
      <c r="AC35" s="10">
        <f>AA35-AA39</f>
        <v>5</v>
      </c>
      <c r="AD35" s="6"/>
      <c r="AE35" s="9" t="str">
        <f>+R16</f>
        <v>A8</v>
      </c>
      <c r="AF35" s="107">
        <v>1</v>
      </c>
      <c r="AG35" s="38">
        <f>IF(AF35+AF39=0,0,IF(AF35=AF39,2,IF(AF35&gt;AF39,3,1)))</f>
        <v>1</v>
      </c>
      <c r="AH35" s="10">
        <f>AF35-AF39</f>
        <v>-9</v>
      </c>
      <c r="AI35" s="6"/>
      <c r="AJ35" s="9" t="str">
        <f>+U16</f>
        <v>A6</v>
      </c>
      <c r="AK35" s="28">
        <v>1</v>
      </c>
      <c r="AL35" s="38">
        <f>IF(AK35+AK39=0,0,IF(AK35=AK39,2,IF(AK35&gt;AK39,3,1)))</f>
        <v>1</v>
      </c>
      <c r="AM35" s="10">
        <f>AK35-AK39</f>
        <v>-7</v>
      </c>
      <c r="AN35" s="18"/>
      <c r="AO35" s="44">
        <v>27</v>
      </c>
      <c r="AP35" s="279" t="str">
        <f>+Inscrits!D11</f>
        <v>B9</v>
      </c>
      <c r="AQ35" s="247">
        <f t="shared" si="3"/>
        <v>3</v>
      </c>
      <c r="AR35" s="82">
        <f t="shared" si="4"/>
        <v>1</v>
      </c>
      <c r="AS35" s="184">
        <f t="shared" si="5"/>
        <v>1</v>
      </c>
      <c r="AT35" s="250">
        <f t="shared" si="6"/>
        <v>1</v>
      </c>
      <c r="AU35" s="82">
        <f t="shared" si="7"/>
        <v>-6</v>
      </c>
      <c r="AV35" s="252">
        <f t="shared" si="8"/>
        <v>7</v>
      </c>
      <c r="AW35" s="247">
        <f t="shared" si="9"/>
        <v>1</v>
      </c>
      <c r="AX35" s="82">
        <f t="shared" si="10"/>
        <v>-7</v>
      </c>
      <c r="AY35" s="252">
        <f t="shared" si="11"/>
        <v>1</v>
      </c>
      <c r="AZ35" s="247">
        <f t="shared" si="17"/>
        <v>5</v>
      </c>
      <c r="BA35" s="82">
        <f t="shared" si="12"/>
        <v>-12</v>
      </c>
      <c r="BB35" s="252">
        <f t="shared" si="13"/>
        <v>9</v>
      </c>
      <c r="BC35" s="255">
        <f t="shared" si="14"/>
        <v>-12</v>
      </c>
      <c r="BD35" s="7">
        <f t="shared" si="15"/>
        <v>0</v>
      </c>
      <c r="BE35" s="183">
        <f t="shared" si="16"/>
        <v>18.11910035</v>
      </c>
      <c r="BF35" s="82">
        <f>IF(AP35="","",SMALL(BE$9:BE$62,ROWS(AZ$9:AZ35)))</f>
        <v>26.108600539999998</v>
      </c>
      <c r="BH35" s="250" t="str">
        <f>IF(OR(AP35="",AZ35=""),"",INDEX($AP$9:$AP$63,MATCH(BF35,$BE$9:BE$62,0)))</f>
        <v>C10</v>
      </c>
      <c r="BI35" s="7">
        <f t="shared" si="0"/>
        <v>3</v>
      </c>
      <c r="BJ35" s="7">
        <f t="shared" si="1"/>
        <v>-11</v>
      </c>
      <c r="BK35" s="7">
        <f t="shared" si="2"/>
        <v>14</v>
      </c>
      <c r="BL35" s="17">
        <f>IF(BF35="","",IF(AND(BI34=BI35,BJ34=BJ35,BK34=BK35),BL34,$BL$9+26))</f>
        <v>27</v>
      </c>
      <c r="BM35" s="22"/>
      <c r="BN35" s="225"/>
    </row>
    <row r="36" spans="1:66" ht="16.2" thickBot="1" x14ac:dyDescent="0.3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P36" s="18"/>
      <c r="Q36" s="18"/>
      <c r="R36" s="18"/>
      <c r="S36" s="18"/>
      <c r="T36" s="18"/>
      <c r="U36" s="18"/>
      <c r="V36" s="18"/>
      <c r="W36" s="18"/>
      <c r="X36" s="18"/>
      <c r="Y36" s="383"/>
      <c r="Z36" s="11" t="str">
        <f>+P16</f>
        <v>B7</v>
      </c>
      <c r="AA36" s="14">
        <f>IF(ISTEXT(Z36),AA35,0)</f>
        <v>10</v>
      </c>
      <c r="AB36" s="14">
        <f>IF(ISTEXT(Z36),AB35,0)</f>
        <v>3</v>
      </c>
      <c r="AC36" s="15">
        <f>IF(ISTEXT(Z36),AC35,0)</f>
        <v>5</v>
      </c>
      <c r="AD36" s="6"/>
      <c r="AE36" s="11" t="str">
        <f>+S16</f>
        <v>B8</v>
      </c>
      <c r="AF36" s="14">
        <f>IF(ISTEXT(AE36),AF35,0)</f>
        <v>1</v>
      </c>
      <c r="AG36" s="48">
        <f>IF(ISTEXT(AE36),AG35,0)</f>
        <v>1</v>
      </c>
      <c r="AH36" s="15">
        <f>IF(ISTEXT(AE36),AH35,0)</f>
        <v>-9</v>
      </c>
      <c r="AI36" s="6"/>
      <c r="AJ36" s="11" t="str">
        <f>+V16</f>
        <v>B9</v>
      </c>
      <c r="AK36" s="14">
        <f>IF(ISTEXT(AJ36),AK35,0)</f>
        <v>1</v>
      </c>
      <c r="AL36" s="48">
        <f>IF(ISTEXT(AJ36),AL35,0)</f>
        <v>1</v>
      </c>
      <c r="AM36" s="15">
        <f>IF(ISTEXT(AJ36),AM35,0)</f>
        <v>-7</v>
      </c>
      <c r="AN36" s="18"/>
      <c r="AO36" s="44">
        <v>28</v>
      </c>
      <c r="AP36" s="279" t="str">
        <f>+Inscrits!D12</f>
        <v>B10</v>
      </c>
      <c r="AQ36" s="247">
        <f t="shared" si="3"/>
        <v>1</v>
      </c>
      <c r="AR36" s="82">
        <f t="shared" si="4"/>
        <v>-1</v>
      </c>
      <c r="AS36" s="184" t="str">
        <f t="shared" si="5"/>
        <v>0</v>
      </c>
      <c r="AT36" s="250">
        <f t="shared" si="6"/>
        <v>3</v>
      </c>
      <c r="AU36" s="82">
        <f t="shared" si="7"/>
        <v>9</v>
      </c>
      <c r="AV36" s="252">
        <f t="shared" si="8"/>
        <v>10</v>
      </c>
      <c r="AW36" s="247">
        <f t="shared" si="9"/>
        <v>3</v>
      </c>
      <c r="AX36" s="82">
        <f t="shared" si="10"/>
        <v>7</v>
      </c>
      <c r="AY36" s="252">
        <f t="shared" si="11"/>
        <v>8</v>
      </c>
      <c r="AZ36" s="247">
        <f t="shared" si="17"/>
        <v>7</v>
      </c>
      <c r="BA36" s="82">
        <f t="shared" si="12"/>
        <v>15</v>
      </c>
      <c r="BB36" s="252">
        <f t="shared" si="13"/>
        <v>18</v>
      </c>
      <c r="BC36" s="255">
        <f t="shared" si="14"/>
        <v>0</v>
      </c>
      <c r="BD36" s="7">
        <f t="shared" si="15"/>
        <v>15</v>
      </c>
      <c r="BE36" s="183">
        <f t="shared" si="16"/>
        <v>3.8482003600000003</v>
      </c>
      <c r="BF36" s="82">
        <f>IF(AP36="","",SMALL(BE$9:BE$62,ROWS(AZ$9:AZ36)))</f>
        <v>26.148500119999998</v>
      </c>
      <c r="BH36" s="250" t="str">
        <f>IF(OR(AP36="",AZ36=""),"",INDEX($AP$9:$AP$63,MATCH(BF36,$BE$9:BE$62,0)))</f>
        <v>A4</v>
      </c>
      <c r="BI36" s="7">
        <f t="shared" si="0"/>
        <v>3</v>
      </c>
      <c r="BJ36" s="7">
        <f t="shared" si="1"/>
        <v>-15</v>
      </c>
      <c r="BK36" s="7">
        <f t="shared" si="2"/>
        <v>15</v>
      </c>
      <c r="BL36" s="17">
        <f>IF(BF36="","",IF(AND(BI35=BI36,BJ35=BJ36,BK35=BK36),BL35,$BL$9+27))</f>
        <v>28</v>
      </c>
      <c r="BM36" s="22"/>
      <c r="BN36" s="225"/>
    </row>
    <row r="37" spans="1:66" ht="15.6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P37" s="18"/>
      <c r="Q37" s="18"/>
      <c r="R37" s="18"/>
      <c r="S37" s="18"/>
      <c r="T37" s="18"/>
      <c r="U37" s="18"/>
      <c r="V37" s="18"/>
      <c r="W37" s="18"/>
      <c r="X37" s="18"/>
      <c r="Y37" s="383"/>
      <c r="Z37" s="11" t="str">
        <f>+Q16</f>
        <v>C7</v>
      </c>
      <c r="AA37" s="55">
        <f>IF(ISTEXT(Z37),AA35,0)</f>
        <v>10</v>
      </c>
      <c r="AB37" s="55">
        <f>IF(ISTEXT(Z37),AB35,0)</f>
        <v>3</v>
      </c>
      <c r="AC37" s="56">
        <f>IF(ISTEXT(Z37),AC35,0)</f>
        <v>5</v>
      </c>
      <c r="AD37" s="6"/>
      <c r="AE37" s="11" t="str">
        <f>+T16</f>
        <v>C8</v>
      </c>
      <c r="AF37" s="55">
        <f>IF(ISTEXT(AE37),AF35,0)</f>
        <v>1</v>
      </c>
      <c r="AG37" s="52">
        <f>IF(ISTEXT(AE37),AG35,0)</f>
        <v>1</v>
      </c>
      <c r="AH37" s="56">
        <f>IF(ISTEXT(AE37),AH35,0)</f>
        <v>-9</v>
      </c>
      <c r="AI37" s="6"/>
      <c r="AJ37" s="11" t="str">
        <f>+W16</f>
        <v>C1</v>
      </c>
      <c r="AK37" s="55">
        <f>IF(ISTEXT(AJ37),AK35,0)</f>
        <v>1</v>
      </c>
      <c r="AL37" s="52">
        <f>IF(ISTEXT(AJ37),AL35,0)</f>
        <v>1</v>
      </c>
      <c r="AM37" s="56">
        <f>IF(ISTEXT(AJ37),AM35,0)</f>
        <v>-7</v>
      </c>
      <c r="AN37" s="18"/>
      <c r="AO37" s="44">
        <v>29</v>
      </c>
      <c r="AP37" s="279" t="str">
        <f>+Inscrits!D13</f>
        <v>B11</v>
      </c>
      <c r="AQ37" s="247" t="str">
        <f t="shared" si="3"/>
        <v xml:space="preserve"> </v>
      </c>
      <c r="AR37" s="82" t="str">
        <f t="shared" si="4"/>
        <v xml:space="preserve"> </v>
      </c>
      <c r="AS37" s="184" t="str">
        <f t="shared" si="5"/>
        <v xml:space="preserve"> </v>
      </c>
      <c r="AT37" s="250" t="str">
        <f t="shared" si="6"/>
        <v xml:space="preserve"> </v>
      </c>
      <c r="AU37" s="82" t="str">
        <f t="shared" si="7"/>
        <v xml:space="preserve"> </v>
      </c>
      <c r="AV37" s="252" t="str">
        <f t="shared" si="8"/>
        <v xml:space="preserve"> </v>
      </c>
      <c r="AW37" s="247" t="str">
        <f t="shared" si="9"/>
        <v xml:space="preserve"> </v>
      </c>
      <c r="AX37" s="82" t="str">
        <f t="shared" si="10"/>
        <v xml:space="preserve"> </v>
      </c>
      <c r="AY37" s="252" t="str">
        <f t="shared" si="11"/>
        <v xml:space="preserve"> </v>
      </c>
      <c r="AZ37" s="247">
        <f t="shared" si="17"/>
        <v>0</v>
      </c>
      <c r="BA37" s="82">
        <f t="shared" si="12"/>
        <v>0</v>
      </c>
      <c r="BB37" s="252">
        <f t="shared" si="13"/>
        <v>0</v>
      </c>
      <c r="BC37" s="255">
        <f t="shared" si="14"/>
        <v>0</v>
      </c>
      <c r="BD37" s="7">
        <f t="shared" si="15"/>
        <v>0</v>
      </c>
      <c r="BE37" s="183">
        <f t="shared" si="16"/>
        <v>31.000000369999999</v>
      </c>
      <c r="BF37" s="82">
        <f>IF(AP37="","",SMALL(BE$9:BE$62,ROWS(AZ$9:AZ37)))</f>
        <v>26.15850034</v>
      </c>
      <c r="BH37" s="250" t="str">
        <f>IF(OR(AP37="",AZ37=""),"",INDEX($AP$9:$AP$63,MATCH(BF37,$BE$9:BE$62,0)))</f>
        <v>B8</v>
      </c>
      <c r="BI37" s="7">
        <f t="shared" si="0"/>
        <v>3</v>
      </c>
      <c r="BJ37" s="7">
        <f t="shared" si="1"/>
        <v>-16</v>
      </c>
      <c r="BK37" s="7">
        <f t="shared" si="2"/>
        <v>15</v>
      </c>
      <c r="BL37" s="17">
        <f>IF(BF37="","",IF(AND(BI36=BI37,BJ36=BJ37,BK36=BK37),BL36,$BL$9+28))</f>
        <v>29</v>
      </c>
      <c r="BM37" s="22"/>
      <c r="BN37" s="225"/>
    </row>
    <row r="38" spans="1:66" ht="15.6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P38" s="18"/>
      <c r="Q38" s="18"/>
      <c r="R38" s="18"/>
      <c r="S38" s="18"/>
      <c r="T38" s="18"/>
      <c r="U38" s="18"/>
      <c r="V38" s="18"/>
      <c r="W38" s="18"/>
      <c r="X38" s="18"/>
      <c r="Y38" s="383"/>
      <c r="Z38" s="24"/>
      <c r="AA38" s="16" t="s">
        <v>5</v>
      </c>
      <c r="AB38" s="16"/>
      <c r="AC38" s="17"/>
      <c r="AD38" s="1"/>
      <c r="AE38" s="24"/>
      <c r="AF38" s="16" t="s">
        <v>5</v>
      </c>
      <c r="AG38" s="16"/>
      <c r="AH38" s="17"/>
      <c r="AI38" s="1"/>
      <c r="AJ38" s="24"/>
      <c r="AK38" s="16" t="s">
        <v>5</v>
      </c>
      <c r="AL38" s="16"/>
      <c r="AM38" s="17"/>
      <c r="AN38" s="18"/>
      <c r="AO38" s="44">
        <v>30</v>
      </c>
      <c r="AP38" s="279" t="str">
        <f>+Inscrits!D14</f>
        <v>B12</v>
      </c>
      <c r="AQ38" s="247" t="str">
        <f t="shared" si="3"/>
        <v xml:space="preserve"> </v>
      </c>
      <c r="AR38" s="82" t="str">
        <f t="shared" si="4"/>
        <v xml:space="preserve"> </v>
      </c>
      <c r="AS38" s="184" t="str">
        <f t="shared" si="5"/>
        <v xml:space="preserve"> </v>
      </c>
      <c r="AT38" s="250" t="str">
        <f t="shared" si="6"/>
        <v xml:space="preserve"> </v>
      </c>
      <c r="AU38" s="82" t="str">
        <f t="shared" si="7"/>
        <v xml:space="preserve"> </v>
      </c>
      <c r="AV38" s="252" t="str">
        <f t="shared" si="8"/>
        <v xml:space="preserve"> </v>
      </c>
      <c r="AW38" s="247" t="str">
        <f t="shared" si="9"/>
        <v xml:space="preserve"> </v>
      </c>
      <c r="AX38" s="82" t="str">
        <f t="shared" si="10"/>
        <v xml:space="preserve"> </v>
      </c>
      <c r="AY38" s="252" t="str">
        <f t="shared" si="11"/>
        <v xml:space="preserve"> </v>
      </c>
      <c r="AZ38" s="247">
        <f t="shared" si="17"/>
        <v>0</v>
      </c>
      <c r="BA38" s="82">
        <f t="shared" si="12"/>
        <v>0</v>
      </c>
      <c r="BB38" s="252">
        <f t="shared" si="13"/>
        <v>0</v>
      </c>
      <c r="BC38" s="255">
        <f t="shared" si="14"/>
        <v>0</v>
      </c>
      <c r="BD38" s="7">
        <f t="shared" si="15"/>
        <v>0</v>
      </c>
      <c r="BE38" s="183">
        <f t="shared" si="16"/>
        <v>31.000000379999999</v>
      </c>
      <c r="BF38" s="82">
        <f>IF(AP38="","",SMALL(BE$9:BE$62,ROWS(AZ$9:AZ38)))</f>
        <v>26.178700159999998</v>
      </c>
      <c r="BH38" s="250" t="str">
        <f>IF(OR(AP38="",AZ38=""),"",INDEX($AP$9:$AP$63,MATCH(BF38,$BE$9:BE$62,0)))</f>
        <v>A8</v>
      </c>
      <c r="BI38" s="7">
        <f t="shared" si="0"/>
        <v>3</v>
      </c>
      <c r="BJ38" s="7">
        <f t="shared" si="1"/>
        <v>-18</v>
      </c>
      <c r="BK38" s="7">
        <f t="shared" si="2"/>
        <v>13</v>
      </c>
      <c r="BL38" s="17">
        <f>IF(BF38="","",IF(AND(BI37=BI38,BJ37=BJ38,BK37=BK38),BL37,$BL$9+29))</f>
        <v>30</v>
      </c>
      <c r="BM38" s="22"/>
      <c r="BN38" s="225"/>
    </row>
    <row r="39" spans="1:66" ht="15.6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P39" s="18"/>
      <c r="Q39" s="18"/>
      <c r="R39" s="18"/>
      <c r="S39" s="18"/>
      <c r="T39" s="18"/>
      <c r="U39" s="18"/>
      <c r="V39" s="18"/>
      <c r="W39" s="18"/>
      <c r="X39" s="18"/>
      <c r="Y39" s="383"/>
      <c r="Z39" s="11" t="str">
        <f>+O17</f>
        <v>A8</v>
      </c>
      <c r="AA39" s="27">
        <v>5</v>
      </c>
      <c r="AB39" s="23">
        <f>IF(AA35+AA39=0,0,IF(AA35=AA39,2,IF(AA35&lt;AA39,3,1)))</f>
        <v>1</v>
      </c>
      <c r="AC39" s="12">
        <f>AA39-AA35</f>
        <v>-5</v>
      </c>
      <c r="AD39" s="6"/>
      <c r="AE39" s="11" t="str">
        <f>+R17</f>
        <v>A9</v>
      </c>
      <c r="AF39" s="108">
        <v>10</v>
      </c>
      <c r="AG39" s="23">
        <f>IF(AF35+AF39=0,0,IF(AF35=AF39,2,IF(AF35&lt;AF39,3,1)))</f>
        <v>3</v>
      </c>
      <c r="AH39" s="12">
        <f>AF39-AF35</f>
        <v>9</v>
      </c>
      <c r="AI39" s="6"/>
      <c r="AJ39" s="11" t="str">
        <f>+U17</f>
        <v>A9</v>
      </c>
      <c r="AK39" s="29">
        <v>8</v>
      </c>
      <c r="AL39" s="23">
        <f>IF(AK35+AK39=0,0,IF(AK35=AK39,2,IF(AK35&lt;AK39,3,1)))</f>
        <v>3</v>
      </c>
      <c r="AM39" s="12">
        <f>AK39-AK35</f>
        <v>7</v>
      </c>
      <c r="AN39" s="18"/>
      <c r="AO39" s="44">
        <v>31</v>
      </c>
      <c r="AP39" s="279" t="str">
        <f>+Inscrits!D15</f>
        <v>B13</v>
      </c>
      <c r="AQ39" s="247" t="str">
        <f t="shared" si="3"/>
        <v xml:space="preserve"> </v>
      </c>
      <c r="AR39" s="82" t="str">
        <f t="shared" si="4"/>
        <v xml:space="preserve"> </v>
      </c>
      <c r="AS39" s="184" t="str">
        <f t="shared" si="5"/>
        <v xml:space="preserve"> </v>
      </c>
      <c r="AT39" s="250" t="str">
        <f t="shared" si="6"/>
        <v xml:space="preserve"> </v>
      </c>
      <c r="AU39" s="82" t="str">
        <f t="shared" si="7"/>
        <v xml:space="preserve"> </v>
      </c>
      <c r="AV39" s="252" t="str">
        <f t="shared" si="8"/>
        <v xml:space="preserve"> </v>
      </c>
      <c r="AW39" s="247" t="str">
        <f t="shared" si="9"/>
        <v xml:space="preserve"> </v>
      </c>
      <c r="AX39" s="82" t="str">
        <f t="shared" si="10"/>
        <v xml:space="preserve"> </v>
      </c>
      <c r="AY39" s="252" t="str">
        <f t="shared" si="11"/>
        <v xml:space="preserve"> </v>
      </c>
      <c r="AZ39" s="247">
        <f t="shared" si="17"/>
        <v>0</v>
      </c>
      <c r="BA39" s="82">
        <f t="shared" si="12"/>
        <v>0</v>
      </c>
      <c r="BB39" s="252">
        <f t="shared" si="13"/>
        <v>0</v>
      </c>
      <c r="BC39" s="255">
        <f t="shared" si="14"/>
        <v>0</v>
      </c>
      <c r="BD39" s="7">
        <f t="shared" si="15"/>
        <v>0</v>
      </c>
      <c r="BE39" s="183">
        <f t="shared" si="16"/>
        <v>31.00000039</v>
      </c>
      <c r="BF39" s="82">
        <f>IF(AP39="","",SMALL(BE$9:BE$62,ROWS(AZ$9:AZ39)))</f>
        <v>31.000000190000002</v>
      </c>
      <c r="BH39" s="250" t="str">
        <f>IF(OR(AP39="",AZ39=""),"",INDEX($AP$9:$AP$63,MATCH(BF39,$BE$9:BE$62,0)))</f>
        <v>A11</v>
      </c>
      <c r="BI39" s="7">
        <f t="shared" si="0"/>
        <v>0</v>
      </c>
      <c r="BJ39" s="7">
        <f t="shared" si="1"/>
        <v>0</v>
      </c>
      <c r="BK39" s="7">
        <f t="shared" si="2"/>
        <v>0</v>
      </c>
      <c r="BL39" s="17">
        <f>IF(BF39="","",IF(AND(BI38=BI39,BJ38=BJ39,BK38=BK39),BL38,$BL$9+30))</f>
        <v>31</v>
      </c>
      <c r="BM39" s="22"/>
      <c r="BN39" s="225"/>
    </row>
    <row r="40" spans="1:66" ht="16.2" thickBot="1" x14ac:dyDescent="0.3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P40" s="18"/>
      <c r="Q40" s="18"/>
      <c r="R40" s="18"/>
      <c r="S40" s="18"/>
      <c r="T40" s="18"/>
      <c r="U40" s="18"/>
      <c r="V40" s="18"/>
      <c r="W40" s="18"/>
      <c r="X40" s="18"/>
      <c r="Y40" s="383"/>
      <c r="Z40" s="11" t="str">
        <f>+P17</f>
        <v>B8</v>
      </c>
      <c r="AA40" s="14">
        <f>IF(ISTEXT(Z40),AA39,0)</f>
        <v>5</v>
      </c>
      <c r="AB40" s="14">
        <f>IF(ISTEXT(Z40),AB39,0)</f>
        <v>1</v>
      </c>
      <c r="AC40" s="15">
        <f>IF(ISTEXT(Z40),AC39,0)</f>
        <v>-5</v>
      </c>
      <c r="AD40" s="6"/>
      <c r="AE40" s="11" t="str">
        <f>+S17</f>
        <v>B10</v>
      </c>
      <c r="AF40" s="14">
        <f>IF(ISTEXT(AE40),AF39,0)</f>
        <v>10</v>
      </c>
      <c r="AG40" s="14">
        <f>IF(ISTEXT(AE40),AG39,0)</f>
        <v>3</v>
      </c>
      <c r="AH40" s="15">
        <f>IF(ISTEXT(AE40),AH39,0)</f>
        <v>9</v>
      </c>
      <c r="AI40" s="6"/>
      <c r="AJ40" s="11" t="str">
        <f>+V17</f>
        <v>B10</v>
      </c>
      <c r="AK40" s="14">
        <f>IF(ISTEXT(AJ40),AK39,0)</f>
        <v>8</v>
      </c>
      <c r="AL40" s="14">
        <f>IF(ISTEXT(AJ40),AL39,0)</f>
        <v>3</v>
      </c>
      <c r="AM40" s="15">
        <f>IF(ISTEXT(AJ40),AM39,0)</f>
        <v>7</v>
      </c>
      <c r="AN40" s="18"/>
      <c r="AO40" s="44">
        <v>32</v>
      </c>
      <c r="AP40" s="279" t="str">
        <f>+Inscrits!D16</f>
        <v>B14</v>
      </c>
      <c r="AQ40" s="247" t="str">
        <f t="shared" si="3"/>
        <v xml:space="preserve"> </v>
      </c>
      <c r="AR40" s="82" t="str">
        <f t="shared" si="4"/>
        <v xml:space="preserve"> </v>
      </c>
      <c r="AS40" s="184" t="str">
        <f t="shared" si="5"/>
        <v xml:space="preserve"> </v>
      </c>
      <c r="AT40" s="250" t="str">
        <f t="shared" si="6"/>
        <v xml:space="preserve"> </v>
      </c>
      <c r="AU40" s="82" t="str">
        <f t="shared" si="7"/>
        <v xml:space="preserve"> </v>
      </c>
      <c r="AV40" s="252" t="str">
        <f t="shared" si="8"/>
        <v xml:space="preserve"> </v>
      </c>
      <c r="AW40" s="247" t="str">
        <f t="shared" si="9"/>
        <v xml:space="preserve"> </v>
      </c>
      <c r="AX40" s="82" t="str">
        <f t="shared" si="10"/>
        <v xml:space="preserve"> </v>
      </c>
      <c r="AY40" s="252" t="str">
        <f t="shared" si="11"/>
        <v xml:space="preserve"> </v>
      </c>
      <c r="AZ40" s="247">
        <f t="shared" si="17"/>
        <v>0</v>
      </c>
      <c r="BA40" s="82">
        <f t="shared" si="12"/>
        <v>0</v>
      </c>
      <c r="BB40" s="252">
        <f t="shared" si="13"/>
        <v>0</v>
      </c>
      <c r="BC40" s="255">
        <f t="shared" si="14"/>
        <v>0</v>
      </c>
      <c r="BD40" s="7">
        <f t="shared" si="15"/>
        <v>0</v>
      </c>
      <c r="BE40" s="183">
        <f t="shared" si="16"/>
        <v>31.000000400000001</v>
      </c>
      <c r="BF40" s="82">
        <f>IF(AP40="","",SMALL(BE$9:BE$62,ROWS(AZ$9:AZ40)))</f>
        <v>31.000000199999999</v>
      </c>
      <c r="BH40" s="250" t="str">
        <f>IF(OR(AP40="",AZ40=""),"",INDEX($AP$9:$AP$63,MATCH(BF40,$BE$9:BE$62,0)))</f>
        <v>A12</v>
      </c>
      <c r="BI40" s="7">
        <f t="shared" si="0"/>
        <v>0</v>
      </c>
      <c r="BJ40" s="7">
        <f t="shared" si="1"/>
        <v>0</v>
      </c>
      <c r="BK40" s="7">
        <f t="shared" si="2"/>
        <v>0</v>
      </c>
      <c r="BL40" s="17">
        <f>IF(BF40="","",IF(AND(BI39=BI40,BJ39=BJ40,BK39=BK40),BL39,$BL$9+31))</f>
        <v>31</v>
      </c>
      <c r="BM40" s="22"/>
      <c r="BN40" s="225"/>
    </row>
    <row r="41" spans="1:66" ht="16.2" thickBot="1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P41" s="18"/>
      <c r="Q41" s="18"/>
      <c r="R41" s="18"/>
      <c r="S41" s="18"/>
      <c r="T41" s="18"/>
      <c r="U41" s="18"/>
      <c r="V41" s="18"/>
      <c r="W41" s="18"/>
      <c r="X41" s="18"/>
      <c r="Y41" s="384"/>
      <c r="Z41" s="13" t="str">
        <f>+Q17</f>
        <v>C8</v>
      </c>
      <c r="AA41" s="14">
        <f>IF(ISTEXT(Z41),AA39,0)</f>
        <v>5</v>
      </c>
      <c r="AB41" s="14">
        <f>IF(ISTEXT(Z41),AB39,0)</f>
        <v>1</v>
      </c>
      <c r="AC41" s="15">
        <f>IF(ISTEXT(Z41),AC39,0)</f>
        <v>-5</v>
      </c>
      <c r="AD41" s="6"/>
      <c r="AE41" s="13" t="str">
        <f>+T17</f>
        <v>C9</v>
      </c>
      <c r="AF41" s="14">
        <f>IF(ISTEXT(AE41),AF39,0)</f>
        <v>10</v>
      </c>
      <c r="AG41" s="14">
        <f>IF(ISTEXT(AE41),AG39,0)</f>
        <v>3</v>
      </c>
      <c r="AH41" s="15">
        <f>IF(ISTEXT(AE41),AH39,0)</f>
        <v>9</v>
      </c>
      <c r="AI41" s="6"/>
      <c r="AJ41" s="13" t="str">
        <f>+W17</f>
        <v>C4</v>
      </c>
      <c r="AK41" s="14">
        <f>IF(ISTEXT(AJ41),AK39,0)</f>
        <v>8</v>
      </c>
      <c r="AL41" s="14">
        <f>IF(ISTEXT(AJ41),AL39,0)</f>
        <v>3</v>
      </c>
      <c r="AM41" s="15">
        <f>IF(ISTEXT(AJ41),AM39,0)</f>
        <v>7</v>
      </c>
      <c r="AN41" s="18"/>
      <c r="AO41" s="44">
        <v>33</v>
      </c>
      <c r="AP41" s="279" t="str">
        <f>+Inscrits!D17</f>
        <v>B15</v>
      </c>
      <c r="AQ41" s="247" t="str">
        <f t="shared" si="3"/>
        <v xml:space="preserve"> </v>
      </c>
      <c r="AR41" s="82" t="str">
        <f t="shared" si="4"/>
        <v xml:space="preserve"> </v>
      </c>
      <c r="AS41" s="184" t="str">
        <f t="shared" si="5"/>
        <v xml:space="preserve"> </v>
      </c>
      <c r="AT41" s="250" t="str">
        <f t="shared" si="6"/>
        <v xml:space="preserve"> </v>
      </c>
      <c r="AU41" s="82" t="str">
        <f t="shared" si="7"/>
        <v xml:space="preserve"> </v>
      </c>
      <c r="AV41" s="252" t="str">
        <f t="shared" si="8"/>
        <v xml:space="preserve"> </v>
      </c>
      <c r="AW41" s="247" t="str">
        <f t="shared" si="9"/>
        <v xml:space="preserve"> </v>
      </c>
      <c r="AX41" s="82" t="str">
        <f t="shared" si="10"/>
        <v xml:space="preserve"> </v>
      </c>
      <c r="AY41" s="252" t="str">
        <f t="shared" si="11"/>
        <v xml:space="preserve"> </v>
      </c>
      <c r="AZ41" s="247">
        <f t="shared" si="17"/>
        <v>0</v>
      </c>
      <c r="BA41" s="82">
        <f t="shared" si="12"/>
        <v>0</v>
      </c>
      <c r="BB41" s="252">
        <f t="shared" si="13"/>
        <v>0</v>
      </c>
      <c r="BC41" s="255">
        <f t="shared" si="14"/>
        <v>0</v>
      </c>
      <c r="BD41" s="7">
        <f t="shared" si="15"/>
        <v>0</v>
      </c>
      <c r="BE41" s="183">
        <f t="shared" si="16"/>
        <v>31.000000409999998</v>
      </c>
      <c r="BF41" s="82">
        <f>IF(AP41="","",SMALL(BE$9:BE$62,ROWS(AZ$9:AZ41)))</f>
        <v>31.00000021</v>
      </c>
      <c r="BH41" s="250" t="str">
        <f>IF(OR(AP41="",AZ41=""),"",INDEX($AP$9:$AP$63,MATCH(BF41,$BE$9:BE$62,0)))</f>
        <v>A13</v>
      </c>
      <c r="BI41" s="7">
        <f t="shared" ref="BI41:BI62" si="18">IF(AP41="","",INDEX($AZ$9:$AZ$63,MATCH(BF41,$BE$9:$BE$62,0)))</f>
        <v>0</v>
      </c>
      <c r="BJ41" s="7">
        <f t="shared" ref="BJ41:BJ62" si="19">IF(AP41="","",INDEX($BA$9:$BA$63,MATCH(BF41,$BE$9:$BE$62,0)))</f>
        <v>0</v>
      </c>
      <c r="BK41" s="7">
        <f t="shared" ref="BK41:BK62" si="20">IF(AP41="","",INDEX($BB$9:$BB$63,MATCH(BF41,$BE$9:$BE$62,0)))</f>
        <v>0</v>
      </c>
      <c r="BL41" s="17">
        <f>IF(BF41="","",IF(AND(BI40=BI41,BJ40=BJ41,BK40=BK41),BL40,$BL$9+32))</f>
        <v>31</v>
      </c>
      <c r="BM41" s="22"/>
      <c r="BN41" s="225"/>
    </row>
    <row r="42" spans="1:66" ht="16.2" thickBot="1" x14ac:dyDescent="0.3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P42" s="18"/>
      <c r="Q42" s="18"/>
      <c r="R42" s="18"/>
      <c r="S42" s="18"/>
      <c r="T42" s="18"/>
      <c r="U42" s="18"/>
      <c r="V42" s="18"/>
      <c r="W42" s="18"/>
      <c r="X42" s="18"/>
      <c r="Y42" s="20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18"/>
      <c r="AO42" s="44">
        <v>34</v>
      </c>
      <c r="AP42" s="279" t="str">
        <f>+Inscrits!D18</f>
        <v>B16</v>
      </c>
      <c r="AQ42" s="247" t="str">
        <f t="shared" si="3"/>
        <v xml:space="preserve"> </v>
      </c>
      <c r="AR42" s="82" t="str">
        <f t="shared" si="4"/>
        <v xml:space="preserve"> </v>
      </c>
      <c r="AS42" s="184" t="str">
        <f t="shared" si="5"/>
        <v xml:space="preserve"> </v>
      </c>
      <c r="AT42" s="250" t="str">
        <f t="shared" si="6"/>
        <v xml:space="preserve"> </v>
      </c>
      <c r="AU42" s="82" t="str">
        <f t="shared" si="7"/>
        <v xml:space="preserve"> </v>
      </c>
      <c r="AV42" s="252" t="str">
        <f t="shared" si="8"/>
        <v xml:space="preserve"> </v>
      </c>
      <c r="AW42" s="247" t="str">
        <f t="shared" si="9"/>
        <v xml:space="preserve"> </v>
      </c>
      <c r="AX42" s="82" t="str">
        <f t="shared" si="10"/>
        <v xml:space="preserve"> </v>
      </c>
      <c r="AY42" s="252" t="str">
        <f t="shared" si="11"/>
        <v xml:space="preserve"> </v>
      </c>
      <c r="AZ42" s="247">
        <f t="shared" si="17"/>
        <v>0</v>
      </c>
      <c r="BA42" s="82">
        <f t="shared" si="12"/>
        <v>0</v>
      </c>
      <c r="BB42" s="252">
        <f t="shared" si="13"/>
        <v>0</v>
      </c>
      <c r="BC42" s="255">
        <f t="shared" si="14"/>
        <v>0</v>
      </c>
      <c r="BD42" s="7">
        <f t="shared" si="15"/>
        <v>0</v>
      </c>
      <c r="BE42" s="183">
        <f t="shared" si="16"/>
        <v>31.000000419999999</v>
      </c>
      <c r="BF42" s="82">
        <f>IF(AP42="","",SMALL(BE$9:BE$62,ROWS(AZ$9:AZ42)))</f>
        <v>31.00000022</v>
      </c>
      <c r="BH42" s="250" t="str">
        <f>IF(OR(AP42="",AZ42=""),"",INDEX($AP$9:$AP$63,MATCH(BF42,$BE$9:BE$62,0)))</f>
        <v>A14</v>
      </c>
      <c r="BI42" s="7">
        <f t="shared" si="18"/>
        <v>0</v>
      </c>
      <c r="BJ42" s="7">
        <f t="shared" si="19"/>
        <v>0</v>
      </c>
      <c r="BK42" s="7">
        <f t="shared" si="20"/>
        <v>0</v>
      </c>
      <c r="BL42" s="17">
        <f>IF(BF42="","",IF(AND(BI41=BI42,BJ41=BJ42,BK41=BK42),BL41,$BL$9+33))</f>
        <v>31</v>
      </c>
      <c r="BM42" s="22"/>
      <c r="BN42" s="225"/>
    </row>
    <row r="43" spans="1:66" ht="15.6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P43" s="18"/>
      <c r="Q43" s="18"/>
      <c r="R43" s="18"/>
      <c r="S43" s="18"/>
      <c r="T43" s="18"/>
      <c r="U43" s="18"/>
      <c r="V43" s="18"/>
      <c r="W43" s="18"/>
      <c r="X43" s="18"/>
      <c r="Y43" s="382">
        <v>5</v>
      </c>
      <c r="Z43" s="9" t="str">
        <f>+O18</f>
        <v>A9</v>
      </c>
      <c r="AA43" s="25">
        <v>1</v>
      </c>
      <c r="AB43" s="38">
        <f>IF(AA43+AA47=0,0,IF(AA43=AA47,2,IF(AA43&gt;AA47,3,1)))</f>
        <v>3</v>
      </c>
      <c r="AC43" s="10">
        <f>AA43-AA47</f>
        <v>1</v>
      </c>
      <c r="AD43" s="6"/>
      <c r="AE43" s="9" t="str">
        <f>+R18</f>
        <v>A10</v>
      </c>
      <c r="AF43" s="107">
        <v>13</v>
      </c>
      <c r="AG43" s="38">
        <f>IF(AF43+AF47=0,0,IF(AF43=AF47,2,IF(AF43&gt;AF47,3,1)))</f>
        <v>3</v>
      </c>
      <c r="AH43" s="10">
        <f>AF43-AF47</f>
        <v>6</v>
      </c>
      <c r="AI43" s="6"/>
      <c r="AJ43" s="9" t="str">
        <f>+U18</f>
        <v>A8</v>
      </c>
      <c r="AK43" s="28">
        <v>7</v>
      </c>
      <c r="AL43" s="38">
        <f>IF(AK43+AK47=0,0,IF(AK43=AK47,2,IF(AK43&gt;AK47,3,1)))</f>
        <v>1</v>
      </c>
      <c r="AM43" s="10">
        <f>AK43-AK47</f>
        <v>-4</v>
      </c>
      <c r="AN43" s="18"/>
      <c r="AO43" s="44">
        <v>35</v>
      </c>
      <c r="AP43" s="279" t="str">
        <f>+Inscrits!D19</f>
        <v>B17</v>
      </c>
      <c r="AQ43" s="247" t="str">
        <f t="shared" si="3"/>
        <v xml:space="preserve"> </v>
      </c>
      <c r="AR43" s="82" t="str">
        <f t="shared" si="4"/>
        <v xml:space="preserve"> </v>
      </c>
      <c r="AS43" s="184" t="str">
        <f t="shared" si="5"/>
        <v xml:space="preserve"> </v>
      </c>
      <c r="AT43" s="250" t="str">
        <f t="shared" si="6"/>
        <v xml:space="preserve"> </v>
      </c>
      <c r="AU43" s="82" t="str">
        <f t="shared" si="7"/>
        <v xml:space="preserve"> </v>
      </c>
      <c r="AV43" s="252" t="str">
        <f t="shared" si="8"/>
        <v xml:space="preserve"> </v>
      </c>
      <c r="AW43" s="247" t="str">
        <f t="shared" si="9"/>
        <v xml:space="preserve"> </v>
      </c>
      <c r="AX43" s="82" t="str">
        <f t="shared" si="10"/>
        <v xml:space="preserve"> </v>
      </c>
      <c r="AY43" s="252" t="str">
        <f t="shared" si="11"/>
        <v xml:space="preserve"> </v>
      </c>
      <c r="AZ43" s="247">
        <f t="shared" si="17"/>
        <v>0</v>
      </c>
      <c r="BA43" s="82">
        <f t="shared" si="12"/>
        <v>0</v>
      </c>
      <c r="BB43" s="252">
        <f t="shared" si="13"/>
        <v>0</v>
      </c>
      <c r="BC43" s="255">
        <f t="shared" si="14"/>
        <v>0</v>
      </c>
      <c r="BD43" s="7">
        <f t="shared" si="15"/>
        <v>0</v>
      </c>
      <c r="BE43" s="183">
        <f t="shared" si="16"/>
        <v>31.00000043</v>
      </c>
      <c r="BF43" s="82">
        <f>IF(AP43="","",SMALL(BE$9:BE$62,ROWS(AZ$9:AZ43)))</f>
        <v>31.000000230000001</v>
      </c>
      <c r="BH43" s="250" t="str">
        <f>IF(OR(AP43="",AZ43=""),"",INDEX($AP$9:$AP$63,MATCH(BF43,$BE$9:BE$62,0)))</f>
        <v>A15</v>
      </c>
      <c r="BI43" s="7">
        <f t="shared" si="18"/>
        <v>0</v>
      </c>
      <c r="BJ43" s="7">
        <f t="shared" si="19"/>
        <v>0</v>
      </c>
      <c r="BK43" s="7">
        <f t="shared" si="20"/>
        <v>0</v>
      </c>
      <c r="BL43" s="17">
        <f>IF(BF43="","",IF(AND(BI42=BI43,BJ42=BJ43,BK42=BK43),BL42,$BL$9+34))</f>
        <v>31</v>
      </c>
      <c r="BM43" s="22"/>
      <c r="BN43" s="225"/>
    </row>
    <row r="44" spans="1:66" ht="16.2" thickBot="1" x14ac:dyDescent="0.3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P44" s="18"/>
      <c r="Q44" s="18"/>
      <c r="R44" s="18"/>
      <c r="S44" s="18"/>
      <c r="T44" s="18"/>
      <c r="U44" s="18"/>
      <c r="V44" s="18"/>
      <c r="W44" s="18"/>
      <c r="X44" s="18"/>
      <c r="Y44" s="383"/>
      <c r="Z44" s="11" t="str">
        <f>+P18</f>
        <v>B9</v>
      </c>
      <c r="AA44" s="14">
        <f>IF(ISTEXT(Z44),AA43,0)</f>
        <v>1</v>
      </c>
      <c r="AB44" s="14">
        <f>IF(ISTEXT(Z44),AB43,0)</f>
        <v>3</v>
      </c>
      <c r="AC44" s="15">
        <f>IF(ISTEXT(Z44),AC43,0)</f>
        <v>1</v>
      </c>
      <c r="AD44" s="6"/>
      <c r="AE44" s="11" t="str">
        <f>+S18</f>
        <v>B1</v>
      </c>
      <c r="AF44" s="14">
        <f>IF(ISTEXT(AE44),AF43,0)</f>
        <v>13</v>
      </c>
      <c r="AG44" s="48">
        <f>IF(ISTEXT(AE44),AG43,0)</f>
        <v>3</v>
      </c>
      <c r="AH44" s="15">
        <f>IF(ISTEXT(AE44),AH43,0)</f>
        <v>6</v>
      </c>
      <c r="AI44" s="6"/>
      <c r="AJ44" s="11" t="str">
        <f>+V18</f>
        <v>B1</v>
      </c>
      <c r="AK44" s="14">
        <f>IF(ISTEXT(AJ44),AK43,0)</f>
        <v>7</v>
      </c>
      <c r="AL44" s="48">
        <f>IF(ISTEXT(AJ44),AL43,0)</f>
        <v>1</v>
      </c>
      <c r="AM44" s="15">
        <f>IF(ISTEXT(AJ44),AM43,0)</f>
        <v>-4</v>
      </c>
      <c r="AN44" s="18"/>
      <c r="AO44" s="44">
        <v>36</v>
      </c>
      <c r="AP44" s="279" t="str">
        <f>+Inscrits!D20</f>
        <v>B18</v>
      </c>
      <c r="AQ44" s="247" t="str">
        <f t="shared" si="3"/>
        <v xml:space="preserve"> </v>
      </c>
      <c r="AR44" s="82" t="str">
        <f t="shared" si="4"/>
        <v xml:space="preserve"> </v>
      </c>
      <c r="AS44" s="184" t="str">
        <f t="shared" si="5"/>
        <v xml:space="preserve"> </v>
      </c>
      <c r="AT44" s="250" t="str">
        <f t="shared" si="6"/>
        <v xml:space="preserve"> </v>
      </c>
      <c r="AU44" s="82" t="str">
        <f t="shared" si="7"/>
        <v xml:space="preserve"> </v>
      </c>
      <c r="AV44" s="252" t="str">
        <f t="shared" si="8"/>
        <v xml:space="preserve"> </v>
      </c>
      <c r="AW44" s="247" t="str">
        <f t="shared" si="9"/>
        <v xml:space="preserve"> </v>
      </c>
      <c r="AX44" s="82" t="str">
        <f t="shared" si="10"/>
        <v xml:space="preserve"> </v>
      </c>
      <c r="AY44" s="252" t="str">
        <f t="shared" si="11"/>
        <v xml:space="preserve"> </v>
      </c>
      <c r="AZ44" s="247">
        <f t="shared" si="17"/>
        <v>0</v>
      </c>
      <c r="BA44" s="82">
        <f t="shared" si="12"/>
        <v>0</v>
      </c>
      <c r="BB44" s="252">
        <f t="shared" si="13"/>
        <v>0</v>
      </c>
      <c r="BC44" s="255">
        <f t="shared" si="14"/>
        <v>0</v>
      </c>
      <c r="BD44" s="7">
        <f t="shared" si="15"/>
        <v>0</v>
      </c>
      <c r="BE44" s="183">
        <f t="shared" si="16"/>
        <v>31.000000440000001</v>
      </c>
      <c r="BF44" s="82">
        <f>IF(AP44="","",SMALL(BE$9:BE$62,ROWS(AZ$9:AZ44)))</f>
        <v>31.000000239999999</v>
      </c>
      <c r="BH44" s="250" t="str">
        <f>IF(OR(AP44="",AZ44=""),"",INDEX($AP$9:$AP$63,MATCH(BF44,$BE$9:BE$62,0)))</f>
        <v>A16</v>
      </c>
      <c r="BI44" s="7">
        <f t="shared" si="18"/>
        <v>0</v>
      </c>
      <c r="BJ44" s="7">
        <f t="shared" si="19"/>
        <v>0</v>
      </c>
      <c r="BK44" s="7">
        <f t="shared" si="20"/>
        <v>0</v>
      </c>
      <c r="BL44" s="17">
        <f>IF(BF44="","",IF(AND(BI43=BI44,BJ43=BJ44,BK43=BK44),BL43,$BL$9+35))</f>
        <v>31</v>
      </c>
      <c r="BM44" s="22"/>
      <c r="BN44" s="225"/>
    </row>
    <row r="45" spans="1:66" ht="15.6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P45" s="18"/>
      <c r="Q45" s="18"/>
      <c r="R45" s="18"/>
      <c r="S45" s="18"/>
      <c r="T45" s="18"/>
      <c r="U45" s="18"/>
      <c r="V45" s="18"/>
      <c r="W45" s="18"/>
      <c r="X45" s="18"/>
      <c r="Y45" s="383"/>
      <c r="Z45" s="11" t="str">
        <f>+Q18</f>
        <v>C9</v>
      </c>
      <c r="AA45" s="55">
        <f>IF(ISTEXT(Z45),AA43,0)</f>
        <v>1</v>
      </c>
      <c r="AB45" s="55">
        <f>IF(ISTEXT(Z45),AB43,0)</f>
        <v>3</v>
      </c>
      <c r="AC45" s="56">
        <f>IF(ISTEXT(Z45),AC43,0)</f>
        <v>1</v>
      </c>
      <c r="AD45" s="6"/>
      <c r="AE45" s="11" t="str">
        <f>+T18</f>
        <v>C4</v>
      </c>
      <c r="AF45" s="55">
        <f>IF(ISTEXT(AE45),AF43,0)</f>
        <v>13</v>
      </c>
      <c r="AG45" s="52">
        <f>IF(ISTEXT(AE45),AG43,0)</f>
        <v>3</v>
      </c>
      <c r="AH45" s="56">
        <f>IF(ISTEXT(AE45),AH43,0)</f>
        <v>6</v>
      </c>
      <c r="AI45" s="6"/>
      <c r="AJ45" s="11" t="str">
        <f>+W18</f>
        <v>C10</v>
      </c>
      <c r="AK45" s="55">
        <f>IF(ISTEXT(AJ45),AK43,0)</f>
        <v>7</v>
      </c>
      <c r="AL45" s="52">
        <f>IF(ISTEXT(AJ45),AL43,0)</f>
        <v>1</v>
      </c>
      <c r="AM45" s="56">
        <f>IF(ISTEXT(AJ45),AM43,0)</f>
        <v>-4</v>
      </c>
      <c r="AN45" s="18"/>
      <c r="AO45" s="44">
        <v>37</v>
      </c>
      <c r="AP45" s="5" t="str">
        <f>+Inscrits!F3</f>
        <v>C1</v>
      </c>
      <c r="AQ45" s="247">
        <f t="shared" si="3"/>
        <v>1</v>
      </c>
      <c r="AR45" s="82">
        <f t="shared" si="4"/>
        <v>-5</v>
      </c>
      <c r="AS45" s="184">
        <f t="shared" si="5"/>
        <v>5</v>
      </c>
      <c r="AT45" s="250">
        <f t="shared" si="6"/>
        <v>3</v>
      </c>
      <c r="AU45" s="82">
        <f t="shared" si="7"/>
        <v>3</v>
      </c>
      <c r="AV45" s="252">
        <f t="shared" si="8"/>
        <v>8</v>
      </c>
      <c r="AW45" s="247">
        <f t="shared" si="9"/>
        <v>1</v>
      </c>
      <c r="AX45" s="82">
        <f t="shared" si="10"/>
        <v>-7</v>
      </c>
      <c r="AY45" s="252">
        <f t="shared" si="11"/>
        <v>1</v>
      </c>
      <c r="AZ45" s="247">
        <f t="shared" si="17"/>
        <v>5</v>
      </c>
      <c r="BA45" s="82">
        <f t="shared" si="12"/>
        <v>-9</v>
      </c>
      <c r="BB45" s="252">
        <f t="shared" si="13"/>
        <v>14</v>
      </c>
      <c r="BC45" s="255">
        <f t="shared" si="14"/>
        <v>-9</v>
      </c>
      <c r="BD45" s="7">
        <f t="shared" si="15"/>
        <v>0</v>
      </c>
      <c r="BE45" s="183">
        <f t="shared" si="16"/>
        <v>18.088600450000001</v>
      </c>
      <c r="BF45" s="82">
        <f>IF(AP45="","",SMALL(BE$9:BE$62,ROWS(AZ$9:AZ45)))</f>
        <v>31.000000249999999</v>
      </c>
      <c r="BH45" s="250" t="str">
        <f>IF(OR(AP45="",AZ45=""),"",INDEX($AP$9:$AP$63,MATCH(BF45,$BE$9:BE$62,0)))</f>
        <v>A17</v>
      </c>
      <c r="BI45" s="7">
        <f t="shared" si="18"/>
        <v>0</v>
      </c>
      <c r="BJ45" s="7">
        <f t="shared" si="19"/>
        <v>0</v>
      </c>
      <c r="BK45" s="7">
        <f t="shared" si="20"/>
        <v>0</v>
      </c>
      <c r="BL45" s="17">
        <f>IF(BF45="","",IF(AND(BI44=BI45,BJ44=BJ45,BK44=BK45),BL44,$BL$9+36))</f>
        <v>31</v>
      </c>
      <c r="BM45" s="22"/>
      <c r="BN45" s="225"/>
    </row>
    <row r="46" spans="1:66" ht="15.6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P46" s="18"/>
      <c r="Q46" s="18"/>
      <c r="R46" s="18"/>
      <c r="S46" s="18"/>
      <c r="T46" s="18"/>
      <c r="U46" s="18"/>
      <c r="V46" s="18"/>
      <c r="W46" s="18"/>
      <c r="X46" s="18"/>
      <c r="Y46" s="383"/>
      <c r="Z46" s="24"/>
      <c r="AA46" s="16" t="s">
        <v>5</v>
      </c>
      <c r="AB46" s="16"/>
      <c r="AC46" s="17"/>
      <c r="AD46" s="1"/>
      <c r="AE46" s="24"/>
      <c r="AF46" s="16" t="s">
        <v>5</v>
      </c>
      <c r="AG46" s="16"/>
      <c r="AH46" s="17"/>
      <c r="AI46" s="1"/>
      <c r="AJ46" s="24"/>
      <c r="AK46" s="16" t="s">
        <v>5</v>
      </c>
      <c r="AL46" s="16"/>
      <c r="AM46" s="17"/>
      <c r="AN46" s="18"/>
      <c r="AO46" s="44">
        <v>38</v>
      </c>
      <c r="AP46" s="5" t="str">
        <f>+Inscrits!F4</f>
        <v>C2</v>
      </c>
      <c r="AQ46" s="247">
        <f t="shared" si="3"/>
        <v>3</v>
      </c>
      <c r="AR46" s="82">
        <f t="shared" si="4"/>
        <v>5</v>
      </c>
      <c r="AS46" s="184">
        <f t="shared" si="5"/>
        <v>10</v>
      </c>
      <c r="AT46" s="250">
        <f t="shared" si="6"/>
        <v>3</v>
      </c>
      <c r="AU46" s="82">
        <f t="shared" si="7"/>
        <v>6</v>
      </c>
      <c r="AV46" s="252">
        <f t="shared" si="8"/>
        <v>11</v>
      </c>
      <c r="AW46" s="247">
        <f t="shared" si="9"/>
        <v>1</v>
      </c>
      <c r="AX46" s="82">
        <f t="shared" si="10"/>
        <v>-3</v>
      </c>
      <c r="AY46" s="252">
        <f t="shared" si="11"/>
        <v>10</v>
      </c>
      <c r="AZ46" s="247">
        <f t="shared" si="17"/>
        <v>7</v>
      </c>
      <c r="BA46" s="82">
        <f t="shared" si="12"/>
        <v>8</v>
      </c>
      <c r="BB46" s="252">
        <f t="shared" si="13"/>
        <v>31</v>
      </c>
      <c r="BC46" s="255">
        <f t="shared" si="14"/>
        <v>0</v>
      </c>
      <c r="BD46" s="7">
        <f t="shared" si="15"/>
        <v>8</v>
      </c>
      <c r="BE46" s="183">
        <f t="shared" si="16"/>
        <v>3.9169004599999999</v>
      </c>
      <c r="BF46" s="82">
        <f>IF(AP46="","",SMALL(BE$9:BE$62,ROWS(AZ$9:AZ46)))</f>
        <v>31.00000026</v>
      </c>
      <c r="BH46" s="250" t="str">
        <f>IF(OR(AP46="",AZ46=""),"",INDEX($AP$9:$AP$63,MATCH(BF46,$BE$9:BE$62,0)))</f>
        <v>A18</v>
      </c>
      <c r="BI46" s="7">
        <f t="shared" si="18"/>
        <v>0</v>
      </c>
      <c r="BJ46" s="7">
        <f t="shared" si="19"/>
        <v>0</v>
      </c>
      <c r="BK46" s="7">
        <f t="shared" si="20"/>
        <v>0</v>
      </c>
      <c r="BL46" s="17">
        <f>IF(BF46="","",IF(AND(BI45=BI46,BJ45=BJ46,BK45=BK46),BL45,$BL$9+37))</f>
        <v>31</v>
      </c>
      <c r="BM46" s="22"/>
      <c r="BN46" s="225"/>
    </row>
    <row r="47" spans="1:66" ht="15.6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P47" s="18"/>
      <c r="Q47" s="18"/>
      <c r="R47" s="18"/>
      <c r="S47" s="18"/>
      <c r="T47" s="18"/>
      <c r="U47" s="18"/>
      <c r="V47" s="18"/>
      <c r="W47" s="18"/>
      <c r="X47" s="18"/>
      <c r="Y47" s="383"/>
      <c r="Z47" s="11" t="str">
        <f>+O19</f>
        <v>A10</v>
      </c>
      <c r="AA47" s="27">
        <v>0</v>
      </c>
      <c r="AB47" s="23">
        <f>IF(AA43+AA47=0,0,IF(AA43=AA47,2,IF(AA43&lt;AA47,3,1)))</f>
        <v>1</v>
      </c>
      <c r="AC47" s="12">
        <f>AA47-AA43</f>
        <v>-1</v>
      </c>
      <c r="AD47" s="6"/>
      <c r="AE47" s="11" t="str">
        <f>+R19</f>
        <v>A1</v>
      </c>
      <c r="AF47" s="108">
        <v>7</v>
      </c>
      <c r="AG47" s="23">
        <f>IF(AF43+AF47=0,0,IF(AF43=AF47,2,IF(AF43&lt;AF47,3,1)))</f>
        <v>1</v>
      </c>
      <c r="AH47" s="12">
        <f>AF47-AF43</f>
        <v>-6</v>
      </c>
      <c r="AI47" s="6"/>
      <c r="AJ47" s="11" t="str">
        <f>+U19</f>
        <v>A10</v>
      </c>
      <c r="AK47" s="29">
        <v>11</v>
      </c>
      <c r="AL47" s="23">
        <f>IF(AK43+AK47=0,0,IF(AK43=AK47,2,IF(AK43&lt;AK47,3,1)))</f>
        <v>3</v>
      </c>
      <c r="AM47" s="12">
        <f>AK47-AK43</f>
        <v>4</v>
      </c>
      <c r="AN47" s="18"/>
      <c r="AO47" s="44">
        <v>39</v>
      </c>
      <c r="AP47" s="5" t="str">
        <f>+Inscrits!F5</f>
        <v>C3</v>
      </c>
      <c r="AQ47" s="247">
        <f t="shared" si="3"/>
        <v>3</v>
      </c>
      <c r="AR47" s="82">
        <f t="shared" si="4"/>
        <v>4</v>
      </c>
      <c r="AS47" s="184">
        <f t="shared" si="5"/>
        <v>8</v>
      </c>
      <c r="AT47" s="250">
        <f t="shared" si="6"/>
        <v>1</v>
      </c>
      <c r="AU47" s="82">
        <f t="shared" si="7"/>
        <v>-3</v>
      </c>
      <c r="AV47" s="252">
        <f t="shared" si="8"/>
        <v>5</v>
      </c>
      <c r="AW47" s="247">
        <f t="shared" si="9"/>
        <v>3</v>
      </c>
      <c r="AX47" s="82">
        <f t="shared" si="10"/>
        <v>4</v>
      </c>
      <c r="AY47" s="252">
        <f t="shared" si="11"/>
        <v>11</v>
      </c>
      <c r="AZ47" s="247">
        <f t="shared" si="17"/>
        <v>7</v>
      </c>
      <c r="BA47" s="82">
        <f t="shared" si="12"/>
        <v>5</v>
      </c>
      <c r="BB47" s="252">
        <f t="shared" si="13"/>
        <v>24</v>
      </c>
      <c r="BC47" s="255">
        <f t="shared" si="14"/>
        <v>0</v>
      </c>
      <c r="BD47" s="7">
        <f t="shared" si="15"/>
        <v>5</v>
      </c>
      <c r="BE47" s="183">
        <f t="shared" si="16"/>
        <v>3.9476004699999998</v>
      </c>
      <c r="BF47" s="82">
        <f>IF(AP47="","",SMALL(BE$9:BE$62,ROWS(AZ$9:AZ47)))</f>
        <v>31.000000369999999</v>
      </c>
      <c r="BH47" s="250" t="str">
        <f>IF(OR(AP47="",AZ47=""),"",INDEX($AP$9:$AP$63,MATCH(BF47,$BE$9:BE$62,0)))</f>
        <v>B11</v>
      </c>
      <c r="BI47" s="7">
        <f t="shared" si="18"/>
        <v>0</v>
      </c>
      <c r="BJ47" s="7">
        <f t="shared" si="19"/>
        <v>0</v>
      </c>
      <c r="BK47" s="7">
        <f t="shared" si="20"/>
        <v>0</v>
      </c>
      <c r="BL47" s="17">
        <f>IF(BF47="","",IF(AND(BI46=BI47,BJ46=BJ47,BK46=BK47),BL46,$BL$9+38))</f>
        <v>31</v>
      </c>
      <c r="BM47" s="22"/>
      <c r="BN47" s="225"/>
    </row>
    <row r="48" spans="1:66" ht="16.2" thickBot="1" x14ac:dyDescent="0.3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P48" s="18"/>
      <c r="Q48" s="18"/>
      <c r="R48" s="18"/>
      <c r="S48" s="18"/>
      <c r="T48" s="18"/>
      <c r="U48" s="18"/>
      <c r="V48" s="18"/>
      <c r="W48" s="18"/>
      <c r="X48" s="18"/>
      <c r="Y48" s="383"/>
      <c r="Z48" s="11" t="str">
        <f>+P19</f>
        <v>B10</v>
      </c>
      <c r="AA48" s="14">
        <f>IF(ISTEXT(Z48),AA47,0)</f>
        <v>0</v>
      </c>
      <c r="AB48" s="14">
        <f>IF(ISTEXT(Z48),AB47,0)</f>
        <v>1</v>
      </c>
      <c r="AC48" s="15">
        <f>IF(ISTEXT(Z48),AC47,0)</f>
        <v>-1</v>
      </c>
      <c r="AD48" s="6"/>
      <c r="AE48" s="11" t="str">
        <f>+S19</f>
        <v>B9</v>
      </c>
      <c r="AF48" s="14">
        <f>IF(ISTEXT(AE48),AF47,0)</f>
        <v>7</v>
      </c>
      <c r="AG48" s="14">
        <f>IF(ISTEXT(AE48),AG47,0)</f>
        <v>1</v>
      </c>
      <c r="AH48" s="15">
        <f>IF(ISTEXT(AE48),AH47,0)</f>
        <v>-6</v>
      </c>
      <c r="AI48" s="6"/>
      <c r="AJ48" s="11" t="str">
        <f>+V19</f>
        <v>B2</v>
      </c>
      <c r="AK48" s="14">
        <f>IF(ISTEXT(AJ48),AK47,0)</f>
        <v>11</v>
      </c>
      <c r="AL48" s="14">
        <f>IF(ISTEXT(AJ48),AL47,0)</f>
        <v>3</v>
      </c>
      <c r="AM48" s="15">
        <f>IF(ISTEXT(AJ48),AM47,0)</f>
        <v>4</v>
      </c>
      <c r="AN48" s="18"/>
      <c r="AO48" s="44">
        <v>40</v>
      </c>
      <c r="AP48" s="5" t="str">
        <f>+Inscrits!F6</f>
        <v>C4</v>
      </c>
      <c r="AQ48" s="247">
        <f t="shared" si="3"/>
        <v>1</v>
      </c>
      <c r="AR48" s="82">
        <f t="shared" si="4"/>
        <v>-4</v>
      </c>
      <c r="AS48" s="184">
        <f t="shared" si="5"/>
        <v>4</v>
      </c>
      <c r="AT48" s="250">
        <f t="shared" si="6"/>
        <v>3</v>
      </c>
      <c r="AU48" s="82">
        <f t="shared" si="7"/>
        <v>6</v>
      </c>
      <c r="AV48" s="252">
        <f t="shared" si="8"/>
        <v>13</v>
      </c>
      <c r="AW48" s="247">
        <f t="shared" si="9"/>
        <v>3</v>
      </c>
      <c r="AX48" s="82">
        <f t="shared" si="10"/>
        <v>7</v>
      </c>
      <c r="AY48" s="252">
        <f t="shared" si="11"/>
        <v>8</v>
      </c>
      <c r="AZ48" s="247">
        <f t="shared" si="17"/>
        <v>7</v>
      </c>
      <c r="BA48" s="82">
        <f t="shared" si="12"/>
        <v>9</v>
      </c>
      <c r="BB48" s="252">
        <f t="shared" si="13"/>
        <v>25</v>
      </c>
      <c r="BC48" s="255">
        <f t="shared" si="14"/>
        <v>0</v>
      </c>
      <c r="BD48" s="7">
        <f t="shared" si="15"/>
        <v>9</v>
      </c>
      <c r="BE48" s="183">
        <f t="shared" si="16"/>
        <v>3.9075004800000004</v>
      </c>
      <c r="BF48" s="82">
        <f>IF(AP48="","",SMALL(BE$9:BE$62,ROWS(AZ$9:AZ48)))</f>
        <v>31.000000379999999</v>
      </c>
      <c r="BH48" s="250" t="str">
        <f>IF(OR(AP48="",AZ48=""),"",INDEX($AP$9:$AP$63,MATCH(BF48,$BE$9:BE$62,0)))</f>
        <v>B12</v>
      </c>
      <c r="BI48" s="7">
        <f t="shared" si="18"/>
        <v>0</v>
      </c>
      <c r="BJ48" s="7">
        <f t="shared" si="19"/>
        <v>0</v>
      </c>
      <c r="BK48" s="7">
        <f t="shared" si="20"/>
        <v>0</v>
      </c>
      <c r="BL48" s="17">
        <f>IF(BF48="","",IF(AND(BI47=BI48,BJ47=BJ48,BK47=BK48),BL47,$BL$9+39))</f>
        <v>31</v>
      </c>
      <c r="BM48" s="22"/>
      <c r="BN48" s="225"/>
    </row>
    <row r="49" spans="1:66" ht="16.2" thickBot="1" x14ac:dyDescent="0.3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P49" s="18"/>
      <c r="Q49" s="18"/>
      <c r="R49" s="18"/>
      <c r="S49" s="18"/>
      <c r="T49" s="18"/>
      <c r="U49" s="18"/>
      <c r="V49" s="18"/>
      <c r="W49" s="18"/>
      <c r="X49" s="18"/>
      <c r="Y49" s="384"/>
      <c r="Z49" s="13" t="str">
        <f>+Q19</f>
        <v>C10</v>
      </c>
      <c r="AA49" s="14">
        <f>IF(ISTEXT(Z49),AA47,0)</f>
        <v>0</v>
      </c>
      <c r="AB49" s="14">
        <f>IF(ISTEXT(Z49),AB47,0)</f>
        <v>1</v>
      </c>
      <c r="AC49" s="15">
        <f>IF(ISTEXT(Z49),AC47,0)</f>
        <v>-1</v>
      </c>
      <c r="AD49" s="6"/>
      <c r="AE49" s="13" t="str">
        <f>+T19</f>
        <v>C10</v>
      </c>
      <c r="AF49" s="14">
        <f>IF(ISTEXT(AE49),AF47,0)</f>
        <v>7</v>
      </c>
      <c r="AG49" s="14">
        <f>IF(ISTEXT(AE49),AG47,0)</f>
        <v>1</v>
      </c>
      <c r="AH49" s="15">
        <f>IF(ISTEXT(AE49),AH47,0)</f>
        <v>-6</v>
      </c>
      <c r="AI49" s="6"/>
      <c r="AJ49" s="13" t="str">
        <f>+W19</f>
        <v>C3</v>
      </c>
      <c r="AK49" s="14">
        <f>IF(ISTEXT(AJ49),AK47,0)</f>
        <v>11</v>
      </c>
      <c r="AL49" s="14">
        <f>IF(ISTEXT(AJ49),AL47,0)</f>
        <v>3</v>
      </c>
      <c r="AM49" s="15">
        <f>IF(ISTEXT(AJ49),AM47,0)</f>
        <v>4</v>
      </c>
      <c r="AN49" s="18"/>
      <c r="AO49" s="44">
        <v>41</v>
      </c>
      <c r="AP49" s="5" t="str">
        <f>+Inscrits!F7</f>
        <v>C5</v>
      </c>
      <c r="AQ49" s="247">
        <f t="shared" si="3"/>
        <v>1</v>
      </c>
      <c r="AR49" s="82">
        <f t="shared" si="4"/>
        <v>-10</v>
      </c>
      <c r="AS49" s="184">
        <f t="shared" si="5"/>
        <v>3</v>
      </c>
      <c r="AT49" s="250">
        <f t="shared" si="6"/>
        <v>1</v>
      </c>
      <c r="AU49" s="82">
        <f t="shared" si="7"/>
        <v>-7</v>
      </c>
      <c r="AV49" s="252">
        <f t="shared" si="8"/>
        <v>6</v>
      </c>
      <c r="AW49" s="247">
        <f t="shared" si="9"/>
        <v>3</v>
      </c>
      <c r="AX49" s="82">
        <f t="shared" si="10"/>
        <v>4</v>
      </c>
      <c r="AY49" s="252">
        <f t="shared" si="11"/>
        <v>9</v>
      </c>
      <c r="AZ49" s="247">
        <f t="shared" si="17"/>
        <v>5</v>
      </c>
      <c r="BA49" s="82">
        <f t="shared" si="12"/>
        <v>-13</v>
      </c>
      <c r="BB49" s="252">
        <f t="shared" si="13"/>
        <v>18</v>
      </c>
      <c r="BC49" s="255">
        <f t="shared" si="14"/>
        <v>-13</v>
      </c>
      <c r="BD49" s="7">
        <f t="shared" si="15"/>
        <v>0</v>
      </c>
      <c r="BE49" s="183">
        <f t="shared" si="16"/>
        <v>18.128200490000001</v>
      </c>
      <c r="BF49" s="82">
        <f>IF(AP49="","",SMALL(BE$9:BE$62,ROWS(AZ$9:AZ49)))</f>
        <v>31.00000039</v>
      </c>
      <c r="BH49" s="250" t="str">
        <f>IF(OR(AP49="",AZ49=""),"",INDEX($AP$9:$AP$63,MATCH(BF49,$BE$9:BE$62,0)))</f>
        <v>B13</v>
      </c>
      <c r="BI49" s="7">
        <f t="shared" si="18"/>
        <v>0</v>
      </c>
      <c r="BJ49" s="7">
        <f t="shared" si="19"/>
        <v>0</v>
      </c>
      <c r="BK49" s="7">
        <f t="shared" si="20"/>
        <v>0</v>
      </c>
      <c r="BL49" s="17">
        <f>IF(BF49="","",IF(AND(BI48=BI49,BJ48=BJ49,BK48=BK49),BL48,$BL$9+40))</f>
        <v>31</v>
      </c>
      <c r="BM49" s="22"/>
      <c r="BN49" s="225"/>
    </row>
    <row r="50" spans="1:66" ht="16.2" thickBot="1" x14ac:dyDescent="0.3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P50" s="18"/>
      <c r="Q50" s="18"/>
      <c r="R50" s="18"/>
      <c r="S50" s="18"/>
      <c r="T50" s="18"/>
      <c r="U50" s="18"/>
      <c r="V50" s="18"/>
      <c r="W50" s="18"/>
      <c r="X50" s="18"/>
      <c r="Y50" s="20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18"/>
      <c r="AO50" s="44">
        <v>42</v>
      </c>
      <c r="AP50" s="5" t="str">
        <f>+Inscrits!F8</f>
        <v>C6</v>
      </c>
      <c r="AQ50" s="247">
        <f t="shared" si="3"/>
        <v>3</v>
      </c>
      <c r="AR50" s="82">
        <f t="shared" si="4"/>
        <v>10</v>
      </c>
      <c r="AS50" s="184">
        <f t="shared" si="5"/>
        <v>13</v>
      </c>
      <c r="AT50" s="250">
        <f t="shared" si="6"/>
        <v>3</v>
      </c>
      <c r="AU50" s="82">
        <f t="shared" si="7"/>
        <v>7</v>
      </c>
      <c r="AV50" s="252">
        <f t="shared" si="8"/>
        <v>13</v>
      </c>
      <c r="AW50" s="247">
        <f t="shared" si="9"/>
        <v>1</v>
      </c>
      <c r="AX50" s="82">
        <f t="shared" si="10"/>
        <v>-4</v>
      </c>
      <c r="AY50" s="252">
        <f t="shared" si="11"/>
        <v>5</v>
      </c>
      <c r="AZ50" s="247">
        <f t="shared" si="17"/>
        <v>7</v>
      </c>
      <c r="BA50" s="82">
        <f t="shared" si="12"/>
        <v>13</v>
      </c>
      <c r="BB50" s="252">
        <f t="shared" si="13"/>
        <v>31</v>
      </c>
      <c r="BC50" s="255">
        <f t="shared" si="14"/>
        <v>0</v>
      </c>
      <c r="BD50" s="7">
        <f t="shared" si="15"/>
        <v>13</v>
      </c>
      <c r="BE50" s="183">
        <f t="shared" si="16"/>
        <v>3.8669005000000003</v>
      </c>
      <c r="BF50" s="82">
        <f>IF(AP50="","",SMALL(BE$9:BE$62,ROWS(AZ$9:AZ50)))</f>
        <v>31.000000400000001</v>
      </c>
      <c r="BH50" s="250" t="str">
        <f>IF(OR(AP50="",AZ50=""),"",INDEX($AP$9:$AP$63,MATCH(BF50,$BE$9:BE$62,0)))</f>
        <v>B14</v>
      </c>
      <c r="BI50" s="7">
        <f t="shared" si="18"/>
        <v>0</v>
      </c>
      <c r="BJ50" s="7">
        <f t="shared" si="19"/>
        <v>0</v>
      </c>
      <c r="BK50" s="7">
        <f t="shared" si="20"/>
        <v>0</v>
      </c>
      <c r="BL50" s="17">
        <f>IF(BF50="","",IF(AND(BI49=BI50,BJ49=BJ50,BK49=BK50),BL49,$BL$9+41))</f>
        <v>31</v>
      </c>
      <c r="BM50" s="22"/>
      <c r="BN50" s="225"/>
    </row>
    <row r="51" spans="1:66" ht="15.6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P51" s="18"/>
      <c r="Q51" s="18"/>
      <c r="R51" s="18"/>
      <c r="S51" s="18"/>
      <c r="T51" s="18"/>
      <c r="U51" s="18"/>
      <c r="V51" s="18"/>
      <c r="W51" s="18"/>
      <c r="X51" s="18"/>
      <c r="Y51" s="382">
        <v>6</v>
      </c>
      <c r="Z51" s="9">
        <f>+O20</f>
        <v>0</v>
      </c>
      <c r="AA51" s="25">
        <v>0</v>
      </c>
      <c r="AB51" s="38">
        <f>IF(AA51+AA55=0,0,IF(AA51=AA55,2,IF(AA51&gt;AA55,3,1)))</f>
        <v>0</v>
      </c>
      <c r="AC51" s="10">
        <f>AA51-AA55</f>
        <v>0</v>
      </c>
      <c r="AD51" s="6"/>
      <c r="AE51" s="9">
        <f>+R20</f>
        <v>0</v>
      </c>
      <c r="AF51" s="107">
        <v>0</v>
      </c>
      <c r="AG51" s="38">
        <f>IF(AF51+AF55=0,0,IF(AF51=AF55,2,IF(AF51&gt;AF55,3,1)))</f>
        <v>0</v>
      </c>
      <c r="AH51" s="10">
        <f>AF51-AF55</f>
        <v>0</v>
      </c>
      <c r="AI51" s="6"/>
      <c r="AJ51" s="9">
        <f>+U20</f>
        <v>0</v>
      </c>
      <c r="AK51" s="28">
        <v>0</v>
      </c>
      <c r="AL51" s="38">
        <f>IF(AK51+AK55=0,0,IF(AK51=AK55,2,IF(AK51&gt;AK55,3,1)))</f>
        <v>0</v>
      </c>
      <c r="AM51" s="10">
        <f>AK51-AK55</f>
        <v>0</v>
      </c>
      <c r="AN51" s="18"/>
      <c r="AO51" s="44">
        <v>43</v>
      </c>
      <c r="AP51" s="5" t="str">
        <f>+Inscrits!F9</f>
        <v>C7</v>
      </c>
      <c r="AQ51" s="247">
        <f t="shared" si="3"/>
        <v>3</v>
      </c>
      <c r="AR51" s="82">
        <f t="shared" si="4"/>
        <v>5</v>
      </c>
      <c r="AS51" s="184">
        <f t="shared" si="5"/>
        <v>10</v>
      </c>
      <c r="AT51" s="250">
        <f t="shared" si="6"/>
        <v>1</v>
      </c>
      <c r="AU51" s="82">
        <f t="shared" si="7"/>
        <v>-6</v>
      </c>
      <c r="AV51" s="252">
        <f t="shared" si="8"/>
        <v>5</v>
      </c>
      <c r="AW51" s="247">
        <f t="shared" si="9"/>
        <v>3</v>
      </c>
      <c r="AX51" s="82">
        <f t="shared" si="10"/>
        <v>3</v>
      </c>
      <c r="AY51" s="252">
        <f t="shared" si="11"/>
        <v>13</v>
      </c>
      <c r="AZ51" s="247">
        <f t="shared" si="17"/>
        <v>7</v>
      </c>
      <c r="BA51" s="82">
        <f t="shared" si="12"/>
        <v>2</v>
      </c>
      <c r="BB51" s="252">
        <f t="shared" si="13"/>
        <v>28</v>
      </c>
      <c r="BC51" s="255">
        <f t="shared" si="14"/>
        <v>0</v>
      </c>
      <c r="BD51" s="7">
        <f t="shared" si="15"/>
        <v>2</v>
      </c>
      <c r="BE51" s="183">
        <f t="shared" si="16"/>
        <v>3.9772005099999999</v>
      </c>
      <c r="BF51" s="82">
        <f>IF(AP51="","",SMALL(BE$9:BE$62,ROWS(AZ$9:AZ51)))</f>
        <v>31.000000409999998</v>
      </c>
      <c r="BH51" s="250" t="str">
        <f>IF(OR(AP51="",AZ51=""),"",INDEX($AP$9:$AP$63,MATCH(BF51,$BE$9:BE$62,0)))</f>
        <v>B15</v>
      </c>
      <c r="BI51" s="7">
        <f t="shared" si="18"/>
        <v>0</v>
      </c>
      <c r="BJ51" s="7">
        <f t="shared" si="19"/>
        <v>0</v>
      </c>
      <c r="BK51" s="7">
        <f t="shared" si="20"/>
        <v>0</v>
      </c>
      <c r="BL51" s="17">
        <f>IF(BF51="","",IF(AND(BI50=BI51,BJ50=BJ51,BK50=BK51),BL50,$BL$9+42))</f>
        <v>31</v>
      </c>
      <c r="BM51" s="22"/>
      <c r="BN51" s="225"/>
    </row>
    <row r="52" spans="1:66" ht="16.2" thickBot="1" x14ac:dyDescent="0.3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P52" s="18"/>
      <c r="Q52" s="18"/>
      <c r="R52" s="18"/>
      <c r="S52" s="18"/>
      <c r="T52" s="18"/>
      <c r="U52" s="18"/>
      <c r="V52" s="18"/>
      <c r="W52" s="18"/>
      <c r="X52" s="18"/>
      <c r="Y52" s="383"/>
      <c r="Z52" s="11">
        <f>+P20</f>
        <v>0</v>
      </c>
      <c r="AA52" s="14">
        <f>IF(ISTEXT(Z52),AA51,0)</f>
        <v>0</v>
      </c>
      <c r="AB52" s="14">
        <f>IF(ISTEXT(Z52),AB51,0)</f>
        <v>0</v>
      </c>
      <c r="AC52" s="15">
        <f>IF(ISTEXT(Z52),AC51,0)</f>
        <v>0</v>
      </c>
      <c r="AD52" s="6"/>
      <c r="AE52" s="11">
        <f>+S20</f>
        <v>0</v>
      </c>
      <c r="AF52" s="14">
        <f>IF(ISTEXT(AE52),AF51,0)</f>
        <v>0</v>
      </c>
      <c r="AG52" s="48">
        <f>IF(ISTEXT(AE52),AG51,0)</f>
        <v>0</v>
      </c>
      <c r="AH52" s="15">
        <f>IF(ISTEXT(AE52),AH51,0)</f>
        <v>0</v>
      </c>
      <c r="AI52" s="6"/>
      <c r="AJ52" s="11">
        <f>+V20</f>
        <v>0</v>
      </c>
      <c r="AK52" s="14">
        <f>IF(ISTEXT(AJ52),AK51,0)</f>
        <v>0</v>
      </c>
      <c r="AL52" s="48">
        <f>IF(ISTEXT(AJ52),AL51,0)</f>
        <v>0</v>
      </c>
      <c r="AM52" s="15">
        <f>IF(ISTEXT(AJ52),AM51,0)</f>
        <v>0</v>
      </c>
      <c r="AN52" s="18"/>
      <c r="AO52" s="44">
        <v>44</v>
      </c>
      <c r="AP52" s="5" t="str">
        <f>+Inscrits!F10</f>
        <v>C8</v>
      </c>
      <c r="AQ52" s="247">
        <f t="shared" si="3"/>
        <v>1</v>
      </c>
      <c r="AR52" s="82">
        <f t="shared" si="4"/>
        <v>-5</v>
      </c>
      <c r="AS52" s="184">
        <f t="shared" si="5"/>
        <v>5</v>
      </c>
      <c r="AT52" s="250">
        <f t="shared" si="6"/>
        <v>1</v>
      </c>
      <c r="AU52" s="82">
        <f t="shared" si="7"/>
        <v>-9</v>
      </c>
      <c r="AV52" s="252">
        <f t="shared" si="8"/>
        <v>1</v>
      </c>
      <c r="AW52" s="247">
        <f t="shared" si="9"/>
        <v>3</v>
      </c>
      <c r="AX52" s="82">
        <f t="shared" si="10"/>
        <v>2</v>
      </c>
      <c r="AY52" s="252">
        <f t="shared" si="11"/>
        <v>11</v>
      </c>
      <c r="AZ52" s="247">
        <f t="shared" si="17"/>
        <v>5</v>
      </c>
      <c r="BA52" s="82">
        <f t="shared" si="12"/>
        <v>-12</v>
      </c>
      <c r="BB52" s="252">
        <f t="shared" si="13"/>
        <v>17</v>
      </c>
      <c r="BC52" s="255">
        <f t="shared" si="14"/>
        <v>-12</v>
      </c>
      <c r="BD52" s="7">
        <f t="shared" si="15"/>
        <v>0</v>
      </c>
      <c r="BE52" s="183">
        <f t="shared" si="16"/>
        <v>18.118300520000002</v>
      </c>
      <c r="BF52" s="82">
        <f>IF(AP52="","",SMALL(BE$9:BE$62,ROWS(AZ$9:AZ52)))</f>
        <v>31.000000419999999</v>
      </c>
      <c r="BH52" s="250" t="str">
        <f>IF(OR(AP52="",AZ52=""),"",INDEX($AP$9:$AP$63,MATCH(BF52,$BE$9:BE$62,0)))</f>
        <v>B16</v>
      </c>
      <c r="BI52" s="7">
        <f t="shared" si="18"/>
        <v>0</v>
      </c>
      <c r="BJ52" s="7">
        <f t="shared" si="19"/>
        <v>0</v>
      </c>
      <c r="BK52" s="7">
        <f t="shared" si="20"/>
        <v>0</v>
      </c>
      <c r="BL52" s="17">
        <f>IF(BF52="","",IF(AND(BI51=BI52,BJ51=BJ52,BK51=BK52),BL51,$BL$9+43))</f>
        <v>31</v>
      </c>
      <c r="BM52" s="22"/>
      <c r="BN52" s="225"/>
    </row>
    <row r="53" spans="1:66" ht="15.6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P53" s="18"/>
      <c r="Q53" s="18"/>
      <c r="R53" s="18"/>
      <c r="S53" s="18"/>
      <c r="T53" s="18"/>
      <c r="U53" s="18"/>
      <c r="V53" s="18"/>
      <c r="W53" s="18"/>
      <c r="X53" s="18"/>
      <c r="Y53" s="383"/>
      <c r="Z53" s="11">
        <f>+Q20</f>
        <v>0</v>
      </c>
      <c r="AA53" s="55">
        <f>IF(ISTEXT(Z53),AA51,0)</f>
        <v>0</v>
      </c>
      <c r="AB53" s="55">
        <f>IF(ISTEXT(Z53),AB51,0)</f>
        <v>0</v>
      </c>
      <c r="AC53" s="56">
        <f>IF(ISTEXT(Z53),AC51,0)</f>
        <v>0</v>
      </c>
      <c r="AD53" s="6"/>
      <c r="AE53" s="11">
        <f>+T20</f>
        <v>0</v>
      </c>
      <c r="AF53" s="55">
        <f>IF(ISTEXT(AE53),AF51,0)</f>
        <v>0</v>
      </c>
      <c r="AG53" s="52">
        <f>IF(ISTEXT(AE53),AG51,0)</f>
        <v>0</v>
      </c>
      <c r="AH53" s="56">
        <f>IF(ISTEXT(AE53),AH51,0)</f>
        <v>0</v>
      </c>
      <c r="AI53" s="6"/>
      <c r="AJ53" s="11">
        <f>+W20</f>
        <v>0</v>
      </c>
      <c r="AK53" s="55">
        <f>IF(ISTEXT(AJ53),AK51,0)</f>
        <v>0</v>
      </c>
      <c r="AL53" s="52">
        <f>IF(ISTEXT(AJ53),AL51,0)</f>
        <v>0</v>
      </c>
      <c r="AM53" s="56">
        <f>IF(ISTEXT(AJ53),AM51,0)</f>
        <v>0</v>
      </c>
      <c r="AN53" s="18"/>
      <c r="AO53" s="44">
        <v>45</v>
      </c>
      <c r="AP53" s="5" t="str">
        <f>+Inscrits!F11</f>
        <v>C9</v>
      </c>
      <c r="AQ53" s="247">
        <f t="shared" si="3"/>
        <v>3</v>
      </c>
      <c r="AR53" s="82">
        <f t="shared" si="4"/>
        <v>1</v>
      </c>
      <c r="AS53" s="184">
        <f t="shared" si="5"/>
        <v>1</v>
      </c>
      <c r="AT53" s="250">
        <f t="shared" si="6"/>
        <v>3</v>
      </c>
      <c r="AU53" s="82">
        <f t="shared" si="7"/>
        <v>9</v>
      </c>
      <c r="AV53" s="252">
        <f t="shared" si="8"/>
        <v>10</v>
      </c>
      <c r="AW53" s="247">
        <f t="shared" si="9"/>
        <v>1</v>
      </c>
      <c r="AX53" s="82">
        <f t="shared" si="10"/>
        <v>-2</v>
      </c>
      <c r="AY53" s="252">
        <f t="shared" si="11"/>
        <v>9</v>
      </c>
      <c r="AZ53" s="247">
        <f t="shared" si="17"/>
        <v>7</v>
      </c>
      <c r="BA53" s="82">
        <f t="shared" si="12"/>
        <v>8</v>
      </c>
      <c r="BB53" s="252">
        <f t="shared" si="13"/>
        <v>20</v>
      </c>
      <c r="BC53" s="255">
        <f t="shared" si="14"/>
        <v>0</v>
      </c>
      <c r="BD53" s="7">
        <f t="shared" si="15"/>
        <v>8</v>
      </c>
      <c r="BE53" s="183">
        <f t="shared" si="16"/>
        <v>3.91800053</v>
      </c>
      <c r="BF53" s="82">
        <f>IF(AP53="","",SMALL(BE$9:BE$62,ROWS(AZ$9:AZ53)))</f>
        <v>31.00000043</v>
      </c>
      <c r="BH53" s="250" t="str">
        <f>IF(OR(AP53="",AZ53=""),"",INDEX($AP$9:$AP$63,MATCH(BF53,$BE$9:BE$62,0)))</f>
        <v>B17</v>
      </c>
      <c r="BI53" s="7">
        <f t="shared" si="18"/>
        <v>0</v>
      </c>
      <c r="BJ53" s="7">
        <f t="shared" si="19"/>
        <v>0</v>
      </c>
      <c r="BK53" s="7">
        <f t="shared" si="20"/>
        <v>0</v>
      </c>
      <c r="BL53" s="17">
        <f>IF(BF53="","",IF(AND(BI52=BI53,BJ52=BJ53,BK52=BK53),BL52,$BL$9+44))</f>
        <v>31</v>
      </c>
      <c r="BM53" s="22"/>
      <c r="BN53" s="225"/>
    </row>
    <row r="54" spans="1:66" ht="15.6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P54" s="18"/>
      <c r="Q54" s="18"/>
      <c r="R54" s="18"/>
      <c r="S54" s="18"/>
      <c r="T54" s="18"/>
      <c r="U54" s="18"/>
      <c r="V54" s="18"/>
      <c r="W54" s="18"/>
      <c r="X54" s="18"/>
      <c r="Y54" s="383"/>
      <c r="Z54" s="24"/>
      <c r="AA54" s="16" t="s">
        <v>5</v>
      </c>
      <c r="AB54" s="16"/>
      <c r="AC54" s="17"/>
      <c r="AD54" s="1"/>
      <c r="AE54" s="24"/>
      <c r="AF54" s="16" t="s">
        <v>5</v>
      </c>
      <c r="AG54" s="16"/>
      <c r="AH54" s="17"/>
      <c r="AI54" s="1"/>
      <c r="AJ54" s="24"/>
      <c r="AK54" s="16" t="s">
        <v>5</v>
      </c>
      <c r="AL54" s="16"/>
      <c r="AM54" s="17"/>
      <c r="AN54" s="18"/>
      <c r="AO54" s="44">
        <v>46</v>
      </c>
      <c r="AP54" s="5" t="str">
        <f>+Inscrits!F12</f>
        <v>C10</v>
      </c>
      <c r="AQ54" s="247">
        <f t="shared" si="3"/>
        <v>1</v>
      </c>
      <c r="AR54" s="82">
        <f t="shared" si="4"/>
        <v>-1</v>
      </c>
      <c r="AS54" s="184" t="str">
        <f t="shared" si="5"/>
        <v>0</v>
      </c>
      <c r="AT54" s="250">
        <f t="shared" si="6"/>
        <v>1</v>
      </c>
      <c r="AU54" s="82">
        <f t="shared" si="7"/>
        <v>-6</v>
      </c>
      <c r="AV54" s="252">
        <f t="shared" si="8"/>
        <v>7</v>
      </c>
      <c r="AW54" s="247">
        <f t="shared" si="9"/>
        <v>1</v>
      </c>
      <c r="AX54" s="82">
        <f t="shared" si="10"/>
        <v>-4</v>
      </c>
      <c r="AY54" s="252">
        <f t="shared" si="11"/>
        <v>7</v>
      </c>
      <c r="AZ54" s="247">
        <f t="shared" si="17"/>
        <v>3</v>
      </c>
      <c r="BA54" s="82">
        <f t="shared" si="12"/>
        <v>-11</v>
      </c>
      <c r="BB54" s="252">
        <f t="shared" si="13"/>
        <v>14</v>
      </c>
      <c r="BC54" s="255">
        <f t="shared" si="14"/>
        <v>-11</v>
      </c>
      <c r="BD54" s="7">
        <f t="shared" si="15"/>
        <v>0</v>
      </c>
      <c r="BE54" s="183">
        <f t="shared" si="16"/>
        <v>26.108600539999998</v>
      </c>
      <c r="BF54" s="82">
        <f>IF(AP54="","",SMALL(BE$9:BE$62,ROWS(AZ$9:AZ54)))</f>
        <v>31.000000440000001</v>
      </c>
      <c r="BH54" s="250" t="str">
        <f>IF(OR(AP54="",AZ54=""),"",INDEX($AP$9:$AP$63,MATCH(BF54,$BE$9:BE$62,0)))</f>
        <v>B18</v>
      </c>
      <c r="BI54" s="7">
        <f t="shared" si="18"/>
        <v>0</v>
      </c>
      <c r="BJ54" s="7">
        <f t="shared" si="19"/>
        <v>0</v>
      </c>
      <c r="BK54" s="7">
        <f t="shared" si="20"/>
        <v>0</v>
      </c>
      <c r="BL54" s="17">
        <f>IF(BF54="","",IF(AND(BI53=BI54,BJ53=BJ54,BK53=BK54),BL53,$BL$9+45))</f>
        <v>31</v>
      </c>
      <c r="BM54" s="22"/>
      <c r="BN54" s="225"/>
    </row>
    <row r="55" spans="1:66" ht="15.6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P55" s="18"/>
      <c r="Q55" s="18"/>
      <c r="R55" s="18"/>
      <c r="S55" s="18"/>
      <c r="T55" s="18"/>
      <c r="U55" s="18"/>
      <c r="V55" s="18"/>
      <c r="W55" s="18"/>
      <c r="X55" s="18"/>
      <c r="Y55" s="383"/>
      <c r="Z55" s="11">
        <f>+O21</f>
        <v>0</v>
      </c>
      <c r="AA55" s="27">
        <v>0</v>
      </c>
      <c r="AB55" s="23">
        <f>IF(AA51+AA55=0,0,IF(AA51=AA55,2,IF(AA51&lt;AA55,3,1)))</f>
        <v>0</v>
      </c>
      <c r="AC55" s="12">
        <f>AA55-AA51</f>
        <v>0</v>
      </c>
      <c r="AD55" s="6"/>
      <c r="AE55" s="11">
        <f>+R21</f>
        <v>0</v>
      </c>
      <c r="AF55" s="108">
        <v>0</v>
      </c>
      <c r="AG55" s="23">
        <f>IF(AF51+AF55=0,0,IF(AF51=AF55,2,IF(AF51&lt;AF55,3,1)))</f>
        <v>0</v>
      </c>
      <c r="AH55" s="12">
        <f>AF55-AF51</f>
        <v>0</v>
      </c>
      <c r="AI55" s="6"/>
      <c r="AJ55" s="11">
        <f>+U21</f>
        <v>0</v>
      </c>
      <c r="AK55" s="29">
        <v>0</v>
      </c>
      <c r="AL55" s="23">
        <f>IF(AK51+AK55=0,0,IF(AK51=AK55,2,IF(AK51&lt;AK55,3,1)))</f>
        <v>0</v>
      </c>
      <c r="AM55" s="12">
        <f>AK55-AK51</f>
        <v>0</v>
      </c>
      <c r="AN55" s="18"/>
      <c r="AO55" s="44">
        <v>47</v>
      </c>
      <c r="AP55" s="5" t="str">
        <f>+Inscrits!F13</f>
        <v>C11</v>
      </c>
      <c r="AQ55" s="247" t="str">
        <f t="shared" si="3"/>
        <v xml:space="preserve"> </v>
      </c>
      <c r="AR55" s="82" t="str">
        <f t="shared" si="4"/>
        <v xml:space="preserve"> </v>
      </c>
      <c r="AS55" s="184" t="str">
        <f t="shared" si="5"/>
        <v xml:space="preserve"> </v>
      </c>
      <c r="AT55" s="250" t="str">
        <f t="shared" si="6"/>
        <v xml:space="preserve"> </v>
      </c>
      <c r="AU55" s="82" t="str">
        <f t="shared" si="7"/>
        <v xml:space="preserve"> </v>
      </c>
      <c r="AV55" s="252" t="str">
        <f t="shared" si="8"/>
        <v xml:space="preserve"> </v>
      </c>
      <c r="AW55" s="247" t="str">
        <f t="shared" si="9"/>
        <v xml:space="preserve"> </v>
      </c>
      <c r="AX55" s="82" t="str">
        <f t="shared" si="10"/>
        <v xml:space="preserve"> </v>
      </c>
      <c r="AY55" s="252" t="str">
        <f t="shared" si="11"/>
        <v xml:space="preserve"> </v>
      </c>
      <c r="AZ55" s="247">
        <f t="shared" si="17"/>
        <v>0</v>
      </c>
      <c r="BA55" s="82">
        <f t="shared" si="12"/>
        <v>0</v>
      </c>
      <c r="BB55" s="252">
        <f t="shared" si="13"/>
        <v>0</v>
      </c>
      <c r="BC55" s="255">
        <f t="shared" si="14"/>
        <v>0</v>
      </c>
      <c r="BD55" s="7">
        <f t="shared" si="15"/>
        <v>0</v>
      </c>
      <c r="BE55" s="183">
        <f t="shared" si="16"/>
        <v>31.000000549999999</v>
      </c>
      <c r="BF55" s="82">
        <f>IF(AP55="","",SMALL(BE$9:BE$62,ROWS(AZ$9:AZ55)))</f>
        <v>31.000000549999999</v>
      </c>
      <c r="BH55" s="250" t="str">
        <f>IF(OR(AP55="",AZ55=""),"",INDEX($AP$9:$AP$63,MATCH(BF55,$BE$9:BE$62,0)))</f>
        <v>C11</v>
      </c>
      <c r="BI55" s="7">
        <f t="shared" si="18"/>
        <v>0</v>
      </c>
      <c r="BJ55" s="7">
        <f t="shared" si="19"/>
        <v>0</v>
      </c>
      <c r="BK55" s="7">
        <f t="shared" si="20"/>
        <v>0</v>
      </c>
      <c r="BL55" s="17">
        <f>IF(BF55="","",IF(AND(BI54=BI55,BJ54=BJ55,BK54=BK55),BL54,$BL$9+46))</f>
        <v>31</v>
      </c>
      <c r="BM55" s="22"/>
      <c r="BN55" s="225"/>
    </row>
    <row r="56" spans="1:66" ht="16.2" thickBot="1" x14ac:dyDescent="0.35">
      <c r="A56" s="20"/>
      <c r="B56" s="18"/>
      <c r="C56" s="18"/>
      <c r="D56" s="18"/>
      <c r="E56" s="18"/>
      <c r="F56" s="18"/>
      <c r="G56" s="18"/>
      <c r="H56" s="18"/>
      <c r="I56" s="20"/>
      <c r="J56" s="20"/>
      <c r="K56" s="20"/>
      <c r="L56" s="20"/>
      <c r="P56" s="18"/>
      <c r="Q56" s="20"/>
      <c r="R56" s="22"/>
      <c r="S56" s="18"/>
      <c r="T56" s="18"/>
      <c r="U56" s="18"/>
      <c r="V56" s="18"/>
      <c r="W56" s="18"/>
      <c r="X56" s="18"/>
      <c r="Y56" s="383"/>
      <c r="Z56" s="11">
        <f>+P21</f>
        <v>0</v>
      </c>
      <c r="AA56" s="14">
        <f>IF(ISTEXT(Z56),AA55,0)</f>
        <v>0</v>
      </c>
      <c r="AB56" s="14">
        <f>IF(ISTEXT(Z56),AB55,0)</f>
        <v>0</v>
      </c>
      <c r="AC56" s="15">
        <f>IF(ISTEXT(Z56),AC55,0)</f>
        <v>0</v>
      </c>
      <c r="AD56" s="6"/>
      <c r="AE56" s="11">
        <f>+S21</f>
        <v>0</v>
      </c>
      <c r="AF56" s="14">
        <f>IF(ISTEXT(AE56),AF55,0)</f>
        <v>0</v>
      </c>
      <c r="AG56" s="14">
        <f>IF(ISTEXT(AE56),AG55,0)</f>
        <v>0</v>
      </c>
      <c r="AH56" s="15">
        <f>IF(ISTEXT(AE56),AH55,0)</f>
        <v>0</v>
      </c>
      <c r="AI56" s="6"/>
      <c r="AJ56" s="11">
        <f>+V21</f>
        <v>0</v>
      </c>
      <c r="AK56" s="14">
        <f>IF(ISTEXT(AJ56),AK55,0)</f>
        <v>0</v>
      </c>
      <c r="AL56" s="14">
        <f>IF(ISTEXT(AJ56),AL55,0)</f>
        <v>0</v>
      </c>
      <c r="AM56" s="15">
        <f>IF(ISTEXT(AJ56),AM55,0)</f>
        <v>0</v>
      </c>
      <c r="AN56" s="18"/>
      <c r="AO56" s="44">
        <v>48</v>
      </c>
      <c r="AP56" s="5" t="str">
        <f>+Inscrits!F14</f>
        <v>C12</v>
      </c>
      <c r="AQ56" s="247" t="str">
        <f t="shared" si="3"/>
        <v xml:space="preserve"> </v>
      </c>
      <c r="AR56" s="82" t="str">
        <f t="shared" si="4"/>
        <v xml:space="preserve"> </v>
      </c>
      <c r="AS56" s="184" t="str">
        <f t="shared" si="5"/>
        <v xml:space="preserve"> </v>
      </c>
      <c r="AT56" s="250" t="str">
        <f t="shared" si="6"/>
        <v xml:space="preserve"> </v>
      </c>
      <c r="AU56" s="82" t="str">
        <f t="shared" si="7"/>
        <v xml:space="preserve"> </v>
      </c>
      <c r="AV56" s="252" t="str">
        <f t="shared" si="8"/>
        <v xml:space="preserve"> </v>
      </c>
      <c r="AW56" s="247" t="str">
        <f t="shared" si="9"/>
        <v xml:space="preserve"> </v>
      </c>
      <c r="AX56" s="82" t="str">
        <f t="shared" si="10"/>
        <v xml:space="preserve"> </v>
      </c>
      <c r="AY56" s="252" t="str">
        <f t="shared" si="11"/>
        <v xml:space="preserve"> </v>
      </c>
      <c r="AZ56" s="247">
        <f t="shared" si="17"/>
        <v>0</v>
      </c>
      <c r="BA56" s="82">
        <f t="shared" si="12"/>
        <v>0</v>
      </c>
      <c r="BB56" s="252">
        <f t="shared" si="13"/>
        <v>0</v>
      </c>
      <c r="BC56" s="255">
        <f t="shared" si="14"/>
        <v>0</v>
      </c>
      <c r="BD56" s="7">
        <f t="shared" si="15"/>
        <v>0</v>
      </c>
      <c r="BE56" s="183">
        <f t="shared" si="16"/>
        <v>31.00000056</v>
      </c>
      <c r="BF56" s="82">
        <f>IF(AP56="","",SMALL(BE$9:BE$62,ROWS(AZ$9:AZ56)))</f>
        <v>31.00000056</v>
      </c>
      <c r="BH56" s="250" t="str">
        <f>IF(OR(AP56="",AZ56=""),"",INDEX($AP$9:$AP$63,MATCH(BF56,$BE$9:BE$62,0)))</f>
        <v>C12</v>
      </c>
      <c r="BI56" s="7">
        <f t="shared" si="18"/>
        <v>0</v>
      </c>
      <c r="BJ56" s="7">
        <f t="shared" si="19"/>
        <v>0</v>
      </c>
      <c r="BK56" s="7">
        <f t="shared" si="20"/>
        <v>0</v>
      </c>
      <c r="BL56" s="17">
        <f>IF(BF56="","",IF(AND(BI55=BI56,BJ55=BJ56,BK55=BK56),BL55,$BL$9+47))</f>
        <v>31</v>
      </c>
      <c r="BM56" s="22"/>
      <c r="BN56" s="225"/>
    </row>
    <row r="57" spans="1:66" ht="16.2" thickBot="1" x14ac:dyDescent="0.35">
      <c r="A57" s="20"/>
      <c r="B57" s="18"/>
      <c r="C57" s="18"/>
      <c r="D57" s="18"/>
      <c r="E57" s="18"/>
      <c r="F57" s="18"/>
      <c r="G57" s="18"/>
      <c r="H57" s="18"/>
      <c r="I57" s="20"/>
      <c r="J57" s="20"/>
      <c r="K57" s="20"/>
      <c r="L57" s="20"/>
      <c r="P57" s="18"/>
      <c r="Q57" s="20"/>
      <c r="R57" s="22"/>
      <c r="S57" s="18"/>
      <c r="T57" s="18"/>
      <c r="U57" s="18"/>
      <c r="V57" s="18"/>
      <c r="W57" s="18"/>
      <c r="X57" s="18"/>
      <c r="Y57" s="384"/>
      <c r="Z57" s="13">
        <f>+Q21</f>
        <v>0</v>
      </c>
      <c r="AA57" s="14">
        <f>IF(ISTEXT(Z57),AA55,0)</f>
        <v>0</v>
      </c>
      <c r="AB57" s="14">
        <f>IF(ISTEXT(Z57),AB55,0)</f>
        <v>0</v>
      </c>
      <c r="AC57" s="15">
        <f>IF(ISTEXT(Z57),AC55,0)</f>
        <v>0</v>
      </c>
      <c r="AD57" s="6"/>
      <c r="AE57" s="13">
        <f>+T21</f>
        <v>0</v>
      </c>
      <c r="AF57" s="14">
        <f>IF(ISTEXT(AE57),AF55,0)</f>
        <v>0</v>
      </c>
      <c r="AG57" s="14">
        <f>IF(ISTEXT(AE57),AG55,0)</f>
        <v>0</v>
      </c>
      <c r="AH57" s="15">
        <f>IF(ISTEXT(AE57),AH55,0)</f>
        <v>0</v>
      </c>
      <c r="AI57" s="6"/>
      <c r="AJ57" s="13">
        <f>+W21</f>
        <v>0</v>
      </c>
      <c r="AK57" s="14">
        <f>IF(ISTEXT(AJ57),AK55,0)</f>
        <v>0</v>
      </c>
      <c r="AL57" s="14">
        <f>IF(ISTEXT(AJ57),AL55,0)</f>
        <v>0</v>
      </c>
      <c r="AM57" s="15">
        <f>IF(ISTEXT(AJ57),AM55,0)</f>
        <v>0</v>
      </c>
      <c r="AN57" s="18"/>
      <c r="AO57" s="44">
        <v>49</v>
      </c>
      <c r="AP57" s="5" t="str">
        <f>+Inscrits!F15</f>
        <v>C13</v>
      </c>
      <c r="AQ57" s="247" t="str">
        <f t="shared" si="3"/>
        <v xml:space="preserve"> </v>
      </c>
      <c r="AR57" s="82" t="str">
        <f t="shared" si="4"/>
        <v xml:space="preserve"> </v>
      </c>
      <c r="AS57" s="184" t="str">
        <f t="shared" si="5"/>
        <v xml:space="preserve"> </v>
      </c>
      <c r="AT57" s="250" t="str">
        <f t="shared" si="6"/>
        <v xml:space="preserve"> </v>
      </c>
      <c r="AU57" s="82" t="str">
        <f t="shared" si="7"/>
        <v xml:space="preserve"> </v>
      </c>
      <c r="AV57" s="252" t="str">
        <f t="shared" si="8"/>
        <v xml:space="preserve"> </v>
      </c>
      <c r="AW57" s="247" t="str">
        <f t="shared" si="9"/>
        <v xml:space="preserve"> </v>
      </c>
      <c r="AX57" s="82" t="str">
        <f t="shared" si="10"/>
        <v xml:space="preserve"> </v>
      </c>
      <c r="AY57" s="252" t="str">
        <f t="shared" si="11"/>
        <v xml:space="preserve"> </v>
      </c>
      <c r="AZ57" s="247">
        <f t="shared" si="17"/>
        <v>0</v>
      </c>
      <c r="BA57" s="82">
        <f t="shared" si="12"/>
        <v>0</v>
      </c>
      <c r="BB57" s="252">
        <f t="shared" si="13"/>
        <v>0</v>
      </c>
      <c r="BC57" s="255">
        <f t="shared" si="14"/>
        <v>0</v>
      </c>
      <c r="BD57" s="7">
        <f t="shared" si="15"/>
        <v>0</v>
      </c>
      <c r="BE57" s="183">
        <f t="shared" si="16"/>
        <v>31.000000570000001</v>
      </c>
      <c r="BF57" s="82">
        <f>IF(AP57="","",SMALL(BE$9:BE$62,ROWS(AZ$9:AZ57)))</f>
        <v>31.000000570000001</v>
      </c>
      <c r="BH57" s="250" t="str">
        <f>IF(OR(AP57="",AZ57=""),"",INDEX($AP$9:$AP$63,MATCH(BF57,$BE$9:BE$62,0)))</f>
        <v>C13</v>
      </c>
      <c r="BI57" s="7">
        <f t="shared" si="18"/>
        <v>0</v>
      </c>
      <c r="BJ57" s="7">
        <f t="shared" si="19"/>
        <v>0</v>
      </c>
      <c r="BK57" s="7">
        <f t="shared" si="20"/>
        <v>0</v>
      </c>
      <c r="BL57" s="17">
        <f>IF(BF57="","",IF(AND(BI56=BI57,BJ56=BJ57,BK56=BK57),BL56,$BL$9+48))</f>
        <v>31</v>
      </c>
      <c r="BM57" s="22"/>
      <c r="BN57" s="225"/>
    </row>
    <row r="58" spans="1:66" ht="16.2" thickBot="1" x14ac:dyDescent="0.35">
      <c r="A58" s="20"/>
      <c r="B58" s="18"/>
      <c r="C58" s="18"/>
      <c r="D58" s="18"/>
      <c r="E58" s="18"/>
      <c r="F58" s="20"/>
      <c r="G58" s="20"/>
      <c r="H58" s="18"/>
      <c r="I58" s="20"/>
      <c r="J58" s="20"/>
      <c r="K58" s="20"/>
      <c r="L58" s="20"/>
      <c r="P58" s="18"/>
      <c r="Q58" s="20"/>
      <c r="R58" s="22"/>
      <c r="S58" s="18"/>
      <c r="T58" s="18"/>
      <c r="U58" s="18"/>
      <c r="V58" s="18"/>
      <c r="W58" s="18"/>
      <c r="X58" s="18"/>
      <c r="Y58" s="20"/>
      <c r="Z58" s="58"/>
      <c r="AA58" s="58"/>
      <c r="AB58" s="58"/>
      <c r="AC58" s="58"/>
      <c r="AD58" s="59"/>
      <c r="AE58" s="59"/>
      <c r="AF58" s="59"/>
      <c r="AG58" s="58"/>
      <c r="AH58" s="58"/>
      <c r="AI58" s="59"/>
      <c r="AJ58" s="59"/>
      <c r="AK58" s="58"/>
      <c r="AL58" s="58"/>
      <c r="AM58" s="58"/>
      <c r="AN58" s="18"/>
      <c r="AO58" s="44">
        <v>50</v>
      </c>
      <c r="AP58" s="5" t="str">
        <f>+Inscrits!F16</f>
        <v>C14</v>
      </c>
      <c r="AQ58" s="247" t="str">
        <f t="shared" si="3"/>
        <v xml:space="preserve"> </v>
      </c>
      <c r="AR58" s="82" t="str">
        <f t="shared" si="4"/>
        <v xml:space="preserve"> </v>
      </c>
      <c r="AS58" s="184" t="str">
        <f t="shared" si="5"/>
        <v xml:space="preserve"> </v>
      </c>
      <c r="AT58" s="250" t="str">
        <f t="shared" si="6"/>
        <v xml:space="preserve"> </v>
      </c>
      <c r="AU58" s="82" t="str">
        <f t="shared" si="7"/>
        <v xml:space="preserve"> </v>
      </c>
      <c r="AV58" s="252" t="str">
        <f t="shared" si="8"/>
        <v xml:space="preserve"> </v>
      </c>
      <c r="AW58" s="247" t="str">
        <f t="shared" si="9"/>
        <v xml:space="preserve"> </v>
      </c>
      <c r="AX58" s="82" t="str">
        <f t="shared" si="10"/>
        <v xml:space="preserve"> </v>
      </c>
      <c r="AY58" s="252" t="str">
        <f t="shared" si="11"/>
        <v xml:space="preserve"> </v>
      </c>
      <c r="AZ58" s="247">
        <f t="shared" si="17"/>
        <v>0</v>
      </c>
      <c r="BA58" s="82">
        <f t="shared" si="12"/>
        <v>0</v>
      </c>
      <c r="BB58" s="252">
        <f t="shared" si="13"/>
        <v>0</v>
      </c>
      <c r="BC58" s="255">
        <f t="shared" si="14"/>
        <v>0</v>
      </c>
      <c r="BD58" s="7">
        <f t="shared" si="15"/>
        <v>0</v>
      </c>
      <c r="BE58" s="183">
        <f t="shared" si="16"/>
        <v>31.000000579999998</v>
      </c>
      <c r="BF58" s="82">
        <f>IF(AP58="","",SMALL(BE$9:BE$62,ROWS(AZ$9:AZ58)))</f>
        <v>31.000000579999998</v>
      </c>
      <c r="BH58" s="250" t="str">
        <f>IF(OR(AP58="",AZ58=""),"",INDEX($AP$9:$AP$63,MATCH(BF58,$BE$9:BE$62,0)))</f>
        <v>C14</v>
      </c>
      <c r="BI58" s="7">
        <f t="shared" si="18"/>
        <v>0</v>
      </c>
      <c r="BJ58" s="7">
        <f t="shared" si="19"/>
        <v>0</v>
      </c>
      <c r="BK58" s="7">
        <f t="shared" si="20"/>
        <v>0</v>
      </c>
      <c r="BL58" s="17">
        <f>IF(BF58="","",IF(AND(BI57=BI58,BJ57=BJ58,BK57=BK58),BL57,$BL$9+49))</f>
        <v>31</v>
      </c>
      <c r="BM58" s="22"/>
      <c r="BN58" s="225"/>
    </row>
    <row r="59" spans="1:66" ht="15.6" x14ac:dyDescent="0.3">
      <c r="A59" s="20"/>
      <c r="B59" s="18"/>
      <c r="C59" s="18"/>
      <c r="D59" s="18"/>
      <c r="E59" s="18"/>
      <c r="F59" s="20"/>
      <c r="G59" s="20"/>
      <c r="H59" s="18"/>
      <c r="I59" s="20"/>
      <c r="J59" s="20"/>
      <c r="K59" s="20"/>
      <c r="L59" s="20"/>
      <c r="P59" s="18"/>
      <c r="Q59" s="20"/>
      <c r="R59" s="22"/>
      <c r="S59" s="18"/>
      <c r="T59" s="18"/>
      <c r="U59" s="18"/>
      <c r="V59" s="18"/>
      <c r="W59" s="18"/>
      <c r="X59" s="18"/>
      <c r="Y59" s="382">
        <v>7</v>
      </c>
      <c r="Z59" s="9">
        <f>+O22</f>
        <v>0</v>
      </c>
      <c r="AA59" s="25">
        <v>0</v>
      </c>
      <c r="AB59" s="38">
        <f>IF(AA59+AA63=0,0,IF(AA59=AA63,2,IF(AA59&gt;AA63,3,1)))</f>
        <v>0</v>
      </c>
      <c r="AC59" s="10">
        <f>AA59-AA63</f>
        <v>0</v>
      </c>
      <c r="AD59" s="6"/>
      <c r="AE59" s="9">
        <f>+R22</f>
        <v>0</v>
      </c>
      <c r="AF59" s="107">
        <v>0</v>
      </c>
      <c r="AG59" s="38">
        <f>IF(AF59+AF63=0,0,IF(AF59=AF63,2,IF(AF59&gt;AF63,3,1)))</f>
        <v>0</v>
      </c>
      <c r="AH59" s="10">
        <f>AF59-AF63</f>
        <v>0</v>
      </c>
      <c r="AI59" s="6"/>
      <c r="AJ59" s="9">
        <f>+U22</f>
        <v>0</v>
      </c>
      <c r="AK59" s="28">
        <v>0</v>
      </c>
      <c r="AL59" s="38">
        <f>IF(AK59+AK63=0,0,IF(AK59=AK63,2,IF(AK59&gt;AK63,3,1)))</f>
        <v>0</v>
      </c>
      <c r="AM59" s="10">
        <f>AK59-AK63</f>
        <v>0</v>
      </c>
      <c r="AN59" s="18"/>
      <c r="AO59" s="44">
        <v>51</v>
      </c>
      <c r="AP59" s="5" t="str">
        <f>+Inscrits!F17</f>
        <v>C15</v>
      </c>
      <c r="AQ59" s="247" t="str">
        <f t="shared" si="3"/>
        <v xml:space="preserve"> </v>
      </c>
      <c r="AR59" s="82" t="str">
        <f t="shared" si="4"/>
        <v xml:space="preserve"> </v>
      </c>
      <c r="AS59" s="184" t="str">
        <f t="shared" si="5"/>
        <v xml:space="preserve"> </v>
      </c>
      <c r="AT59" s="250" t="str">
        <f t="shared" si="6"/>
        <v xml:space="preserve"> </v>
      </c>
      <c r="AU59" s="82" t="str">
        <f t="shared" si="7"/>
        <v xml:space="preserve"> </v>
      </c>
      <c r="AV59" s="252" t="str">
        <f t="shared" si="8"/>
        <v xml:space="preserve"> </v>
      </c>
      <c r="AW59" s="247" t="str">
        <f t="shared" si="9"/>
        <v xml:space="preserve"> </v>
      </c>
      <c r="AX59" s="82" t="str">
        <f t="shared" si="10"/>
        <v xml:space="preserve"> </v>
      </c>
      <c r="AY59" s="252" t="str">
        <f t="shared" si="11"/>
        <v xml:space="preserve"> </v>
      </c>
      <c r="AZ59" s="247">
        <f t="shared" si="17"/>
        <v>0</v>
      </c>
      <c r="BA59" s="82">
        <f t="shared" si="12"/>
        <v>0</v>
      </c>
      <c r="BB59" s="252">
        <f t="shared" si="13"/>
        <v>0</v>
      </c>
      <c r="BC59" s="255">
        <f t="shared" si="14"/>
        <v>0</v>
      </c>
      <c r="BD59" s="7">
        <f t="shared" si="15"/>
        <v>0</v>
      </c>
      <c r="BE59" s="183">
        <f t="shared" si="16"/>
        <v>31.000000589999999</v>
      </c>
      <c r="BF59" s="82">
        <f>IF(AP59="","",SMALL(BE$9:BE$62,ROWS(AZ$9:AZ59)))</f>
        <v>31.000000589999999</v>
      </c>
      <c r="BH59" s="250" t="str">
        <f>IF(OR(AP59="",AZ59=""),"",INDEX($AP$9:$AP$63,MATCH(BF59,$BE$9:BE$62,0)))</f>
        <v>C15</v>
      </c>
      <c r="BI59" s="7">
        <f t="shared" si="18"/>
        <v>0</v>
      </c>
      <c r="BJ59" s="7">
        <f t="shared" si="19"/>
        <v>0</v>
      </c>
      <c r="BK59" s="7">
        <f t="shared" si="20"/>
        <v>0</v>
      </c>
      <c r="BL59" s="17">
        <f>IF(BF59="","",IF(AND(BI58=BI59,BJ58=BJ59,BK58=BK59),BL58,$BL$9+50))</f>
        <v>31</v>
      </c>
      <c r="BM59" s="22"/>
      <c r="BN59" s="225"/>
    </row>
    <row r="60" spans="1:66" ht="16.2" thickBot="1" x14ac:dyDescent="0.35">
      <c r="A60" s="20"/>
      <c r="B60" s="22"/>
      <c r="C60" s="22"/>
      <c r="D60" s="20"/>
      <c r="E60" s="20"/>
      <c r="F60" s="20"/>
      <c r="G60" s="20"/>
      <c r="H60" s="18"/>
      <c r="I60" s="20"/>
      <c r="J60" s="20"/>
      <c r="K60" s="20"/>
      <c r="L60" s="20"/>
      <c r="P60" s="18"/>
      <c r="Q60" s="20"/>
      <c r="R60" s="22"/>
      <c r="S60" s="22"/>
      <c r="T60" s="22"/>
      <c r="U60" s="18"/>
      <c r="V60" s="18"/>
      <c r="W60" s="18"/>
      <c r="X60" s="18"/>
      <c r="Y60" s="383"/>
      <c r="Z60" s="11">
        <f>+P22</f>
        <v>0</v>
      </c>
      <c r="AA60" s="14">
        <f>IF(ISTEXT(Z60),AA59,0)</f>
        <v>0</v>
      </c>
      <c r="AB60" s="14">
        <f>IF(ISTEXT(Z60),AB59,0)</f>
        <v>0</v>
      </c>
      <c r="AC60" s="15">
        <f>IF(ISTEXT(Z60),AC59,0)</f>
        <v>0</v>
      </c>
      <c r="AD60" s="6"/>
      <c r="AE60" s="11">
        <f>+S22</f>
        <v>0</v>
      </c>
      <c r="AF60" s="14">
        <f>IF(ISTEXT(AE60),AF59,0)</f>
        <v>0</v>
      </c>
      <c r="AG60" s="48">
        <f>IF(ISTEXT(AE60),AG59,0)</f>
        <v>0</v>
      </c>
      <c r="AH60" s="15">
        <f>IF(ISTEXT(AE60),AH59,0)</f>
        <v>0</v>
      </c>
      <c r="AI60" s="6"/>
      <c r="AJ60" s="11">
        <f>+V22</f>
        <v>0</v>
      </c>
      <c r="AK60" s="14">
        <f>IF(ISTEXT(AJ60),AK59,0)</f>
        <v>0</v>
      </c>
      <c r="AL60" s="48">
        <f>IF(ISTEXT(AJ60),AL59,0)</f>
        <v>0</v>
      </c>
      <c r="AM60" s="15">
        <f>IF(ISTEXT(AJ60),AM59,0)</f>
        <v>0</v>
      </c>
      <c r="AN60" s="18"/>
      <c r="AO60" s="44">
        <v>52</v>
      </c>
      <c r="AP60" s="5" t="str">
        <f>+Inscrits!F18</f>
        <v>C16</v>
      </c>
      <c r="AQ60" s="247" t="str">
        <f t="shared" si="3"/>
        <v xml:space="preserve"> </v>
      </c>
      <c r="AR60" s="82" t="str">
        <f t="shared" si="4"/>
        <v xml:space="preserve"> </v>
      </c>
      <c r="AS60" s="184" t="str">
        <f t="shared" si="5"/>
        <v xml:space="preserve"> </v>
      </c>
      <c r="AT60" s="250" t="str">
        <f t="shared" si="6"/>
        <v xml:space="preserve"> </v>
      </c>
      <c r="AU60" s="82" t="str">
        <f t="shared" si="7"/>
        <v xml:space="preserve"> </v>
      </c>
      <c r="AV60" s="252" t="str">
        <f t="shared" si="8"/>
        <v xml:space="preserve"> </v>
      </c>
      <c r="AW60" s="247" t="str">
        <f t="shared" si="9"/>
        <v xml:space="preserve"> </v>
      </c>
      <c r="AX60" s="82" t="str">
        <f t="shared" si="10"/>
        <v xml:space="preserve"> </v>
      </c>
      <c r="AY60" s="252" t="str">
        <f t="shared" si="11"/>
        <v xml:space="preserve"> </v>
      </c>
      <c r="AZ60" s="247">
        <f t="shared" si="17"/>
        <v>0</v>
      </c>
      <c r="BA60" s="82">
        <f t="shared" si="12"/>
        <v>0</v>
      </c>
      <c r="BB60" s="252">
        <f t="shared" si="13"/>
        <v>0</v>
      </c>
      <c r="BC60" s="255">
        <f t="shared" si="14"/>
        <v>0</v>
      </c>
      <c r="BD60" s="7">
        <f t="shared" si="15"/>
        <v>0</v>
      </c>
      <c r="BE60" s="183">
        <f t="shared" si="16"/>
        <v>31.0000006</v>
      </c>
      <c r="BF60" s="82">
        <f>IF(AP60="","",SMALL(BE$9:BE$62,ROWS(AZ$9:AZ60)))</f>
        <v>31.0000006</v>
      </c>
      <c r="BH60" s="250" t="str">
        <f>IF(OR(AP60="",AZ60=""),"",INDEX($AP$9:$AP$63,MATCH(BF60,$BE$9:BE$62,0)))</f>
        <v>C16</v>
      </c>
      <c r="BI60" s="7">
        <f t="shared" si="18"/>
        <v>0</v>
      </c>
      <c r="BJ60" s="7">
        <f t="shared" si="19"/>
        <v>0</v>
      </c>
      <c r="BK60" s="7">
        <f t="shared" si="20"/>
        <v>0</v>
      </c>
      <c r="BL60" s="17">
        <f>IF(BF60="","",IF(AND(BI59=BI60,BJ59=BJ60,BK59=BK60),BL59,$BL$9+51))</f>
        <v>31</v>
      </c>
      <c r="BM60" s="22"/>
      <c r="BN60" s="225"/>
    </row>
    <row r="61" spans="1:66" ht="15.6" x14ac:dyDescent="0.3">
      <c r="A61" s="20"/>
      <c r="B61" s="22"/>
      <c r="C61" s="22"/>
      <c r="D61" s="20"/>
      <c r="E61" s="20"/>
      <c r="F61" s="20"/>
      <c r="G61" s="20"/>
      <c r="H61" s="18"/>
      <c r="I61" s="20"/>
      <c r="J61" s="20"/>
      <c r="K61" s="20"/>
      <c r="L61" s="20"/>
      <c r="P61" s="18"/>
      <c r="Q61" s="20"/>
      <c r="R61" s="22"/>
      <c r="S61" s="22"/>
      <c r="T61" s="22"/>
      <c r="U61" s="22"/>
      <c r="V61" s="18"/>
      <c r="W61" s="18"/>
      <c r="X61" s="18"/>
      <c r="Y61" s="383"/>
      <c r="Z61" s="11">
        <f>+Q22</f>
        <v>0</v>
      </c>
      <c r="AA61" s="55">
        <f>IF(ISTEXT(Z61),AA59,0)</f>
        <v>0</v>
      </c>
      <c r="AB61" s="55">
        <f>IF(ISTEXT(Z61),AB59,0)</f>
        <v>0</v>
      </c>
      <c r="AC61" s="56">
        <f>IF(ISTEXT(Z61),AC59,0)</f>
        <v>0</v>
      </c>
      <c r="AD61" s="6"/>
      <c r="AE61" s="11">
        <f>+T22</f>
        <v>0</v>
      </c>
      <c r="AF61" s="55">
        <f>IF(ISTEXT(AE61),AF59,0)</f>
        <v>0</v>
      </c>
      <c r="AG61" s="52">
        <f>IF(ISTEXT(AE61),AG59,0)</f>
        <v>0</v>
      </c>
      <c r="AH61" s="56">
        <f>IF(ISTEXT(AE61),AH59,0)</f>
        <v>0</v>
      </c>
      <c r="AI61" s="6"/>
      <c r="AJ61" s="11">
        <f>+W22</f>
        <v>0</v>
      </c>
      <c r="AK61" s="55">
        <f>IF(ISTEXT(AJ61),AK59,0)</f>
        <v>0</v>
      </c>
      <c r="AL61" s="52">
        <f>IF(ISTEXT(AJ61),AL59,0)</f>
        <v>0</v>
      </c>
      <c r="AM61" s="56">
        <f>IF(ISTEXT(AJ61),AM59,0)</f>
        <v>0</v>
      </c>
      <c r="AN61" s="18"/>
      <c r="AO61" s="44">
        <v>53</v>
      </c>
      <c r="AP61" s="5" t="str">
        <f>+Inscrits!F19</f>
        <v>C17</v>
      </c>
      <c r="AQ61" s="247" t="str">
        <f t="shared" si="3"/>
        <v xml:space="preserve"> </v>
      </c>
      <c r="AR61" s="82" t="str">
        <f t="shared" si="4"/>
        <v xml:space="preserve"> </v>
      </c>
      <c r="AS61" s="184" t="str">
        <f t="shared" si="5"/>
        <v xml:space="preserve"> </v>
      </c>
      <c r="AT61" s="250" t="str">
        <f t="shared" si="6"/>
        <v xml:space="preserve"> </v>
      </c>
      <c r="AU61" s="82" t="str">
        <f t="shared" si="7"/>
        <v xml:space="preserve"> </v>
      </c>
      <c r="AV61" s="252" t="str">
        <f t="shared" si="8"/>
        <v xml:space="preserve"> </v>
      </c>
      <c r="AW61" s="247" t="str">
        <f t="shared" si="9"/>
        <v xml:space="preserve"> </v>
      </c>
      <c r="AX61" s="82" t="str">
        <f t="shared" si="10"/>
        <v xml:space="preserve"> </v>
      </c>
      <c r="AY61" s="252" t="str">
        <f t="shared" si="11"/>
        <v xml:space="preserve"> </v>
      </c>
      <c r="AZ61" s="247">
        <f t="shared" si="17"/>
        <v>0</v>
      </c>
      <c r="BA61" s="82">
        <f t="shared" si="12"/>
        <v>0</v>
      </c>
      <c r="BB61" s="252">
        <f t="shared" si="13"/>
        <v>0</v>
      </c>
      <c r="BC61" s="255">
        <f t="shared" si="14"/>
        <v>0</v>
      </c>
      <c r="BD61" s="7">
        <f t="shared" si="15"/>
        <v>0</v>
      </c>
      <c r="BE61" s="183">
        <f t="shared" si="16"/>
        <v>31.000000610000001</v>
      </c>
      <c r="BF61" s="82">
        <f>IF(AP61="","",SMALL(BE$9:BE$62,ROWS(AZ$9:AZ61)))</f>
        <v>31.000000610000001</v>
      </c>
      <c r="BH61" s="250" t="str">
        <f>IF(OR(AP61="",AZ61=""),"",INDEX($AP$9:$AP$63,MATCH(BF61,$BE$9:BE$62,0)))</f>
        <v>C17</v>
      </c>
      <c r="BI61" s="7">
        <f t="shared" si="18"/>
        <v>0</v>
      </c>
      <c r="BJ61" s="7">
        <f t="shared" si="19"/>
        <v>0</v>
      </c>
      <c r="BK61" s="7">
        <f t="shared" si="20"/>
        <v>0</v>
      </c>
      <c r="BL61" s="17">
        <f>IF(BF61="","",IF(AND(BI60=BI61,BJ60=BJ61,BK60=BK61),BL60,$BL$9+52))</f>
        <v>31</v>
      </c>
      <c r="BM61" s="22"/>
      <c r="BN61" s="225"/>
    </row>
    <row r="62" spans="1:66" ht="16.2" thickBot="1" x14ac:dyDescent="0.35">
      <c r="A62" s="20"/>
      <c r="B62" s="22"/>
      <c r="C62" s="22"/>
      <c r="D62" s="20"/>
      <c r="E62" s="20"/>
      <c r="F62" s="20"/>
      <c r="G62" s="20"/>
      <c r="H62" s="18"/>
      <c r="I62" s="20"/>
      <c r="J62" s="20"/>
      <c r="K62" s="20"/>
      <c r="L62" s="20"/>
      <c r="P62" s="18"/>
      <c r="Q62" s="20"/>
      <c r="R62" s="22"/>
      <c r="S62" s="22"/>
      <c r="T62" s="22"/>
      <c r="U62" s="22"/>
      <c r="V62" s="18"/>
      <c r="W62" s="18"/>
      <c r="X62" s="18"/>
      <c r="Y62" s="383"/>
      <c r="Z62" s="24"/>
      <c r="AA62" s="16" t="s">
        <v>5</v>
      </c>
      <c r="AB62" s="16"/>
      <c r="AC62" s="17"/>
      <c r="AD62" s="1"/>
      <c r="AE62" s="24"/>
      <c r="AF62" s="16" t="s">
        <v>5</v>
      </c>
      <c r="AG62" s="16"/>
      <c r="AH62" s="17"/>
      <c r="AI62" s="1"/>
      <c r="AJ62" s="24"/>
      <c r="AK62" s="16" t="s">
        <v>5</v>
      </c>
      <c r="AL62" s="16"/>
      <c r="AM62" s="17"/>
      <c r="AN62" s="18"/>
      <c r="AO62" s="283">
        <v>54</v>
      </c>
      <c r="AP62" s="280" t="str">
        <f>+Inscrits!F20</f>
        <v>C18</v>
      </c>
      <c r="AQ62" s="248" t="str">
        <f t="shared" si="3"/>
        <v xml:space="preserve"> </v>
      </c>
      <c r="AR62" s="189" t="str">
        <f t="shared" si="4"/>
        <v xml:space="preserve"> </v>
      </c>
      <c r="AS62" s="190" t="str">
        <f t="shared" si="5"/>
        <v xml:space="preserve"> </v>
      </c>
      <c r="AT62" s="251" t="str">
        <f t="shared" si="6"/>
        <v xml:space="preserve"> </v>
      </c>
      <c r="AU62" s="189" t="str">
        <f t="shared" si="7"/>
        <v xml:space="preserve"> </v>
      </c>
      <c r="AV62" s="253" t="str">
        <f t="shared" si="8"/>
        <v xml:space="preserve"> </v>
      </c>
      <c r="AW62" s="248" t="str">
        <f t="shared" si="9"/>
        <v xml:space="preserve"> </v>
      </c>
      <c r="AX62" s="189" t="str">
        <f t="shared" si="10"/>
        <v xml:space="preserve"> </v>
      </c>
      <c r="AY62" s="253" t="str">
        <f t="shared" si="11"/>
        <v xml:space="preserve"> </v>
      </c>
      <c r="AZ62" s="248">
        <f t="shared" si="17"/>
        <v>0</v>
      </c>
      <c r="BA62" s="189">
        <f t="shared" si="12"/>
        <v>0</v>
      </c>
      <c r="BB62" s="253">
        <f t="shared" si="13"/>
        <v>0</v>
      </c>
      <c r="BC62" s="256">
        <f t="shared" si="14"/>
        <v>0</v>
      </c>
      <c r="BD62" s="244">
        <f t="shared" si="15"/>
        <v>0</v>
      </c>
      <c r="BE62" s="183">
        <f t="shared" si="16"/>
        <v>31.000000620000002</v>
      </c>
      <c r="BF62" s="189">
        <f>IF(AP62="","",SMALL(BE$9:BE$62,ROWS(AZ$9:AZ62)))</f>
        <v>31.000000620000002</v>
      </c>
      <c r="BH62" s="251" t="str">
        <f>IF(OR(AP62="",AZ62=""),"",INDEX($AP$9:$AP$63,MATCH(BF62,$BE$9:BE$62,0)))</f>
        <v>C18</v>
      </c>
      <c r="BI62" s="244">
        <f t="shared" si="18"/>
        <v>0</v>
      </c>
      <c r="BJ62" s="244">
        <f t="shared" si="19"/>
        <v>0</v>
      </c>
      <c r="BK62" s="244">
        <f t="shared" si="20"/>
        <v>0</v>
      </c>
      <c r="BL62" s="17">
        <f>IF(BF62="","",IF(AND(BI61=BI62,BJ61=BJ62,BK61=BK62),BL61,$BL$9+53))</f>
        <v>31</v>
      </c>
      <c r="BM62" s="22"/>
      <c r="BN62" s="225"/>
    </row>
    <row r="63" spans="1:66" ht="15.6" x14ac:dyDescent="0.3">
      <c r="A63" s="20"/>
      <c r="B63" s="22"/>
      <c r="C63" s="22"/>
      <c r="D63" s="20"/>
      <c r="E63" s="20"/>
      <c r="F63" s="20"/>
      <c r="G63" s="20"/>
      <c r="H63" s="18"/>
      <c r="I63" s="20"/>
      <c r="J63" s="20"/>
      <c r="K63" s="20"/>
      <c r="L63" s="20"/>
      <c r="P63" s="18"/>
      <c r="Q63" s="20"/>
      <c r="R63" s="22"/>
      <c r="S63" s="22"/>
      <c r="T63" s="22"/>
      <c r="U63" s="22"/>
      <c r="V63" s="18"/>
      <c r="W63" s="18"/>
      <c r="X63" s="18"/>
      <c r="Y63" s="383"/>
      <c r="Z63" s="11">
        <f>+O23</f>
        <v>0</v>
      </c>
      <c r="AA63" s="27">
        <v>0</v>
      </c>
      <c r="AB63" s="23">
        <f>IF(AA59+AA63=0,0,IF(AA59=AA63,2,IF(AA59&lt;AA63,3,1)))</f>
        <v>0</v>
      </c>
      <c r="AC63" s="12">
        <f>AA63-AA59</f>
        <v>0</v>
      </c>
      <c r="AD63" s="6"/>
      <c r="AE63" s="11">
        <f>+R23</f>
        <v>0</v>
      </c>
      <c r="AF63" s="108">
        <v>0</v>
      </c>
      <c r="AG63" s="23">
        <f>IF(AF59+AF63=0,0,IF(AF59=AF63,2,IF(AF59&lt;AF63,3,1)))</f>
        <v>0</v>
      </c>
      <c r="AH63" s="12">
        <f>AF63-AF59</f>
        <v>0</v>
      </c>
      <c r="AI63" s="6"/>
      <c r="AJ63" s="11">
        <f>+U23</f>
        <v>0</v>
      </c>
      <c r="AK63" s="29">
        <v>0</v>
      </c>
      <c r="AL63" s="23">
        <f>IF(AK59+AK63=0,0,IF(AK59=AK63,2,IF(AK59&lt;AK63,3,1)))</f>
        <v>0</v>
      </c>
      <c r="AM63" s="12">
        <f>AK63-AK59</f>
        <v>0</v>
      </c>
      <c r="AN63" s="18"/>
      <c r="AP63" s="4"/>
      <c r="AQ63" s="61">
        <f>SUM(IF(ISNA(AQ9:AQ62),0,AQ9:AQ62))</f>
        <v>60</v>
      </c>
      <c r="AR63" s="61">
        <f t="array" ref="AR63">SUM(IF(ISNA(AR9:AR62),0,AR9:AR62))</f>
        <v>0</v>
      </c>
      <c r="AS63" s="61"/>
      <c r="AT63" s="61">
        <f>SUM(IF(ISNA(AT9:AT62),0,AT9:AT62))</f>
        <v>60</v>
      </c>
      <c r="AU63" s="61">
        <f t="array" ref="AU63">SUM(IF(ISNA(AU9:AU62),0,AU9:AU62))</f>
        <v>0</v>
      </c>
      <c r="AV63" s="61"/>
      <c r="AW63" s="61">
        <f t="array" ref="AW63">SUM(IF(ISNA(AW9:AW62),0,AW9:AW62))</f>
        <v>60</v>
      </c>
      <c r="AX63" s="61">
        <f t="array" ref="AX63">SUM(IF(ISNA(AX9:AX62),0,AX9:AX62))</f>
        <v>0</v>
      </c>
      <c r="AY63" s="61"/>
      <c r="AZ63" s="6">
        <f t="array" ref="AZ63">SUM(AZ9:AZ62)</f>
        <v>180</v>
      </c>
      <c r="BA63" s="6">
        <f t="array" ref="BA63">SUM(BA9:BA62)</f>
        <v>0</v>
      </c>
      <c r="BB63" s="6"/>
      <c r="BC63" s="6"/>
      <c r="BD63" s="6"/>
      <c r="BE63" s="6"/>
      <c r="BF63" s="6"/>
      <c r="BG63" s="69"/>
      <c r="BH63" s="6"/>
      <c r="BI63" s="1"/>
      <c r="BJ63" s="6">
        <f t="array" ref="BJ63">SUM(BJ9:BJ62)</f>
        <v>0</v>
      </c>
      <c r="BK63" s="6"/>
      <c r="BL63" s="4"/>
      <c r="BM63" s="22"/>
    </row>
    <row r="64" spans="1:66" ht="16.2" thickBot="1" x14ac:dyDescent="0.35">
      <c r="A64" s="20"/>
      <c r="B64" s="22"/>
      <c r="C64" s="22"/>
      <c r="D64" s="20"/>
      <c r="E64" s="20"/>
      <c r="F64" s="20"/>
      <c r="G64" s="20"/>
      <c r="H64" s="18"/>
      <c r="I64" s="20"/>
      <c r="J64" s="20"/>
      <c r="K64" s="20"/>
      <c r="L64" s="20"/>
      <c r="P64" s="18"/>
      <c r="Q64" s="20"/>
      <c r="R64" s="22"/>
      <c r="S64" s="22"/>
      <c r="T64" s="22"/>
      <c r="U64" s="22"/>
      <c r="V64" s="18"/>
      <c r="W64" s="18"/>
      <c r="X64" s="18"/>
      <c r="Y64" s="383"/>
      <c r="Z64" s="11">
        <f>+P23</f>
        <v>0</v>
      </c>
      <c r="AA64" s="14">
        <f>IF(ISTEXT(Z64),AA63,0)</f>
        <v>0</v>
      </c>
      <c r="AB64" s="14">
        <f>IF(ISTEXT(Z64),AB63,0)</f>
        <v>0</v>
      </c>
      <c r="AC64" s="15">
        <f>IF(ISTEXT(Z64),AC63,0)</f>
        <v>0</v>
      </c>
      <c r="AD64" s="6"/>
      <c r="AE64" s="11">
        <f>+S23</f>
        <v>0</v>
      </c>
      <c r="AF64" s="14">
        <f>IF(ISTEXT(AE64),AF63,0)</f>
        <v>0</v>
      </c>
      <c r="AG64" s="14">
        <f>IF(ISTEXT(AE64),AG63,0)</f>
        <v>0</v>
      </c>
      <c r="AH64" s="15">
        <f>IF(ISTEXT(AE64),AH63,0)</f>
        <v>0</v>
      </c>
      <c r="AI64" s="6"/>
      <c r="AJ64" s="11">
        <f>+V23</f>
        <v>0</v>
      </c>
      <c r="AK64" s="14">
        <f>IF(ISTEXT(AJ64),AK63,0)</f>
        <v>0</v>
      </c>
      <c r="AL64" s="14">
        <f>IF(ISTEXT(AJ64),AL63,0)</f>
        <v>0</v>
      </c>
      <c r="AM64" s="15">
        <f>IF(ISTEXT(AJ64),AM63,0)</f>
        <v>0</v>
      </c>
      <c r="AN64" s="18"/>
      <c r="AP64" s="4"/>
      <c r="AQ64" s="6"/>
      <c r="AR64" s="1" t="str">
        <f>IF(AR63=0,"OK","ERREUR")</f>
        <v>OK</v>
      </c>
      <c r="AS64" s="61"/>
      <c r="AT64" s="6"/>
      <c r="AU64" s="1" t="str">
        <f>IF(AU63=0,"OK","ERREUR")</f>
        <v>OK</v>
      </c>
      <c r="AV64" s="61"/>
      <c r="AW64" s="6"/>
      <c r="AX64" s="1" t="str">
        <f>IF(AX63=0,"OK","ERREUR")</f>
        <v>OK</v>
      </c>
      <c r="AY64" s="61"/>
      <c r="AZ64" s="4"/>
      <c r="BA64" s="1" t="str">
        <f>IF(BA63=0,"OK","ERREUR")</f>
        <v>OK</v>
      </c>
      <c r="BB64" s="61"/>
      <c r="BC64" s="6"/>
      <c r="BD64" s="6"/>
      <c r="BE64" s="6"/>
      <c r="BF64" s="6"/>
      <c r="BG64" s="69"/>
      <c r="BH64" s="6"/>
      <c r="BI64" s="1"/>
      <c r="BJ64" s="1" t="str">
        <f>IF(BJ63=0,"OK","ERREUR")</f>
        <v>OK</v>
      </c>
      <c r="BK64" s="61"/>
      <c r="BL64" s="4"/>
      <c r="BM64" s="22"/>
    </row>
    <row r="65" spans="1:65" ht="16.2" thickBot="1" x14ac:dyDescent="0.35">
      <c r="A65" s="20"/>
      <c r="B65" s="22"/>
      <c r="C65" s="22"/>
      <c r="D65" s="20"/>
      <c r="E65" s="20"/>
      <c r="F65" s="20"/>
      <c r="G65" s="20"/>
      <c r="H65" s="18"/>
      <c r="I65" s="20"/>
      <c r="J65" s="20"/>
      <c r="K65" s="20"/>
      <c r="L65" s="20"/>
      <c r="P65" s="18"/>
      <c r="Q65" s="20"/>
      <c r="R65" s="22"/>
      <c r="S65" s="22"/>
      <c r="T65" s="22"/>
      <c r="U65" s="22"/>
      <c r="V65" s="18"/>
      <c r="W65" s="18"/>
      <c r="X65" s="18"/>
      <c r="Y65" s="384"/>
      <c r="Z65" s="13">
        <f>+Q23</f>
        <v>0</v>
      </c>
      <c r="AA65" s="14">
        <f>IF(ISTEXT(Z65),AA63,0)</f>
        <v>0</v>
      </c>
      <c r="AB65" s="14">
        <f>IF(ISTEXT(Z65),AB63,0)</f>
        <v>0</v>
      </c>
      <c r="AC65" s="15">
        <f>IF(ISTEXT(Z65),AC63,0)</f>
        <v>0</v>
      </c>
      <c r="AD65" s="6"/>
      <c r="AE65" s="13">
        <f>+T23</f>
        <v>0</v>
      </c>
      <c r="AF65" s="14">
        <f>IF(ISTEXT(AE65),AF63,0)</f>
        <v>0</v>
      </c>
      <c r="AG65" s="14">
        <f>IF(ISTEXT(AE65),AG63,0)</f>
        <v>0</v>
      </c>
      <c r="AH65" s="15">
        <f>IF(ISTEXT(AE65),AH63,0)</f>
        <v>0</v>
      </c>
      <c r="AI65" s="6"/>
      <c r="AJ65" s="13">
        <f>+W23</f>
        <v>0</v>
      </c>
      <c r="AK65" s="14">
        <f>IF(ISTEXT(AJ65),AK63,0)</f>
        <v>0</v>
      </c>
      <c r="AL65" s="14">
        <f>IF(ISTEXT(AJ65),AL63,0)</f>
        <v>0</v>
      </c>
      <c r="AM65" s="15">
        <f>IF(ISTEXT(AJ65),AM63,0)</f>
        <v>0</v>
      </c>
      <c r="AN65" s="18"/>
      <c r="AO65" s="20"/>
      <c r="AP65" s="4"/>
      <c r="AQ65" s="6"/>
      <c r="AR65" s="61"/>
      <c r="AS65" s="61"/>
      <c r="AT65" s="6"/>
      <c r="AU65" s="61"/>
      <c r="AV65" s="61"/>
      <c r="AW65" s="6"/>
      <c r="AX65" s="61"/>
      <c r="AY65" s="61"/>
      <c r="AZ65" s="4"/>
      <c r="BA65" s="61"/>
      <c r="BB65" s="61"/>
      <c r="BC65" s="6"/>
      <c r="BD65" s="6"/>
      <c r="BE65" s="6"/>
      <c r="BF65" s="6"/>
      <c r="BG65" s="69"/>
      <c r="BH65" s="6"/>
      <c r="BI65" s="1"/>
      <c r="BJ65" s="61"/>
      <c r="BK65" s="61"/>
      <c r="BL65" s="4"/>
      <c r="BM65" s="22"/>
    </row>
    <row r="66" spans="1:65" ht="16.2" thickBot="1" x14ac:dyDescent="0.35">
      <c r="A66" s="20"/>
      <c r="B66" s="22"/>
      <c r="C66" s="22"/>
      <c r="D66" s="20"/>
      <c r="E66" s="20"/>
      <c r="F66" s="20"/>
      <c r="G66" s="20"/>
      <c r="H66" s="18"/>
      <c r="I66" s="20"/>
      <c r="J66" s="20"/>
      <c r="K66" s="20"/>
      <c r="L66" s="20"/>
      <c r="P66" s="18"/>
      <c r="Q66" s="20"/>
      <c r="R66" s="22"/>
      <c r="S66" s="22"/>
      <c r="T66" s="22"/>
      <c r="U66" s="22"/>
      <c r="V66" s="18"/>
      <c r="W66" s="18"/>
      <c r="X66" s="18"/>
      <c r="Y66" s="20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18"/>
      <c r="AO66" s="20"/>
      <c r="AP66" s="18"/>
      <c r="AQ66" s="69"/>
      <c r="AR66" s="19"/>
      <c r="AS66" s="19"/>
      <c r="AT66" s="69"/>
      <c r="AU66" s="69"/>
      <c r="AV66" s="69"/>
      <c r="AW66" s="69"/>
      <c r="AX66" s="19"/>
      <c r="AY66" s="19"/>
      <c r="AZ66" s="19"/>
      <c r="BA66" s="19"/>
      <c r="BB66" s="19"/>
      <c r="BC66" s="19"/>
      <c r="BD66" s="19"/>
      <c r="BE66" s="19"/>
      <c r="BF66" s="19"/>
      <c r="BG66" s="69"/>
      <c r="BH66" s="19"/>
      <c r="BI66" s="20"/>
      <c r="BJ66" s="20"/>
      <c r="BK66" s="20"/>
      <c r="BL66" s="18"/>
      <c r="BM66" s="22"/>
    </row>
    <row r="67" spans="1:65" ht="15.6" x14ac:dyDescent="0.3">
      <c r="A67" s="20"/>
      <c r="B67" s="22"/>
      <c r="C67" s="22"/>
      <c r="D67" s="20"/>
      <c r="E67" s="20"/>
      <c r="F67" s="20"/>
      <c r="G67" s="20"/>
      <c r="H67" s="18"/>
      <c r="I67" s="20"/>
      <c r="J67" s="20"/>
      <c r="K67" s="20"/>
      <c r="L67" s="20"/>
      <c r="P67" s="18"/>
      <c r="Q67" s="20"/>
      <c r="R67" s="22"/>
      <c r="S67" s="22"/>
      <c r="T67" s="22"/>
      <c r="U67" s="22"/>
      <c r="V67" s="18"/>
      <c r="W67" s="18"/>
      <c r="X67" s="18"/>
      <c r="Y67" s="382">
        <v>8</v>
      </c>
      <c r="Z67" s="9">
        <f>+O24</f>
        <v>0</v>
      </c>
      <c r="AA67" s="25">
        <v>0</v>
      </c>
      <c r="AB67" s="38">
        <f>IF(AA67+AA71=0,0,IF(AA67=AA71,2,IF(AA67&gt;AA71,3,1)))</f>
        <v>0</v>
      </c>
      <c r="AC67" s="10">
        <f>AA67-AA71</f>
        <v>0</v>
      </c>
      <c r="AD67" s="6"/>
      <c r="AE67" s="9">
        <f>+R24</f>
        <v>0</v>
      </c>
      <c r="AF67" s="107">
        <v>0</v>
      </c>
      <c r="AG67" s="38">
        <f>IF(AF67+AF71=0,0,IF(AF67=AF71,2,IF(AF67&gt;AF71,3,1)))</f>
        <v>0</v>
      </c>
      <c r="AH67" s="10">
        <f>AF67-AF71</f>
        <v>0</v>
      </c>
      <c r="AI67" s="6"/>
      <c r="AJ67" s="9">
        <f>+U24</f>
        <v>0</v>
      </c>
      <c r="AK67" s="28">
        <v>0</v>
      </c>
      <c r="AL67" s="38">
        <f>IF(AK67+AK71=0,0,IF(AK67=AK71,2,IF(AK67&gt;AK71,3,1)))</f>
        <v>0</v>
      </c>
      <c r="AM67" s="10">
        <f>AK67-AK71</f>
        <v>0</v>
      </c>
      <c r="AN67" s="18"/>
      <c r="AO67" s="20"/>
      <c r="AP67" s="326" t="s">
        <v>28</v>
      </c>
      <c r="AQ67" s="323">
        <f>COUNTIF(AQ9:AQ56,1)</f>
        <v>15</v>
      </c>
      <c r="AR67" s="324"/>
      <c r="AS67" s="324"/>
      <c r="AT67" s="323">
        <f>COUNTIF(AT9:AT56,1)</f>
        <v>15</v>
      </c>
      <c r="AU67" s="323"/>
      <c r="AV67" s="323"/>
      <c r="AW67" s="323">
        <f>COUNTIF(AW9:AW56,1)</f>
        <v>15</v>
      </c>
      <c r="AX67" s="324"/>
      <c r="AY67" s="324"/>
      <c r="AZ67" s="323">
        <f>COUNTIF(AZ9:AZ62,3)</f>
        <v>5</v>
      </c>
      <c r="BA67" s="69"/>
      <c r="BB67" s="69"/>
      <c r="BC67" s="21">
        <f>COUNTIF(BC9:BC56,1)</f>
        <v>0</v>
      </c>
      <c r="BD67" s="21"/>
      <c r="BE67" s="21"/>
      <c r="BF67" s="21">
        <f>COUNTIF(BF9:BF56,1)</f>
        <v>0</v>
      </c>
      <c r="BG67" s="69"/>
      <c r="BH67" s="18"/>
      <c r="BI67" s="18"/>
      <c r="BJ67" s="18"/>
      <c r="BK67" s="18"/>
      <c r="BL67" s="18"/>
      <c r="BM67" s="22"/>
    </row>
    <row r="68" spans="1:65" ht="16.2" thickBot="1" x14ac:dyDescent="0.35">
      <c r="A68" s="20"/>
      <c r="B68" s="22"/>
      <c r="C68" s="22"/>
      <c r="D68" s="20"/>
      <c r="E68" s="20"/>
      <c r="F68" s="20"/>
      <c r="G68" s="20"/>
      <c r="H68" s="18"/>
      <c r="I68" s="20"/>
      <c r="J68" s="20"/>
      <c r="K68" s="20"/>
      <c r="L68" s="20"/>
      <c r="P68" s="18"/>
      <c r="Q68" s="20"/>
      <c r="R68" s="22"/>
      <c r="S68" s="22"/>
      <c r="T68" s="22"/>
      <c r="U68" s="22"/>
      <c r="V68" s="18"/>
      <c r="W68" s="18"/>
      <c r="X68" s="18"/>
      <c r="Y68" s="383"/>
      <c r="Z68" s="11">
        <f>+P24</f>
        <v>0</v>
      </c>
      <c r="AA68" s="14">
        <f>IF(ISTEXT(Z68),AA67,0)</f>
        <v>0</v>
      </c>
      <c r="AB68" s="14">
        <f>IF(ISTEXT(Z68),AB67,0)</f>
        <v>0</v>
      </c>
      <c r="AC68" s="15">
        <f>IF(ISTEXT(Z68),AC67,0)</f>
        <v>0</v>
      </c>
      <c r="AD68" s="6"/>
      <c r="AE68" s="11">
        <f>+S24</f>
        <v>0</v>
      </c>
      <c r="AF68" s="14">
        <f>IF(ISTEXT(AE68),AF67,0)</f>
        <v>0</v>
      </c>
      <c r="AG68" s="48">
        <f>IF(ISTEXT(AE68),AG67,0)</f>
        <v>0</v>
      </c>
      <c r="AH68" s="15">
        <f>IF(ISTEXT(AE68),AH67,0)</f>
        <v>0</v>
      </c>
      <c r="AI68" s="6"/>
      <c r="AJ68" s="11">
        <f>+V24</f>
        <v>0</v>
      </c>
      <c r="AK68" s="14">
        <f>IF(ISTEXT(AJ68),AK67,0)</f>
        <v>0</v>
      </c>
      <c r="AL68" s="48">
        <f>IF(ISTEXT(AJ68),AL67,0)</f>
        <v>0</v>
      </c>
      <c r="AM68" s="15">
        <f>IF(ISTEXT(AJ68),AM67,0)</f>
        <v>0</v>
      </c>
      <c r="AN68" s="18"/>
      <c r="AO68" s="20"/>
      <c r="AP68" s="326" t="s">
        <v>44</v>
      </c>
      <c r="AQ68" s="323">
        <f>COUNTIF(AQ9:AQ56,2)</f>
        <v>0</v>
      </c>
      <c r="AR68" s="324"/>
      <c r="AS68" s="324"/>
      <c r="AT68" s="323">
        <f>COUNTIF(AT9:AT56,2)</f>
        <v>0</v>
      </c>
      <c r="AU68" s="324"/>
      <c r="AV68" s="324"/>
      <c r="AW68" s="323">
        <f>COUNTIF(AW9:AW56,2)</f>
        <v>0</v>
      </c>
      <c r="AX68" s="324"/>
      <c r="AY68" s="324"/>
      <c r="AZ68" s="323">
        <f>COUNTIF(AZ9:AZ62,5)</f>
        <v>8</v>
      </c>
      <c r="BA68" s="69"/>
      <c r="BB68" s="69"/>
      <c r="BC68" s="21">
        <f>COUNTIF(BC9:BC56,2)</f>
        <v>0</v>
      </c>
      <c r="BD68" s="200"/>
      <c r="BE68" s="200"/>
      <c r="BF68" s="21">
        <f>COUNTIF(BF9:BF56,2)</f>
        <v>0</v>
      </c>
      <c r="BG68" s="69"/>
      <c r="BH68" s="18" t="s">
        <v>31</v>
      </c>
      <c r="BI68" s="18"/>
      <c r="BJ68" s="18"/>
      <c r="BK68" s="18"/>
      <c r="BL68" s="18"/>
      <c r="BM68" s="22"/>
    </row>
    <row r="69" spans="1:65" ht="15.6" x14ac:dyDescent="0.3">
      <c r="A69" s="20"/>
      <c r="B69" s="22"/>
      <c r="C69" s="22"/>
      <c r="D69" s="20"/>
      <c r="E69" s="20"/>
      <c r="F69" s="20"/>
      <c r="G69" s="20"/>
      <c r="H69" s="18"/>
      <c r="I69" s="20"/>
      <c r="J69" s="20"/>
      <c r="K69" s="20"/>
      <c r="L69" s="20"/>
      <c r="P69" s="18"/>
      <c r="Q69" s="20"/>
      <c r="R69" s="22"/>
      <c r="S69" s="22"/>
      <c r="T69" s="22"/>
      <c r="U69" s="22"/>
      <c r="V69" s="18"/>
      <c r="W69" s="18"/>
      <c r="X69" s="18"/>
      <c r="Y69" s="383"/>
      <c r="Z69" s="11">
        <f>+Q24</f>
        <v>0</v>
      </c>
      <c r="AA69" s="55">
        <f>IF(ISTEXT(Z69),AA67,0)</f>
        <v>0</v>
      </c>
      <c r="AB69" s="55">
        <f>IF(ISTEXT(Z69),AB67,0)</f>
        <v>0</v>
      </c>
      <c r="AC69" s="56">
        <f>IF(ISTEXT(Z69),AC67,0)</f>
        <v>0</v>
      </c>
      <c r="AD69" s="6"/>
      <c r="AE69" s="11">
        <f>+T24</f>
        <v>0</v>
      </c>
      <c r="AF69" s="55">
        <f>IF(ISTEXT(AE69),AF67,0)</f>
        <v>0</v>
      </c>
      <c r="AG69" s="52">
        <f>IF(ISTEXT(AE69),AG67,0)</f>
        <v>0</v>
      </c>
      <c r="AH69" s="56">
        <f>IF(ISTEXT(AE69),AH67,0)</f>
        <v>0</v>
      </c>
      <c r="AI69" s="6"/>
      <c r="AJ69" s="11">
        <f>+W24</f>
        <v>0</v>
      </c>
      <c r="AK69" s="55">
        <f>IF(ISTEXT(AJ69),AK67,0)</f>
        <v>0</v>
      </c>
      <c r="AL69" s="52">
        <f>IF(ISTEXT(AJ69),AL67,0)</f>
        <v>0</v>
      </c>
      <c r="AM69" s="56">
        <f>IF(ISTEXT(AJ69),AM67,0)</f>
        <v>0</v>
      </c>
      <c r="AN69" s="18"/>
      <c r="AO69" s="18"/>
      <c r="AP69" s="326" t="s">
        <v>47</v>
      </c>
      <c r="AQ69" s="323"/>
      <c r="AR69" s="324"/>
      <c r="AS69" s="324"/>
      <c r="AT69" s="323"/>
      <c r="AU69" s="324"/>
      <c r="AV69" s="324"/>
      <c r="AW69" s="323"/>
      <c r="AX69" s="324"/>
      <c r="AY69" s="324"/>
      <c r="AZ69" s="323">
        <f>COUNTIF(AZ10:AZ63,6)</f>
        <v>0</v>
      </c>
      <c r="BA69" s="69"/>
      <c r="BB69" s="69"/>
      <c r="BC69" s="21">
        <f>COUNTIF(BC9:BC56,3)</f>
        <v>0</v>
      </c>
      <c r="BD69" s="200"/>
      <c r="BE69" s="200"/>
      <c r="BF69" s="21">
        <f>COUNTIF(BF9:BF56,3)</f>
        <v>0</v>
      </c>
      <c r="BG69" s="69"/>
      <c r="BH69" s="18"/>
      <c r="BI69" s="18"/>
      <c r="BJ69" s="18"/>
      <c r="BK69" s="18"/>
      <c r="BL69" s="18"/>
      <c r="BM69" s="22"/>
    </row>
    <row r="70" spans="1:65" ht="15.6" x14ac:dyDescent="0.3">
      <c r="A70" s="20"/>
      <c r="B70" s="22"/>
      <c r="C70" s="22"/>
      <c r="D70" s="20"/>
      <c r="E70" s="20"/>
      <c r="F70" s="20"/>
      <c r="G70" s="20"/>
      <c r="H70" s="18"/>
      <c r="I70" s="20"/>
      <c r="J70" s="20"/>
      <c r="K70" s="20"/>
      <c r="L70" s="20"/>
      <c r="P70" s="18"/>
      <c r="Q70" s="20"/>
      <c r="R70" s="22"/>
      <c r="S70" s="22"/>
      <c r="T70" s="22"/>
      <c r="U70" s="22"/>
      <c r="V70" s="18"/>
      <c r="W70" s="18"/>
      <c r="X70" s="18"/>
      <c r="Y70" s="383"/>
      <c r="Z70" s="24"/>
      <c r="AA70" s="16" t="s">
        <v>5</v>
      </c>
      <c r="AB70" s="16"/>
      <c r="AC70" s="17"/>
      <c r="AD70" s="1"/>
      <c r="AE70" s="24"/>
      <c r="AF70" s="16" t="s">
        <v>5</v>
      </c>
      <c r="AG70" s="16"/>
      <c r="AH70" s="17"/>
      <c r="AI70" s="1"/>
      <c r="AJ70" s="24"/>
      <c r="AK70" s="16" t="s">
        <v>5</v>
      </c>
      <c r="AL70" s="16"/>
      <c r="AM70" s="17"/>
      <c r="AN70" s="18"/>
      <c r="AO70" s="18"/>
      <c r="AP70" s="326" t="s">
        <v>45</v>
      </c>
      <c r="AQ70" s="323">
        <f>COUNTIF(AQ9:AQ56,3)</f>
        <v>15</v>
      </c>
      <c r="AR70" s="324"/>
      <c r="AS70" s="324"/>
      <c r="AT70" s="323">
        <f>COUNTIF(AT9:AT56,3)</f>
        <v>15</v>
      </c>
      <c r="AU70" s="324"/>
      <c r="AV70" s="324"/>
      <c r="AW70" s="323">
        <f>COUNTIF(AW9:AW56,3)</f>
        <v>15</v>
      </c>
      <c r="AX70" s="324"/>
      <c r="AY70" s="324"/>
      <c r="AZ70" s="323">
        <f>COUNTIF(AZ9:AZ62,7)</f>
        <v>14</v>
      </c>
      <c r="BA70" s="69"/>
      <c r="BB70" s="69"/>
      <c r="BC70" s="21">
        <f>COUNTIF(BC9:BC56,0)</f>
        <v>35</v>
      </c>
      <c r="BD70" s="200"/>
      <c r="BE70" s="200"/>
      <c r="BF70" s="21">
        <f>COUNTIF(BF9:BF56,0)</f>
        <v>0</v>
      </c>
      <c r="BG70" s="18"/>
      <c r="BH70" s="18"/>
      <c r="BI70" s="18"/>
      <c r="BJ70" s="18"/>
      <c r="BK70" s="18"/>
      <c r="BL70" s="18"/>
      <c r="BM70" s="22"/>
    </row>
    <row r="71" spans="1:65" ht="15.6" x14ac:dyDescent="0.3">
      <c r="A71" s="20"/>
      <c r="B71" s="22"/>
      <c r="C71" s="22"/>
      <c r="D71" s="20"/>
      <c r="E71" s="20"/>
      <c r="F71" s="20"/>
      <c r="G71" s="20"/>
      <c r="H71" s="18"/>
      <c r="I71" s="20"/>
      <c r="J71" s="20"/>
      <c r="K71" s="20"/>
      <c r="L71" s="20"/>
      <c r="P71" s="18"/>
      <c r="Q71" s="20"/>
      <c r="R71" s="22"/>
      <c r="S71" s="22"/>
      <c r="T71" s="22"/>
      <c r="U71" s="22"/>
      <c r="V71" s="18"/>
      <c r="W71" s="18"/>
      <c r="X71" s="18"/>
      <c r="Y71" s="383"/>
      <c r="Z71" s="11">
        <f>+O25</f>
        <v>0</v>
      </c>
      <c r="AA71" s="27">
        <v>0</v>
      </c>
      <c r="AB71" s="23">
        <f>IF(AA67+AA71=0,0,IF(AA67=AA71,2,IF(AA67&lt;AA71,3,1)))</f>
        <v>0</v>
      </c>
      <c r="AC71" s="12">
        <f>AA71-AA67</f>
        <v>0</v>
      </c>
      <c r="AD71" s="6"/>
      <c r="AE71" s="11">
        <f>+R25</f>
        <v>0</v>
      </c>
      <c r="AF71" s="108">
        <v>0</v>
      </c>
      <c r="AG71" s="23">
        <f>IF(AF67+AF71=0,0,IF(AF67=AF71,2,IF(AF67&lt;AF71,3,1)))</f>
        <v>0</v>
      </c>
      <c r="AH71" s="12">
        <f>AF71-AF67</f>
        <v>0</v>
      </c>
      <c r="AI71" s="6"/>
      <c r="AJ71" s="11">
        <f>+U25</f>
        <v>0</v>
      </c>
      <c r="AK71" s="29">
        <v>0</v>
      </c>
      <c r="AL71" s="23">
        <f>IF(AK67+AK71=0,0,IF(AK67=AK71,2,IF(AK67&lt;AK71,3,1)))</f>
        <v>0</v>
      </c>
      <c r="AM71" s="12">
        <f>AK71-AK67</f>
        <v>0</v>
      </c>
      <c r="AN71" s="18"/>
      <c r="AO71" s="18"/>
      <c r="AP71" s="326" t="s">
        <v>46</v>
      </c>
      <c r="AQ71" s="323">
        <f>COUNTIF(AQ9:AQ56,0)</f>
        <v>0</v>
      </c>
      <c r="AR71" s="324"/>
      <c r="AS71" s="324"/>
      <c r="AT71" s="323">
        <f>COUNTIF(AT9:AT56,0)</f>
        <v>0</v>
      </c>
      <c r="AU71" s="324"/>
      <c r="AV71" s="324"/>
      <c r="AW71" s="323">
        <f>COUNTIF(AW9:AW56,0)</f>
        <v>0</v>
      </c>
      <c r="AX71" s="324"/>
      <c r="AY71" s="324"/>
      <c r="AZ71" s="323">
        <f>COUNTIF(AZ10:AZ63,9)</f>
        <v>3</v>
      </c>
      <c r="BA71" s="69"/>
      <c r="BB71" s="69"/>
      <c r="BC71" s="21">
        <f>COUNTIF(BC9:BC63,#N/A)</f>
        <v>0</v>
      </c>
      <c r="BD71" s="200"/>
      <c r="BE71" s="200"/>
      <c r="BF71" s="21">
        <f>COUNTIF(BF9:BF63,#N/A)</f>
        <v>0</v>
      </c>
      <c r="BG71" s="18"/>
      <c r="BH71" s="18"/>
      <c r="BI71" s="18"/>
      <c r="BJ71" s="18"/>
      <c r="BK71" s="18"/>
      <c r="BL71" s="18"/>
      <c r="BM71" s="22"/>
    </row>
    <row r="72" spans="1:65" ht="16.2" thickBot="1" x14ac:dyDescent="0.35">
      <c r="A72" s="20"/>
      <c r="B72" s="22"/>
      <c r="C72" s="22"/>
      <c r="D72" s="20"/>
      <c r="E72" s="20"/>
      <c r="F72" s="20"/>
      <c r="G72" s="20"/>
      <c r="H72" s="18"/>
      <c r="I72" s="20"/>
      <c r="J72" s="20"/>
      <c r="K72" s="20"/>
      <c r="L72" s="20"/>
      <c r="P72" s="18"/>
      <c r="Q72" s="20"/>
      <c r="R72" s="22"/>
      <c r="S72" s="22"/>
      <c r="T72" s="22"/>
      <c r="U72" s="22"/>
      <c r="V72" s="18"/>
      <c r="W72" s="18"/>
      <c r="X72" s="18"/>
      <c r="Y72" s="383"/>
      <c r="Z72" s="11">
        <f>+P25</f>
        <v>0</v>
      </c>
      <c r="AA72" s="14">
        <f>IF(ISTEXT(Z72),AA71,0)</f>
        <v>0</v>
      </c>
      <c r="AB72" s="14">
        <f>IF(ISTEXT(Z72),AB71,0)</f>
        <v>0</v>
      </c>
      <c r="AC72" s="15">
        <f>IF(ISTEXT(Z72),AC71,0)</f>
        <v>0</v>
      </c>
      <c r="AD72" s="6"/>
      <c r="AE72" s="11">
        <f>+S25</f>
        <v>0</v>
      </c>
      <c r="AF72" s="14">
        <f>IF(ISTEXT(AE72),AF71,0)</f>
        <v>0</v>
      </c>
      <c r="AG72" s="14">
        <f>IF(ISTEXT(AE72),AG71,0)</f>
        <v>0</v>
      </c>
      <c r="AH72" s="15">
        <f>IF(ISTEXT(AE72),AH71,0)</f>
        <v>0</v>
      </c>
      <c r="AI72" s="6"/>
      <c r="AJ72" s="11">
        <f>+V25</f>
        <v>0</v>
      </c>
      <c r="AK72" s="14">
        <f>IF(ISTEXT(AJ72),AK71,0)</f>
        <v>0</v>
      </c>
      <c r="AL72" s="14">
        <f>IF(ISTEXT(AJ72),AL71,0)</f>
        <v>0</v>
      </c>
      <c r="AM72" s="15">
        <f>IF(ISTEXT(AJ72),AM71,0)</f>
        <v>0</v>
      </c>
      <c r="AN72" s="18"/>
      <c r="AO72" s="18"/>
      <c r="AP72" s="326" t="e">
        <v>#N/A</v>
      </c>
      <c r="AQ72" s="323">
        <f>COUNTIF(AQ9:AQ63,#N/A)</f>
        <v>0</v>
      </c>
      <c r="AR72" s="324"/>
      <c r="AS72" s="324"/>
      <c r="AT72" s="323">
        <f>COUNTIF(AT9:AT63,#N/A)</f>
        <v>0</v>
      </c>
      <c r="AU72" s="324"/>
      <c r="AV72" s="324"/>
      <c r="AW72" s="323">
        <f>COUNTIF(AW9:AW63,#N/A)</f>
        <v>0</v>
      </c>
      <c r="AX72" s="324"/>
      <c r="AY72" s="324"/>
      <c r="AZ72" s="323">
        <f>COUNTIF(AZ9:AZ62,#N/A)</f>
        <v>0</v>
      </c>
      <c r="BA72" s="69"/>
      <c r="BB72" s="69"/>
      <c r="BC72" s="21">
        <f>SUM(BC67:BC71)</f>
        <v>35</v>
      </c>
      <c r="BD72" s="21"/>
      <c r="BE72" s="21"/>
      <c r="BF72" s="21">
        <f>SUM(BF67:BF71)</f>
        <v>0</v>
      </c>
      <c r="BG72" s="18"/>
      <c r="BH72" s="18"/>
      <c r="BI72" s="18"/>
      <c r="BJ72" s="18"/>
      <c r="BK72" s="18"/>
      <c r="BL72" s="18"/>
      <c r="BM72" s="22"/>
    </row>
    <row r="73" spans="1:65" ht="16.2" thickBot="1" x14ac:dyDescent="0.35">
      <c r="A73" s="20"/>
      <c r="B73" s="22"/>
      <c r="C73" s="22"/>
      <c r="D73" s="20"/>
      <c r="E73" s="20"/>
      <c r="F73" s="20"/>
      <c r="G73" s="20"/>
      <c r="H73" s="18"/>
      <c r="I73" s="20"/>
      <c r="J73" s="20"/>
      <c r="K73" s="20"/>
      <c r="L73" s="20"/>
      <c r="P73" s="18"/>
      <c r="Q73" s="20"/>
      <c r="R73" s="22"/>
      <c r="S73" s="22"/>
      <c r="T73" s="22"/>
      <c r="U73" s="22"/>
      <c r="V73" s="18"/>
      <c r="W73" s="18"/>
      <c r="X73" s="18"/>
      <c r="Y73" s="384"/>
      <c r="Z73" s="13">
        <f>+Q25</f>
        <v>0</v>
      </c>
      <c r="AA73" s="14">
        <f>IF(ISTEXT(Z73),AA71,0)</f>
        <v>0</v>
      </c>
      <c r="AB73" s="14">
        <f>IF(ISTEXT(Z73),AB71,0)</f>
        <v>0</v>
      </c>
      <c r="AC73" s="15">
        <f>IF(ISTEXT(Z73),AC71,0)</f>
        <v>0</v>
      </c>
      <c r="AD73" s="6"/>
      <c r="AE73" s="13">
        <f>+T25</f>
        <v>0</v>
      </c>
      <c r="AF73" s="14">
        <f>IF(ISTEXT(AE73),AF71,0)</f>
        <v>0</v>
      </c>
      <c r="AG73" s="14">
        <f>IF(ISTEXT(AE73),AG71,0)</f>
        <v>0</v>
      </c>
      <c r="AH73" s="15">
        <f>IF(ISTEXT(AE73),AH71,0)</f>
        <v>0</v>
      </c>
      <c r="AI73" s="6"/>
      <c r="AJ73" s="13">
        <f>+W25</f>
        <v>0</v>
      </c>
      <c r="AK73" s="14">
        <f>IF(ISTEXT(AJ73),AK71,0)</f>
        <v>0</v>
      </c>
      <c r="AL73" s="14">
        <f>IF(ISTEXT(AJ73),AL71,0)</f>
        <v>0</v>
      </c>
      <c r="AM73" s="15">
        <f>IF(ISTEXT(AJ73),AM71,0)</f>
        <v>0</v>
      </c>
      <c r="AN73" s="18"/>
      <c r="AO73" s="18"/>
      <c r="AP73" s="326"/>
      <c r="AQ73" s="323">
        <f>SUM(AQ67:AQ72)</f>
        <v>30</v>
      </c>
      <c r="AR73" s="323"/>
      <c r="AS73" s="323"/>
      <c r="AT73" s="323">
        <f>SUM(AT67:AT72)</f>
        <v>30</v>
      </c>
      <c r="AU73" s="323"/>
      <c r="AV73" s="323"/>
      <c r="AW73" s="323">
        <f>SUM(AW67:AW72)</f>
        <v>30</v>
      </c>
      <c r="AX73" s="324"/>
      <c r="AY73" s="324"/>
      <c r="AZ73" s="323">
        <f>SUM(AZ67:AZ72)</f>
        <v>30</v>
      </c>
      <c r="BA73" s="18"/>
      <c r="BB73" s="18"/>
      <c r="BC73" s="18"/>
      <c r="BD73" s="18"/>
      <c r="BE73" s="18"/>
      <c r="BF73" s="18"/>
      <c r="BG73" s="18"/>
      <c r="BH73" s="18"/>
      <c r="BI73" s="18"/>
      <c r="BJ73" s="22"/>
      <c r="BK73" s="22"/>
      <c r="BL73" s="22"/>
      <c r="BM73" s="22"/>
    </row>
    <row r="74" spans="1:65" ht="16.2" thickBot="1" x14ac:dyDescent="0.35">
      <c r="A74" s="20"/>
      <c r="B74" s="22"/>
      <c r="C74" s="22"/>
      <c r="D74" s="20"/>
      <c r="E74" s="20"/>
      <c r="F74" s="20"/>
      <c r="G74" s="20"/>
      <c r="H74" s="18"/>
      <c r="I74" s="20"/>
      <c r="J74" s="20"/>
      <c r="K74" s="20"/>
      <c r="L74" s="20"/>
      <c r="P74" s="18"/>
      <c r="Q74" s="20"/>
      <c r="R74" s="22"/>
      <c r="S74" s="22"/>
      <c r="T74" s="22"/>
      <c r="U74" s="22"/>
      <c r="V74" s="18"/>
      <c r="W74" s="18"/>
      <c r="X74" s="18"/>
      <c r="Y74" s="20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22"/>
      <c r="BK74" s="22"/>
      <c r="BL74" s="22"/>
      <c r="BM74" s="22"/>
    </row>
    <row r="75" spans="1:65" ht="15.6" x14ac:dyDescent="0.3">
      <c r="A75" s="20"/>
      <c r="B75" s="22"/>
      <c r="C75" s="22"/>
      <c r="D75" s="20"/>
      <c r="E75" s="20"/>
      <c r="F75" s="20"/>
      <c r="G75" s="20"/>
      <c r="H75" s="18"/>
      <c r="I75" s="20"/>
      <c r="J75" s="20"/>
      <c r="K75" s="20"/>
      <c r="L75" s="20"/>
      <c r="P75" s="18"/>
      <c r="Q75" s="20"/>
      <c r="R75" s="22"/>
      <c r="S75" s="22"/>
      <c r="T75" s="22"/>
      <c r="U75" s="22"/>
      <c r="V75" s="18"/>
      <c r="W75" s="18"/>
      <c r="X75" s="18"/>
      <c r="Y75" s="382">
        <v>9</v>
      </c>
      <c r="Z75" s="9">
        <f>+O26</f>
        <v>0</v>
      </c>
      <c r="AA75" s="25">
        <v>0</v>
      </c>
      <c r="AB75" s="38">
        <f>IF(AA75+AA79=0,0,IF(AA75=AA79,2,IF(AA75&gt;AA79,3,1)))</f>
        <v>0</v>
      </c>
      <c r="AC75" s="10">
        <f>AA75-AA79</f>
        <v>0</v>
      </c>
      <c r="AD75" s="6"/>
      <c r="AE75" s="9">
        <f>+R26</f>
        <v>0</v>
      </c>
      <c r="AF75" s="107">
        <v>0</v>
      </c>
      <c r="AG75" s="38">
        <f>IF(AF75+AF79=0,0,IF(AF75=AF79,2,IF(AF75&gt;AF79,3,1)))</f>
        <v>0</v>
      </c>
      <c r="AH75" s="10">
        <f>AF75-AF79</f>
        <v>0</v>
      </c>
      <c r="AI75" s="6"/>
      <c r="AJ75" s="9">
        <f>+U26</f>
        <v>0</v>
      </c>
      <c r="AK75" s="28">
        <v>0</v>
      </c>
      <c r="AL75" s="38">
        <f>IF(AK75+AK79=0,0,IF(AK75=AK79,2,IF(AK75&gt;AK79,3,1)))</f>
        <v>0</v>
      </c>
      <c r="AM75" s="10">
        <f>AK75-AK79</f>
        <v>0</v>
      </c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22"/>
      <c r="BK75" s="22"/>
      <c r="BL75" s="22"/>
      <c r="BM75" s="22"/>
    </row>
    <row r="76" spans="1:65" ht="16.2" thickBot="1" x14ac:dyDescent="0.35">
      <c r="A76" s="20"/>
      <c r="B76" s="22"/>
      <c r="C76" s="22"/>
      <c r="D76" s="20"/>
      <c r="E76" s="20"/>
      <c r="F76" s="20"/>
      <c r="G76" s="20"/>
      <c r="H76" s="18"/>
      <c r="I76" s="20"/>
      <c r="J76" s="20"/>
      <c r="K76" s="20"/>
      <c r="L76" s="20"/>
      <c r="P76" s="18"/>
      <c r="Q76" s="20"/>
      <c r="R76" s="22"/>
      <c r="S76" s="22"/>
      <c r="T76" s="22"/>
      <c r="U76" s="22"/>
      <c r="V76" s="18"/>
      <c r="W76" s="18"/>
      <c r="X76" s="18"/>
      <c r="Y76" s="383"/>
      <c r="Z76" s="11">
        <f>+P26</f>
        <v>0</v>
      </c>
      <c r="AA76" s="14">
        <f>IF(ISTEXT(Z76),AA75,0)</f>
        <v>0</v>
      </c>
      <c r="AB76" s="14">
        <f>IF(ISTEXT(Z76),AB75,0)</f>
        <v>0</v>
      </c>
      <c r="AC76" s="15">
        <f>IF(ISTEXT(Z76),AC75,0)</f>
        <v>0</v>
      </c>
      <c r="AD76" s="6"/>
      <c r="AE76" s="11">
        <f>+S26</f>
        <v>0</v>
      </c>
      <c r="AF76" s="14">
        <f>IF(ISTEXT(AE76),AF75,0)</f>
        <v>0</v>
      </c>
      <c r="AG76" s="48">
        <f>IF(ISTEXT(AE76),AG75,0)</f>
        <v>0</v>
      </c>
      <c r="AH76" s="15">
        <f>IF(ISTEXT(AE76),AH75,0)</f>
        <v>0</v>
      </c>
      <c r="AI76" s="6"/>
      <c r="AJ76" s="11">
        <f>+V26</f>
        <v>0</v>
      </c>
      <c r="AK76" s="14">
        <f>IF(ISTEXT(AJ76),AK75,0)</f>
        <v>0</v>
      </c>
      <c r="AL76" s="48">
        <f>IF(ISTEXT(AJ76),AL75,0)</f>
        <v>0</v>
      </c>
      <c r="AM76" s="15">
        <f>IF(ISTEXT(AJ76),AM75,0)</f>
        <v>0</v>
      </c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22"/>
      <c r="BK76" s="22"/>
      <c r="BL76" s="22"/>
      <c r="BM76" s="22"/>
    </row>
    <row r="77" spans="1:65" ht="15.6" x14ac:dyDescent="0.3">
      <c r="A77" s="20"/>
      <c r="B77" s="22"/>
      <c r="C77" s="22"/>
      <c r="D77" s="20"/>
      <c r="E77" s="20"/>
      <c r="F77" s="20"/>
      <c r="G77" s="20"/>
      <c r="H77" s="18"/>
      <c r="I77" s="20"/>
      <c r="J77" s="20"/>
      <c r="K77" s="20"/>
      <c r="L77" s="20"/>
      <c r="P77" s="18"/>
      <c r="Q77" s="20"/>
      <c r="R77" s="22"/>
      <c r="S77" s="22"/>
      <c r="T77" s="22"/>
      <c r="U77" s="22"/>
      <c r="V77" s="18"/>
      <c r="W77" s="18"/>
      <c r="X77" s="18"/>
      <c r="Y77" s="383"/>
      <c r="Z77" s="11">
        <f>+Q26</f>
        <v>0</v>
      </c>
      <c r="AA77" s="55">
        <f>IF(ISTEXT(Z77),AA75,0)</f>
        <v>0</v>
      </c>
      <c r="AB77" s="55">
        <f>IF(ISTEXT(Z77),AB75,0)</f>
        <v>0</v>
      </c>
      <c r="AC77" s="56">
        <f>IF(ISTEXT(Z77),AC75,0)</f>
        <v>0</v>
      </c>
      <c r="AD77" s="6"/>
      <c r="AE77" s="11">
        <f>+T26</f>
        <v>0</v>
      </c>
      <c r="AF77" s="55">
        <f>IF(ISTEXT(AE77),AF75,0)</f>
        <v>0</v>
      </c>
      <c r="AG77" s="52">
        <f>IF(ISTEXT(AE77),AG75,0)</f>
        <v>0</v>
      </c>
      <c r="AH77" s="56">
        <f>IF(ISTEXT(AE77),AH75,0)</f>
        <v>0</v>
      </c>
      <c r="AI77" s="6"/>
      <c r="AJ77" s="11">
        <f>+W26</f>
        <v>0</v>
      </c>
      <c r="AK77" s="55">
        <f>IF(ISTEXT(AJ77),AK75,0)</f>
        <v>0</v>
      </c>
      <c r="AL77" s="52">
        <f>IF(ISTEXT(AJ77),AL75,0)</f>
        <v>0</v>
      </c>
      <c r="AM77" s="56">
        <f>IF(ISTEXT(AJ77),AM75,0)</f>
        <v>0</v>
      </c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22"/>
      <c r="BK77" s="22"/>
      <c r="BL77" s="22"/>
      <c r="BM77" s="22"/>
    </row>
    <row r="78" spans="1:65" ht="15.6" x14ac:dyDescent="0.3">
      <c r="A78" s="20"/>
      <c r="B78" s="22"/>
      <c r="C78" s="22"/>
      <c r="D78" s="20"/>
      <c r="E78" s="20"/>
      <c r="F78" s="20"/>
      <c r="G78" s="20"/>
      <c r="H78" s="18"/>
      <c r="I78" s="20"/>
      <c r="J78" s="20"/>
      <c r="K78" s="20"/>
      <c r="L78" s="20"/>
      <c r="P78" s="18"/>
      <c r="Q78" s="20"/>
      <c r="R78" s="22"/>
      <c r="S78" s="22"/>
      <c r="T78" s="22"/>
      <c r="U78" s="22"/>
      <c r="V78" s="18"/>
      <c r="W78" s="18"/>
      <c r="X78" s="18"/>
      <c r="Y78" s="383"/>
      <c r="Z78" s="24"/>
      <c r="AA78" s="16" t="s">
        <v>5</v>
      </c>
      <c r="AB78" s="16"/>
      <c r="AC78" s="17"/>
      <c r="AD78" s="1"/>
      <c r="AE78" s="24"/>
      <c r="AF78" s="16" t="s">
        <v>5</v>
      </c>
      <c r="AG78" s="16"/>
      <c r="AH78" s="17"/>
      <c r="AI78" s="1"/>
      <c r="AJ78" s="24"/>
      <c r="AK78" s="16" t="s">
        <v>5</v>
      </c>
      <c r="AL78" s="16"/>
      <c r="AM78" s="17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22"/>
      <c r="BK78" s="22"/>
      <c r="BL78" s="22"/>
      <c r="BM78" s="22"/>
    </row>
    <row r="79" spans="1:65" ht="15.6" x14ac:dyDescent="0.3">
      <c r="A79" s="20"/>
      <c r="B79" s="22"/>
      <c r="C79" s="22"/>
      <c r="D79" s="20"/>
      <c r="E79" s="20"/>
      <c r="F79" s="20"/>
      <c r="G79" s="20"/>
      <c r="H79" s="18"/>
      <c r="I79" s="20"/>
      <c r="J79" s="20"/>
      <c r="K79" s="20"/>
      <c r="L79" s="20"/>
      <c r="P79" s="18"/>
      <c r="Q79" s="20"/>
      <c r="R79" s="22"/>
      <c r="S79" s="22"/>
      <c r="T79" s="22"/>
      <c r="U79" s="22"/>
      <c r="V79" s="18"/>
      <c r="W79" s="18"/>
      <c r="X79" s="18"/>
      <c r="Y79" s="383"/>
      <c r="Z79" s="11">
        <f>+O27</f>
        <v>0</v>
      </c>
      <c r="AA79" s="27">
        <v>0</v>
      </c>
      <c r="AB79" s="23">
        <f>IF(AA75+AA79=0,0,IF(AA75=AA79,2,IF(AA75&lt;AA79,3,1)))</f>
        <v>0</v>
      </c>
      <c r="AC79" s="12">
        <f>AA79-AA75</f>
        <v>0</v>
      </c>
      <c r="AD79" s="6"/>
      <c r="AE79" s="11">
        <f>+R27</f>
        <v>0</v>
      </c>
      <c r="AF79" s="108">
        <v>0</v>
      </c>
      <c r="AG79" s="23">
        <f>IF(AF75+AF79=0,0,IF(AF75=AF79,2,IF(AF75&lt;AF79,3,1)))</f>
        <v>0</v>
      </c>
      <c r="AH79" s="12">
        <f>AF79-AF75</f>
        <v>0</v>
      </c>
      <c r="AI79" s="6"/>
      <c r="AJ79" s="11">
        <f>+U27</f>
        <v>0</v>
      </c>
      <c r="AK79" s="29">
        <v>0</v>
      </c>
      <c r="AL79" s="23">
        <f>IF(AK75+AK79=0,0,IF(AK75=AK79,2,IF(AK75&lt;AK79,3,1)))</f>
        <v>0</v>
      </c>
      <c r="AM79" s="12">
        <f>AK79-AK75</f>
        <v>0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22"/>
      <c r="BK79" s="22"/>
      <c r="BL79" s="22"/>
      <c r="BM79" s="22"/>
    </row>
    <row r="80" spans="1:65" ht="16.2" thickBot="1" x14ac:dyDescent="0.35">
      <c r="A80" s="20"/>
      <c r="B80" s="22"/>
      <c r="C80" s="22"/>
      <c r="D80" s="20"/>
      <c r="E80" s="20"/>
      <c r="F80" s="20"/>
      <c r="G80" s="20"/>
      <c r="H80" s="18"/>
      <c r="I80" s="20"/>
      <c r="J80" s="20"/>
      <c r="K80" s="20"/>
      <c r="L80" s="20"/>
      <c r="P80" s="18"/>
      <c r="Q80" s="20"/>
      <c r="R80" s="22"/>
      <c r="S80" s="22"/>
      <c r="T80" s="22"/>
      <c r="U80" s="22"/>
      <c r="V80" s="18"/>
      <c r="W80" s="18"/>
      <c r="X80" s="18"/>
      <c r="Y80" s="383"/>
      <c r="Z80" s="11">
        <f>+P27</f>
        <v>0</v>
      </c>
      <c r="AA80" s="14">
        <f>IF(ISTEXT(Z80),AA79,0)</f>
        <v>0</v>
      </c>
      <c r="AB80" s="14">
        <f>IF(ISTEXT(Z80),AB79,0)</f>
        <v>0</v>
      </c>
      <c r="AC80" s="15">
        <f>IF(ISTEXT(Z80),AC79,0)</f>
        <v>0</v>
      </c>
      <c r="AD80" s="6"/>
      <c r="AE80" s="11">
        <f>+S27</f>
        <v>0</v>
      </c>
      <c r="AF80" s="14">
        <f>IF(ISTEXT(AE80),AF79,0)</f>
        <v>0</v>
      </c>
      <c r="AG80" s="14">
        <f>IF(ISTEXT(AE80),AG79,0)</f>
        <v>0</v>
      </c>
      <c r="AH80" s="15">
        <f>IF(ISTEXT(AE80),AH79,0)</f>
        <v>0</v>
      </c>
      <c r="AI80" s="6"/>
      <c r="AJ80" s="11">
        <f>+V27</f>
        <v>0</v>
      </c>
      <c r="AK80" s="14">
        <f>IF(ISTEXT(AJ80),AK79,0)</f>
        <v>0</v>
      </c>
      <c r="AL80" s="14">
        <f>IF(ISTEXT(AJ80),AL79,0)</f>
        <v>0</v>
      </c>
      <c r="AM80" s="15">
        <f>IF(ISTEXT(AJ80),AM79,0)</f>
        <v>0</v>
      </c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22"/>
      <c r="BK80" s="22"/>
      <c r="BL80" s="22"/>
      <c r="BM80" s="22"/>
    </row>
    <row r="81" spans="1:65" ht="16.2" thickBot="1" x14ac:dyDescent="0.35">
      <c r="A81" s="20"/>
      <c r="B81" s="22"/>
      <c r="C81" s="22"/>
      <c r="D81" s="20"/>
      <c r="E81" s="20"/>
      <c r="F81" s="20"/>
      <c r="G81" s="20"/>
      <c r="H81" s="18"/>
      <c r="I81" s="20"/>
      <c r="J81" s="20"/>
      <c r="K81" s="20"/>
      <c r="L81" s="20"/>
      <c r="P81" s="18"/>
      <c r="Q81" s="20"/>
      <c r="R81" s="22"/>
      <c r="S81" s="22"/>
      <c r="T81" s="22"/>
      <c r="U81" s="22"/>
      <c r="V81" s="18"/>
      <c r="W81" s="18"/>
      <c r="X81" s="18"/>
      <c r="Y81" s="384"/>
      <c r="Z81" s="13">
        <f>+Q27</f>
        <v>0</v>
      </c>
      <c r="AA81" s="14">
        <f>IF(ISTEXT(Z81),AA79,0)</f>
        <v>0</v>
      </c>
      <c r="AB81" s="14">
        <f>IF(ISTEXT(Z81),AB79,0)</f>
        <v>0</v>
      </c>
      <c r="AC81" s="15">
        <f>IF(ISTEXT(Z81),AC79,0)</f>
        <v>0</v>
      </c>
      <c r="AD81" s="6"/>
      <c r="AE81" s="13">
        <f>+T27</f>
        <v>0</v>
      </c>
      <c r="AF81" s="14">
        <f>IF(ISTEXT(AE81),AF79,0)</f>
        <v>0</v>
      </c>
      <c r="AG81" s="14">
        <f>IF(ISTEXT(AE81),AG79,0)</f>
        <v>0</v>
      </c>
      <c r="AH81" s="15">
        <f>IF(ISTEXT(AE81),AH79,0)</f>
        <v>0</v>
      </c>
      <c r="AI81" s="6"/>
      <c r="AJ81" s="13">
        <f>+W27</f>
        <v>0</v>
      </c>
      <c r="AK81" s="14">
        <f>IF(ISTEXT(AJ81),AK79,0)</f>
        <v>0</v>
      </c>
      <c r="AL81" s="14">
        <f>IF(ISTEXT(AJ81),AL79,0)</f>
        <v>0</v>
      </c>
      <c r="AM81" s="15">
        <f>IF(ISTEXT(AJ81),AM79,0)</f>
        <v>0</v>
      </c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22"/>
      <c r="BK81" s="22"/>
      <c r="BL81" s="22"/>
      <c r="BM81" s="22"/>
    </row>
    <row r="82" spans="1:65" ht="15.6" x14ac:dyDescent="0.3">
      <c r="A82" s="20"/>
      <c r="B82" s="22"/>
      <c r="C82" s="22"/>
      <c r="D82" s="20"/>
      <c r="E82" s="20"/>
      <c r="F82" s="20"/>
      <c r="G82" s="20"/>
      <c r="H82" s="18"/>
      <c r="I82" s="20"/>
      <c r="J82" s="20"/>
      <c r="K82" s="20"/>
      <c r="L82" s="20"/>
      <c r="P82" s="18"/>
      <c r="Q82" s="20"/>
      <c r="R82" s="22"/>
      <c r="S82" s="22"/>
      <c r="T82" s="22"/>
      <c r="U82" s="22"/>
      <c r="V82" s="18"/>
      <c r="W82" s="18"/>
      <c r="X82" s="18"/>
      <c r="Y82" s="20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</row>
    <row r="83" spans="1:65" ht="15.6" x14ac:dyDescent="0.3">
      <c r="A83" s="20"/>
      <c r="B83" s="22"/>
      <c r="C83" s="22"/>
      <c r="D83" s="20"/>
      <c r="E83" s="20"/>
      <c r="F83" s="20"/>
      <c r="G83" s="20"/>
      <c r="H83" s="18"/>
      <c r="I83" s="20"/>
      <c r="J83" s="20"/>
      <c r="K83" s="20"/>
      <c r="L83" s="20"/>
      <c r="P83" s="18"/>
      <c r="Q83" s="20"/>
      <c r="R83" s="22"/>
      <c r="S83" s="22"/>
      <c r="T83" s="22"/>
      <c r="U83" s="22"/>
      <c r="V83" s="18"/>
      <c r="W83" s="18"/>
      <c r="X83" s="18"/>
      <c r="Y83" s="20"/>
      <c r="Z83" s="4"/>
      <c r="AA83" s="4"/>
      <c r="AB83" s="1">
        <f t="array" ref="AB83">SUM(AB11:AB81)</f>
        <v>60</v>
      </c>
      <c r="AC83" s="1">
        <f t="array" ref="AC83">SUM(AC11:AC81)</f>
        <v>0</v>
      </c>
      <c r="AD83" s="18"/>
      <c r="AE83" s="18"/>
      <c r="AF83" s="18"/>
      <c r="AG83" s="1">
        <f t="array" ref="AG83">SUM(AG11:AG81)</f>
        <v>60</v>
      </c>
      <c r="AH83" s="1">
        <f t="array" ref="AH83">SUM(AH11:AH81)</f>
        <v>0</v>
      </c>
      <c r="AI83" s="18"/>
      <c r="AJ83" s="18"/>
      <c r="AK83" s="18"/>
      <c r="AL83" s="1">
        <f t="array" ref="AL83">SUM(AL11:AL81)</f>
        <v>60</v>
      </c>
      <c r="AM83" s="1">
        <f t="array" ref="AM83">SUM(AM11:AM81)</f>
        <v>0</v>
      </c>
      <c r="AN83" s="18"/>
      <c r="AO83" s="18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</row>
    <row r="84" spans="1:65" ht="15.6" x14ac:dyDescent="0.3">
      <c r="A84" s="20"/>
      <c r="B84" s="22"/>
      <c r="C84" s="22"/>
      <c r="D84" s="20"/>
      <c r="E84" s="20"/>
      <c r="F84" s="20"/>
      <c r="G84" s="20"/>
      <c r="H84" s="18"/>
      <c r="I84" s="20"/>
      <c r="J84" s="20"/>
      <c r="K84" s="20"/>
      <c r="L84" s="20"/>
      <c r="P84" s="18"/>
      <c r="Q84" s="20"/>
      <c r="R84" s="22"/>
      <c r="S84" s="22"/>
      <c r="T84" s="22"/>
      <c r="U84" s="22"/>
      <c r="V84" s="18"/>
      <c r="W84" s="18"/>
      <c r="X84" s="18"/>
      <c r="Y84" s="20"/>
      <c r="Z84" s="4"/>
      <c r="AA84" s="4"/>
      <c r="AB84" s="4"/>
      <c r="AC84" s="1" t="str">
        <f>IF(AC83=0,"OK","ERREUR")</f>
        <v>OK</v>
      </c>
      <c r="AD84" s="18"/>
      <c r="AE84" s="18"/>
      <c r="AF84" s="18"/>
      <c r="AG84" s="4"/>
      <c r="AH84" s="1" t="str">
        <f>IF(AH83=0,"OK","ERREUR")</f>
        <v>OK</v>
      </c>
      <c r="AI84" s="18"/>
      <c r="AJ84" s="18"/>
      <c r="AK84" s="18"/>
      <c r="AL84" s="4"/>
      <c r="AM84" s="1" t="str">
        <f>IF(AM83=0,"OK","ERREUR")</f>
        <v>OK</v>
      </c>
      <c r="AN84" s="18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</row>
    <row r="85" spans="1:65" ht="15.6" x14ac:dyDescent="0.3">
      <c r="A85" s="20"/>
      <c r="B85" s="22"/>
      <c r="C85" s="22"/>
      <c r="D85" s="20"/>
      <c r="E85" s="20"/>
      <c r="F85" s="20"/>
      <c r="G85" s="20"/>
      <c r="H85" s="18"/>
      <c r="I85" s="20"/>
      <c r="J85" s="20"/>
      <c r="K85" s="20"/>
      <c r="L85" s="20"/>
      <c r="P85" s="18"/>
      <c r="Q85" s="20"/>
      <c r="R85" s="22"/>
      <c r="S85" s="22"/>
      <c r="T85" s="22"/>
      <c r="U85" s="22"/>
      <c r="V85" s="18"/>
      <c r="W85" s="18"/>
      <c r="X85" s="18"/>
      <c r="Y85" s="20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</row>
    <row r="86" spans="1:65" ht="15.6" x14ac:dyDescent="0.3">
      <c r="A86" s="20"/>
      <c r="B86" s="22"/>
      <c r="C86" s="22"/>
      <c r="D86" s="20"/>
      <c r="E86" s="20"/>
      <c r="F86" s="20"/>
      <c r="G86" s="20"/>
      <c r="H86" s="18"/>
      <c r="I86" s="20"/>
      <c r="J86" s="20"/>
      <c r="K86" s="20"/>
      <c r="L86" s="20"/>
      <c r="P86" s="18"/>
      <c r="Q86" s="20"/>
      <c r="R86" s="22"/>
      <c r="S86" s="22"/>
      <c r="T86" s="22"/>
      <c r="U86" s="22"/>
      <c r="V86" s="18"/>
      <c r="W86" s="18"/>
      <c r="X86" s="18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</row>
    <row r="87" spans="1:65" ht="15.6" x14ac:dyDescent="0.3">
      <c r="A87" s="20"/>
      <c r="B87" s="22"/>
      <c r="C87" s="22"/>
      <c r="D87" s="20"/>
      <c r="E87" s="20"/>
      <c r="F87" s="20"/>
      <c r="G87" s="20"/>
      <c r="H87" s="18"/>
      <c r="I87" s="20"/>
      <c r="J87" s="20"/>
      <c r="K87" s="20"/>
      <c r="L87" s="20"/>
      <c r="P87" s="18"/>
      <c r="Q87" s="20"/>
      <c r="R87" s="22"/>
      <c r="S87" s="22"/>
      <c r="T87" s="22"/>
      <c r="U87" s="22"/>
      <c r="V87" s="18"/>
      <c r="W87" s="18"/>
      <c r="X87" s="18"/>
      <c r="AN87" s="22"/>
      <c r="AO87" s="22"/>
      <c r="BM87" s="22"/>
    </row>
    <row r="88" spans="1:65" ht="15.6" x14ac:dyDescent="0.3">
      <c r="A88" s="20"/>
      <c r="B88" s="22"/>
      <c r="C88" s="22"/>
      <c r="D88" s="20"/>
      <c r="E88" s="20"/>
      <c r="F88" s="20"/>
      <c r="G88" s="20"/>
      <c r="H88" s="18"/>
      <c r="I88" s="20"/>
      <c r="J88" s="20"/>
      <c r="K88" s="20"/>
      <c r="L88" s="20"/>
      <c r="P88" s="18"/>
      <c r="Q88" s="20"/>
      <c r="R88" s="22"/>
      <c r="S88" s="22"/>
      <c r="T88" s="22"/>
      <c r="U88" s="22"/>
      <c r="V88" s="18"/>
      <c r="W88" s="18"/>
      <c r="X88" s="18"/>
      <c r="AN88" s="22"/>
      <c r="AO88" s="22"/>
      <c r="BM88" s="22"/>
    </row>
    <row r="89" spans="1:65" ht="15.6" x14ac:dyDescent="0.3">
      <c r="A89" s="20"/>
      <c r="B89" s="22"/>
      <c r="C89" s="22"/>
      <c r="D89" s="20"/>
      <c r="E89" s="20"/>
      <c r="F89" s="20"/>
      <c r="G89" s="20"/>
      <c r="H89" s="18"/>
      <c r="I89" s="20"/>
      <c r="J89" s="20"/>
      <c r="K89" s="20"/>
      <c r="L89" s="20"/>
      <c r="P89" s="18"/>
      <c r="Q89" s="20"/>
      <c r="R89" s="22"/>
      <c r="S89" s="22"/>
      <c r="T89" s="22"/>
      <c r="U89" s="22"/>
      <c r="V89" s="18"/>
      <c r="W89" s="18"/>
      <c r="X89" s="18"/>
      <c r="AN89" s="22"/>
      <c r="BM89" s="22"/>
    </row>
  </sheetData>
  <sheetProtection sheet="1" objects="1" scenarios="1" formatCells="0" formatColumns="0" formatRows="0" insertColumns="0" insertRows="0" insertHyperlinks="0" deleteColumns="0" deleteRows="0" sort="0"/>
  <mergeCells count="34">
    <mergeCell ref="T5:T6"/>
    <mergeCell ref="O8:W8"/>
    <mergeCell ref="B1:D1"/>
    <mergeCell ref="Q3:R3"/>
    <mergeCell ref="D7:E7"/>
    <mergeCell ref="D8:E8"/>
    <mergeCell ref="Q5:Q6"/>
    <mergeCell ref="S5:S6"/>
    <mergeCell ref="B5:D5"/>
    <mergeCell ref="N1:P1"/>
    <mergeCell ref="B9:C9"/>
    <mergeCell ref="D9:E9"/>
    <mergeCell ref="F9:G9"/>
    <mergeCell ref="J9:L9"/>
    <mergeCell ref="O9:Q9"/>
    <mergeCell ref="R9:T9"/>
    <mergeCell ref="U9:W9"/>
    <mergeCell ref="AZ7:BB7"/>
    <mergeCell ref="BH7:BL7"/>
    <mergeCell ref="Z7:AC7"/>
    <mergeCell ref="AE7:AH7"/>
    <mergeCell ref="AJ7:AM7"/>
    <mergeCell ref="AQ7:AS7"/>
    <mergeCell ref="AT7:AV7"/>
    <mergeCell ref="AW7:AY7"/>
    <mergeCell ref="Y51:Y57"/>
    <mergeCell ref="Y59:Y65"/>
    <mergeCell ref="Y67:Y73"/>
    <mergeCell ref="Y75:Y81"/>
    <mergeCell ref="Y11:Y17"/>
    <mergeCell ref="Y19:Y25"/>
    <mergeCell ref="Y27:Y33"/>
    <mergeCell ref="Y35:Y41"/>
    <mergeCell ref="Y43:Y49"/>
  </mergeCells>
  <conditionalFormatting sqref="C10:C27 E10:E27 G10:G27">
    <cfRule type="cellIs" dxfId="80" priority="50" operator="equal">
      <formula>0</formula>
    </cfRule>
  </conditionalFormatting>
  <conditionalFormatting sqref="O10:W27">
    <cfRule type="cellIs" dxfId="79" priority="51" operator="equal">
      <formula>0</formula>
    </cfRule>
  </conditionalFormatting>
  <conditionalFormatting sqref="AC83 AM83">
    <cfRule type="colorScale" priority="39">
      <colorScale>
        <cfvo type="num" val="-1"/>
        <cfvo type="num" val="0"/>
        <cfvo type="num" val="1"/>
        <color rgb="FFFFC000"/>
        <color rgb="FFFFC000"/>
        <color rgb="FFFFC000"/>
      </colorScale>
    </cfRule>
  </conditionalFormatting>
  <conditionalFormatting sqref="AC83">
    <cfRule type="colorScale" priority="27">
      <colorScale>
        <cfvo type="num" val="-1"/>
        <cfvo type="num" val="0"/>
        <cfvo type="num" val="1"/>
        <color rgb="FFFFC000"/>
        <color rgb="FF66FF33"/>
        <color rgb="FFFFC000"/>
      </colorScale>
    </cfRule>
    <cfRule type="colorScale" priority="28">
      <colorScale>
        <cfvo type="num" val="-1"/>
        <cfvo type="num" val="0"/>
        <cfvo type="num" val="1"/>
        <color rgb="FFFFC000"/>
        <color rgb="FFFFC000"/>
        <color rgb="FFFFC000"/>
      </colorScale>
    </cfRule>
  </conditionalFormatting>
  <conditionalFormatting sqref="AH83">
    <cfRule type="colorScale" priority="37">
      <colorScale>
        <cfvo type="num" val="-1"/>
        <cfvo type="percentile" val="0"/>
        <cfvo type="num" val="1"/>
        <color rgb="FFFFC000"/>
        <color rgb="FF66FF33"/>
        <color rgb="FFFFC000"/>
      </colorScale>
    </cfRule>
    <cfRule type="colorScale" priority="47">
      <colorScale>
        <cfvo type="num" val="-10"/>
        <cfvo type="percentile" val="0"/>
        <cfvo type="num" val="10"/>
        <color rgb="FFFFC000"/>
        <color rgb="FFFFC000"/>
        <color rgb="FFFFC000"/>
      </colorScale>
    </cfRule>
  </conditionalFormatting>
  <conditionalFormatting sqref="AH84 AM84 AC84">
    <cfRule type="colorScale" priority="56">
      <colorScale>
        <cfvo type="num" val="-1"/>
        <cfvo type="percentile" val="0"/>
        <cfvo type="num" val="1"/>
        <color rgb="FFE20000"/>
        <color rgb="FF00FF00"/>
        <color rgb="FFFF0000"/>
      </colorScale>
    </cfRule>
  </conditionalFormatting>
  <conditionalFormatting sqref="AM83 AH83 AC83">
    <cfRule type="colorScale" priority="55">
      <colorScale>
        <cfvo type="num" val="-10"/>
        <cfvo type="percentile" val="0"/>
        <cfvo type="num" val="10"/>
        <color rgb="FFFF66FF"/>
        <color rgb="FF00FF00"/>
        <color rgb="FFFF00FF"/>
      </colorScale>
    </cfRule>
  </conditionalFormatting>
  <conditionalFormatting sqref="AM84">
    <cfRule type="containsText" dxfId="78" priority="53" operator="containsText" text="ERREUR">
      <formula>NOT(ISERROR(SEARCH("ERREUR",AM84)))</formula>
    </cfRule>
    <cfRule type="containsText" dxfId="77" priority="54" operator="containsText" text="OK">
      <formula>NOT(ISERROR(SEARCH("OK",AM84)))</formula>
    </cfRule>
  </conditionalFormatting>
  <conditionalFormatting sqref="AR64 AU64 AX64 BA64 BJ64 AC84 AH84 AM84">
    <cfRule type="containsText" dxfId="76" priority="45" operator="containsText" text="ERREUR">
      <formula>NOT(ISERROR(SEARCH("ERREUR",AC64)))</formula>
    </cfRule>
    <cfRule type="containsText" dxfId="75" priority="46" operator="containsText" text="OK">
      <formula>NOT(ISERROR(SEARCH("OK",AC64)))</formula>
    </cfRule>
  </conditionalFormatting>
  <conditionalFormatting sqref="AR64:AS64 AU64:AV64 AX64:AY64 BA64:BB64 BJ64">
    <cfRule type="containsText" dxfId="74" priority="61" stopIfTrue="1" operator="containsText" text="ERREUR">
      <formula>NOT(ISERROR(SEARCH("ERREUR",AR64)))</formula>
    </cfRule>
    <cfRule type="containsText" dxfId="73" priority="62" operator="containsText" text="OK">
      <formula>NOT(ISERROR(SEARCH("OK",AR64)))</formula>
    </cfRule>
  </conditionalFormatting>
  <conditionalFormatting sqref="BA63 AM83 AR63 AU63 AX63 BJ63">
    <cfRule type="colorScale" priority="29">
      <colorScale>
        <cfvo type="num" val="-1"/>
        <cfvo type="num" val="0"/>
        <cfvo type="num" val="1"/>
        <color rgb="FFFFC000"/>
        <color rgb="FF66FF33"/>
        <color rgb="FFFFC000"/>
      </colorScale>
    </cfRule>
  </conditionalFormatting>
  <conditionalFormatting sqref="BA63:BB63 BJ63">
    <cfRule type="colorScale" priority="63">
      <colorScale>
        <cfvo type="num" val="-1"/>
        <cfvo type="num" val="0"/>
        <cfvo type="num" val="1"/>
        <color rgb="FFFF0000"/>
        <color rgb="FF00FF00"/>
        <color rgb="FFFF0000"/>
      </colorScale>
    </cfRule>
  </conditionalFormatting>
  <conditionalFormatting sqref="BL9:BL62">
    <cfRule type="duplicateValues" dxfId="72" priority="120"/>
  </conditionalFormatting>
  <conditionalFormatting sqref="BL55:BL62">
    <cfRule type="duplicateValues" dxfId="71" priority="6"/>
  </conditionalFormatting>
  <conditionalFormatting sqref="BL62">
    <cfRule type="duplicateValues" dxfId="70" priority="2"/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17</xdr:col>
                    <xdr:colOff>251460</xdr:colOff>
                    <xdr:row>3</xdr:row>
                    <xdr:rowOff>137160</xdr:rowOff>
                  </from>
                  <to>
                    <xdr:col>17</xdr:col>
                    <xdr:colOff>594360</xdr:colOff>
                    <xdr:row>6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</sheetPr>
  <dimension ref="A1:BN89"/>
  <sheetViews>
    <sheetView zoomScale="70" zoomScaleNormal="70" workbookViewId="0">
      <selection activeCell="V4" sqref="V4"/>
    </sheetView>
  </sheetViews>
  <sheetFormatPr baseColWidth="10" defaultRowHeight="13.2" x14ac:dyDescent="0.25"/>
  <cols>
    <col min="2" max="2" width="20.109375" customWidth="1"/>
    <col min="3" max="3" width="5.6640625" customWidth="1"/>
    <col min="4" max="4" width="23.6640625" customWidth="1"/>
    <col min="5" max="5" width="6.6640625" customWidth="1"/>
    <col min="6" max="6" width="24.109375" customWidth="1"/>
    <col min="7" max="7" width="6.109375" customWidth="1"/>
    <col min="8" max="12" width="11.44140625" hidden="1" customWidth="1"/>
    <col min="13" max="13" width="8.109375" customWidth="1"/>
    <col min="15" max="15" width="22.6640625" customWidth="1"/>
    <col min="16" max="16" width="23.6640625" customWidth="1"/>
    <col min="17" max="17" width="23.44140625" customWidth="1"/>
    <col min="18" max="18" width="20.5546875" customWidth="1"/>
    <col min="19" max="19" width="25.109375" customWidth="1"/>
    <col min="20" max="20" width="23.33203125" customWidth="1"/>
    <col min="21" max="21" width="19.5546875" customWidth="1"/>
    <col min="22" max="23" width="21.5546875" customWidth="1"/>
    <col min="24" max="24" width="5.5546875" customWidth="1"/>
    <col min="25" max="25" width="10.5546875" customWidth="1"/>
    <col min="26" max="26" width="17.109375" customWidth="1"/>
    <col min="27" max="27" width="7.6640625" customWidth="1"/>
    <col min="28" max="28" width="5.6640625" customWidth="1"/>
    <col min="29" max="29" width="5.5546875" customWidth="1"/>
    <col min="30" max="30" width="3.6640625" customWidth="1"/>
    <col min="31" max="31" width="17.6640625" customWidth="1"/>
    <col min="32" max="32" width="8" customWidth="1"/>
    <col min="33" max="33" width="6.6640625" customWidth="1"/>
    <col min="34" max="34" width="5.6640625" customWidth="1"/>
    <col min="35" max="35" width="4.109375" customWidth="1"/>
    <col min="36" max="36" width="18.109375" customWidth="1"/>
    <col min="37" max="37" width="8" customWidth="1"/>
    <col min="38" max="38" width="6.5546875" customWidth="1"/>
    <col min="39" max="39" width="6.6640625" customWidth="1"/>
    <col min="40" max="40" width="3.6640625" customWidth="1"/>
    <col min="41" max="41" width="7.33203125" customWidth="1"/>
    <col min="42" max="42" width="25.44140625" customWidth="1"/>
    <col min="43" max="43" width="8.44140625" customWidth="1"/>
    <col min="44" max="44" width="6.109375" customWidth="1"/>
    <col min="45" max="45" width="8.109375" customWidth="1"/>
    <col min="46" max="46" width="6.6640625" customWidth="1"/>
    <col min="47" max="47" width="7" customWidth="1"/>
    <col min="48" max="48" width="8.109375" customWidth="1"/>
    <col min="49" max="49" width="7.5546875" customWidth="1"/>
    <col min="50" max="50" width="6.6640625" customWidth="1"/>
    <col min="51" max="51" width="8" customWidth="1"/>
    <col min="52" max="52" width="10" customWidth="1"/>
    <col min="53" max="53" width="8.109375" customWidth="1"/>
    <col min="54" max="54" width="8.6640625" customWidth="1"/>
    <col min="55" max="56" width="9.109375" hidden="1" customWidth="1"/>
    <col min="57" max="57" width="13.88671875" hidden="1" customWidth="1"/>
    <col min="58" max="58" width="13" hidden="1" customWidth="1"/>
    <col min="59" max="59" width="4.109375" customWidth="1"/>
    <col min="60" max="60" width="16.5546875" customWidth="1"/>
    <col min="61" max="61" width="10.109375" customWidth="1"/>
    <col min="62" max="62" width="9" customWidth="1"/>
    <col min="63" max="63" width="8.5546875" customWidth="1"/>
    <col min="64" max="64" width="9.109375" customWidth="1"/>
    <col min="65" max="65" width="8.44140625" customWidth="1"/>
    <col min="66" max="66" width="0" hidden="1" customWidth="1"/>
  </cols>
  <sheetData>
    <row r="1" spans="1:66" ht="25.8" thickBot="1" x14ac:dyDescent="0.45">
      <c r="A1" s="20"/>
      <c r="B1" s="356" t="s">
        <v>36</v>
      </c>
      <c r="C1" s="356"/>
      <c r="D1" s="356"/>
      <c r="E1" s="112"/>
      <c r="F1" s="112"/>
      <c r="G1" s="112"/>
      <c r="H1" s="112"/>
      <c r="I1" s="112"/>
      <c r="J1" s="69"/>
      <c r="K1" s="69"/>
      <c r="L1" s="113" t="s">
        <v>37</v>
      </c>
      <c r="N1" s="379" t="s">
        <v>121</v>
      </c>
      <c r="O1" s="380"/>
      <c r="P1" s="381"/>
      <c r="R1" s="69"/>
      <c r="S1" s="69"/>
      <c r="T1" s="112"/>
      <c r="Y1" s="114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</row>
    <row r="2" spans="1:66" ht="18" x14ac:dyDescent="0.35">
      <c r="A2" s="20"/>
      <c r="B2" s="22"/>
      <c r="C2" s="22"/>
      <c r="D2" s="65"/>
      <c r="E2" s="65"/>
      <c r="F2" s="20"/>
      <c r="G2" s="20"/>
      <c r="H2" s="18"/>
      <c r="I2" s="20"/>
      <c r="J2" s="20"/>
      <c r="K2" s="20"/>
      <c r="L2" s="20"/>
      <c r="P2" s="18"/>
      <c r="Q2" s="20"/>
      <c r="R2" s="22"/>
      <c r="S2" s="22"/>
      <c r="T2" s="22"/>
      <c r="U2" s="22"/>
      <c r="V2" s="20"/>
      <c r="W2" s="18"/>
      <c r="X2" s="18"/>
      <c r="Y2" s="34"/>
      <c r="Z2" s="18"/>
      <c r="AA2" s="36"/>
      <c r="AB2" s="36"/>
      <c r="AC2" s="36" t="s">
        <v>8</v>
      </c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22"/>
      <c r="BK2" s="22"/>
      <c r="BL2" s="22"/>
      <c r="BM2" s="22"/>
    </row>
    <row r="3" spans="1:66" ht="22.8" x14ac:dyDescent="0.4">
      <c r="A3" s="114"/>
      <c r="B3" s="240" t="s">
        <v>62</v>
      </c>
      <c r="C3" s="22"/>
      <c r="D3" s="239" t="s">
        <v>51</v>
      </c>
      <c r="E3" s="65"/>
      <c r="F3" s="20"/>
      <c r="G3" s="20"/>
      <c r="H3" s="18"/>
      <c r="I3" s="20"/>
      <c r="J3" s="20"/>
      <c r="K3" s="20"/>
      <c r="L3" s="20"/>
      <c r="P3" s="18"/>
      <c r="Q3" s="378" t="s">
        <v>38</v>
      </c>
      <c r="R3" s="378"/>
      <c r="S3" s="378"/>
      <c r="T3" s="22"/>
      <c r="U3" s="114"/>
      <c r="V3" s="114"/>
      <c r="W3" s="114"/>
      <c r="X3" s="114"/>
      <c r="Y3" s="20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22"/>
      <c r="BK3" s="22"/>
      <c r="BL3" s="22"/>
      <c r="BM3" s="22"/>
    </row>
    <row r="4" spans="1:66" ht="23.4" thickBot="1" x14ac:dyDescent="0.4">
      <c r="A4" s="114"/>
      <c r="B4" s="114"/>
      <c r="C4" s="22"/>
      <c r="D4" s="65"/>
      <c r="E4" s="65"/>
      <c r="F4" s="20"/>
      <c r="G4" s="20"/>
      <c r="H4" s="18"/>
      <c r="I4" s="20"/>
      <c r="J4" s="20"/>
      <c r="K4" s="20"/>
      <c r="L4" s="20"/>
      <c r="P4" s="18"/>
      <c r="Q4" s="20"/>
      <c r="R4" s="131"/>
      <c r="S4" s="131"/>
      <c r="V4" s="114"/>
      <c r="W4" s="114"/>
      <c r="Y4" s="35" t="s">
        <v>22</v>
      </c>
      <c r="Z4" s="36"/>
      <c r="AA4" s="36"/>
      <c r="AB4" s="37"/>
      <c r="AC4" s="34"/>
      <c r="AD4" s="37"/>
      <c r="AE4" s="37"/>
      <c r="AF4" s="36"/>
      <c r="AG4" s="36"/>
      <c r="AH4" s="36"/>
      <c r="AI4" s="36"/>
      <c r="AJ4" s="36"/>
      <c r="AK4" s="36"/>
      <c r="AL4" s="36"/>
      <c r="AM4" s="36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22"/>
      <c r="BI4" s="22"/>
      <c r="BJ4" s="22"/>
      <c r="BK4" s="22"/>
      <c r="BL4" s="22"/>
      <c r="BM4" s="22"/>
    </row>
    <row r="5" spans="1:66" ht="25.2" thickBot="1" x14ac:dyDescent="0.4">
      <c r="A5" s="115">
        <f>+Q5</f>
        <v>34</v>
      </c>
      <c r="B5" s="360" t="s">
        <v>120</v>
      </c>
      <c r="C5" s="361"/>
      <c r="D5" s="362"/>
      <c r="Q5" s="387">
        <v>34</v>
      </c>
      <c r="R5" s="69"/>
      <c r="S5" s="415">
        <f>IF(Q5=8,2,IF($Q$5=9,2,IF($Q$5=10,2,IF($Q$5=11,2,IF($Q$5=12,2,IF($Q$5=13,3,IF(Q5=14,3,IF($Q$5=15,3,IF(Q5=16,3,IF($Q$5=17,3,IF(Q5=18,3,IF($Q$5=19,4,IF(Q5=20,4,IF($Q$5=21,4,IF(Q5=22,4,IF($Q$5=23,4,IF(Q5=24,4,IF($Q$5=25,5,IF(Q5=26,5,IF($Q$5=27,5,IF(Q5=28,5,IF($Q$5=29,5,IF(Q5=30,5,IF($Q$5=31,6,IF(Q5=32,6,IF($Q$5=33,6,IF($Q$5=34,6,IF($Q$5=35,6,IF($Q$5=36,6,IF($Q$5=37,7,IF($Q$5=38,7,IF($Q$5=39,7,IF($Q$5=40,7,IF($Q$5=41,7,IF($Q$5=42,7,IF($Q$5=43,8,IF($Q$5=44,8,IF($Q$5=45,8,IF($Q$5=46,8,IF($Q$5=47,8,IF($Q$5=48,8,IF($Q$5=49,9,IF($Q$5=50,9,IF($Q$5=51,9,IF($Q$5=52,9,IF($Q$5=53,9,IF($Q$5=54,9,0)))))))))))))))))))))))))))))))))))))))))))))))</f>
        <v>6</v>
      </c>
      <c r="T5" s="413" t="s">
        <v>39</v>
      </c>
      <c r="Y5" s="20"/>
      <c r="Z5" s="18"/>
      <c r="AA5" s="18"/>
      <c r="AB5" s="18"/>
      <c r="AC5" s="18"/>
      <c r="AD5" s="18"/>
      <c r="AE5" s="36" t="s">
        <v>23</v>
      </c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22"/>
      <c r="BI5" s="22"/>
      <c r="BJ5" s="22"/>
      <c r="BK5" s="22"/>
      <c r="BL5" s="22"/>
      <c r="BM5" s="22"/>
    </row>
    <row r="6" spans="1:66" ht="31.5" customHeight="1" thickBot="1" x14ac:dyDescent="0.35">
      <c r="Q6" s="388"/>
      <c r="R6" s="69"/>
      <c r="S6" s="416"/>
      <c r="T6" s="414"/>
      <c r="Y6" s="20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40"/>
      <c r="BI6" s="40"/>
      <c r="BJ6" s="40"/>
      <c r="BK6" s="40"/>
      <c r="BL6" s="40"/>
      <c r="BM6" s="40"/>
    </row>
    <row r="7" spans="1:66" ht="28.5" customHeight="1" thickTop="1" thickBot="1" x14ac:dyDescent="0.35">
      <c r="D7" s="376" t="s">
        <v>60</v>
      </c>
      <c r="E7" s="377"/>
      <c r="Y7" s="20"/>
      <c r="Z7" s="363" t="s">
        <v>1</v>
      </c>
      <c r="AA7" s="364"/>
      <c r="AB7" s="364"/>
      <c r="AC7" s="365"/>
      <c r="AD7" s="20"/>
      <c r="AE7" s="366" t="s">
        <v>2</v>
      </c>
      <c r="AF7" s="367"/>
      <c r="AG7" s="367"/>
      <c r="AH7" s="368"/>
      <c r="AI7" s="20"/>
      <c r="AJ7" s="369" t="s">
        <v>3</v>
      </c>
      <c r="AK7" s="370"/>
      <c r="AL7" s="370"/>
      <c r="AM7" s="371"/>
      <c r="AO7" s="20"/>
      <c r="AP7" s="316" t="s">
        <v>0</v>
      </c>
      <c r="AQ7" s="357" t="s">
        <v>1</v>
      </c>
      <c r="AR7" s="358"/>
      <c r="AS7" s="359"/>
      <c r="AT7" s="401" t="s">
        <v>2</v>
      </c>
      <c r="AU7" s="402"/>
      <c r="AV7" s="412"/>
      <c r="AW7" s="406" t="s">
        <v>3</v>
      </c>
      <c r="AX7" s="407"/>
      <c r="AY7" s="408"/>
      <c r="AZ7" s="398" t="s">
        <v>7</v>
      </c>
      <c r="BA7" s="399"/>
      <c r="BB7" s="400"/>
      <c r="BC7" s="41"/>
      <c r="BD7" s="33"/>
      <c r="BE7" s="20"/>
      <c r="BF7" s="20"/>
      <c r="BG7" s="69"/>
      <c r="BH7" s="398" t="s">
        <v>21</v>
      </c>
      <c r="BI7" s="399"/>
      <c r="BJ7" s="399"/>
      <c r="BK7" s="399"/>
      <c r="BL7" s="400"/>
    </row>
    <row r="8" spans="1:66" ht="32.4" thickTop="1" thickBot="1" x14ac:dyDescent="0.45">
      <c r="A8" s="163"/>
      <c r="D8" s="389" t="s">
        <v>61</v>
      </c>
      <c r="E8" s="390"/>
      <c r="G8" s="164"/>
      <c r="H8" s="109"/>
      <c r="I8" s="164"/>
      <c r="J8" s="164"/>
      <c r="K8" s="164"/>
      <c r="L8" s="164"/>
      <c r="M8" s="164"/>
      <c r="N8" s="163"/>
      <c r="O8" s="409" t="s">
        <v>9</v>
      </c>
      <c r="P8" s="410"/>
      <c r="Q8" s="410"/>
      <c r="R8" s="410"/>
      <c r="S8" s="410"/>
      <c r="T8" s="410"/>
      <c r="U8" s="410"/>
      <c r="V8" s="410"/>
      <c r="W8" s="411"/>
      <c r="X8" s="109"/>
      <c r="Y8" s="20"/>
      <c r="Z8" s="19"/>
      <c r="AA8" s="19"/>
      <c r="AB8" s="19"/>
      <c r="AC8" s="19"/>
      <c r="AD8" s="20"/>
      <c r="AE8" s="19"/>
      <c r="AF8" s="19"/>
      <c r="AG8" s="19"/>
      <c r="AH8" s="18"/>
      <c r="AI8" s="19"/>
      <c r="AJ8" s="19"/>
      <c r="AK8" s="20"/>
      <c r="AL8" s="20"/>
      <c r="AM8" s="19"/>
      <c r="AN8" s="109"/>
      <c r="AO8" s="20"/>
      <c r="AP8" s="87" t="s">
        <v>6</v>
      </c>
      <c r="AQ8" s="88" t="s">
        <v>10</v>
      </c>
      <c r="AR8" s="89" t="s">
        <v>11</v>
      </c>
      <c r="AS8" s="92" t="s">
        <v>12</v>
      </c>
      <c r="AT8" s="94" t="s">
        <v>10</v>
      </c>
      <c r="AU8" s="92" t="s">
        <v>11</v>
      </c>
      <c r="AV8" s="187" t="s">
        <v>12</v>
      </c>
      <c r="AW8" s="91" t="s">
        <v>10</v>
      </c>
      <c r="AX8" s="92" t="s">
        <v>11</v>
      </c>
      <c r="AY8" s="187" t="s">
        <v>12</v>
      </c>
      <c r="AZ8" s="105" t="s">
        <v>16</v>
      </c>
      <c r="BA8" s="95" t="s">
        <v>11</v>
      </c>
      <c r="BB8" s="188" t="s">
        <v>12</v>
      </c>
      <c r="BC8" s="84" t="s">
        <v>19</v>
      </c>
      <c r="BD8" s="186" t="s">
        <v>20</v>
      </c>
      <c r="BE8" s="185" t="s">
        <v>14</v>
      </c>
      <c r="BF8" s="99" t="s">
        <v>15</v>
      </c>
      <c r="BG8" s="69"/>
      <c r="BH8" s="100" t="s">
        <v>6</v>
      </c>
      <c r="BI8" s="104" t="s">
        <v>16</v>
      </c>
      <c r="BJ8" s="39" t="s">
        <v>17</v>
      </c>
      <c r="BK8" s="243" t="s">
        <v>12</v>
      </c>
      <c r="BL8" s="233" t="s">
        <v>18</v>
      </c>
      <c r="BM8" s="164"/>
      <c r="BN8" s="224" t="s">
        <v>16</v>
      </c>
    </row>
    <row r="9" spans="1:66" ht="21.6" thickBot="1" x14ac:dyDescent="0.45">
      <c r="A9" s="109"/>
      <c r="B9" s="391" t="s">
        <v>33</v>
      </c>
      <c r="C9" s="392"/>
      <c r="D9" s="393" t="s">
        <v>34</v>
      </c>
      <c r="E9" s="392"/>
      <c r="F9" s="394" t="s">
        <v>35</v>
      </c>
      <c r="G9" s="392"/>
      <c r="H9" s="18"/>
      <c r="I9" s="116"/>
      <c r="J9" s="395" t="s">
        <v>40</v>
      </c>
      <c r="K9" s="396"/>
      <c r="L9" s="397"/>
      <c r="M9" s="129"/>
      <c r="N9" s="66"/>
      <c r="O9" s="386" t="s">
        <v>1</v>
      </c>
      <c r="P9" s="386"/>
      <c r="Q9" s="386"/>
      <c r="R9" s="401" t="s">
        <v>2</v>
      </c>
      <c r="S9" s="402"/>
      <c r="T9" s="402"/>
      <c r="U9" s="406" t="s">
        <v>3</v>
      </c>
      <c r="V9" s="407"/>
      <c r="W9" s="408"/>
      <c r="X9" s="18"/>
      <c r="Y9" s="31" t="s">
        <v>30</v>
      </c>
      <c r="Z9" s="21" t="s">
        <v>4</v>
      </c>
      <c r="AA9" s="21" t="s">
        <v>12</v>
      </c>
      <c r="AB9" s="21" t="s">
        <v>10</v>
      </c>
      <c r="AC9" s="21" t="s">
        <v>11</v>
      </c>
      <c r="AD9" s="19"/>
      <c r="AE9" s="21" t="s">
        <v>4</v>
      </c>
      <c r="AF9" s="21" t="s">
        <v>12</v>
      </c>
      <c r="AG9" s="21" t="s">
        <v>10</v>
      </c>
      <c r="AH9" s="21" t="s">
        <v>11</v>
      </c>
      <c r="AI9" s="19"/>
      <c r="AJ9" s="21" t="s">
        <v>4</v>
      </c>
      <c r="AK9" s="21" t="s">
        <v>12</v>
      </c>
      <c r="AL9" s="21" t="s">
        <v>10</v>
      </c>
      <c r="AM9" s="21" t="s">
        <v>11</v>
      </c>
      <c r="AN9" s="18"/>
      <c r="AO9" s="43">
        <v>1</v>
      </c>
      <c r="AP9" s="277" t="str">
        <f>+Inscrits!B3</f>
        <v>A1</v>
      </c>
      <c r="AQ9" s="246">
        <f>IF(ISNA(VLOOKUP(AP9,$Z$11:$AC$81,3,0))," ",IF(VLOOKUP(AP9,$Z$11:$AC$81,3,0)=0,"0",VLOOKUP(AP9,$Z$11:$AC$81,3,0)))</f>
        <v>2</v>
      </c>
      <c r="AR9" s="30" t="str">
        <f>IF(ISNA(VLOOKUP(AP9,$Z$11:$AC$81,4,0))," ",IF(VLOOKUP(AP9,$Z$11:$AC$81,4,0)=0,"0",VLOOKUP(AP9,$Z$11:$AC$81,4,0)))</f>
        <v>0</v>
      </c>
      <c r="AS9" s="77">
        <f>IF(ISNA(VLOOKUP(AP9,$Z$11:$AC$81,2,0))," ",IF(VLOOKUP(AP9,$Z$11:$AC$81,2,0)=0,"0",VLOOKUP(AP9,$Z$11:$AC$81,2,0)))</f>
        <v>6</v>
      </c>
      <c r="AT9" s="74">
        <f>IF(ISNA(VLOOKUP(AP9,$AE$11:$AH$81,3,0))," ",IF(VLOOKUP(AP9,$AE$11:$AH$81,3,0)=0,"0",VLOOKUP(AP9,$AE$11:$AH$81,3,0)))</f>
        <v>1</v>
      </c>
      <c r="AU9" s="30">
        <f>IF(ISNA(VLOOKUP(AP9,$AE$11:$AH$81,4,0))," ",IF(VLOOKUP(AP9,$AE$11:$AH$81,4,0)=0,"0",VLOOKUP(AP9,$AE$11:$AH$81,4,0)))</f>
        <v>-1</v>
      </c>
      <c r="AV9" s="249" t="str">
        <f>IF(ISNA(VLOOKUP(AP9,$AE$11:$AH$81,2,0))," ",IF(VLOOKUP(AP9,$AE$11:$AH$81,2,0)=0,"0",VLOOKUP(AP9,$AE$11:$AH$81,2,0)))</f>
        <v>0</v>
      </c>
      <c r="AW9" s="246">
        <f>IF(ISNA(VLOOKUP(AP9,$AJ$11:$AM$81,3,0))," ",IF(VLOOKUP(AP9,$AJ$11:$AM$81,3,0)=0,"0",VLOOKUP(AP9,$AJ$11:$AM$81,3,0)))</f>
        <v>1</v>
      </c>
      <c r="AX9" s="30">
        <f>IF(ISNA(VLOOKUP(AP9,$AJ$11:$AM$81,4,0))," ",IF(VLOOKUP(AP9,$AJ$11:$AM$81,4,0)=0,"0",VLOOKUP(AP9,$AJ$11:$AM$81,4,0)))</f>
        <v>-1</v>
      </c>
      <c r="AY9" s="249">
        <f>IF(ISNA(VLOOKUP(AP9,$AJ$11:$AM$81,2,0))," ",IF(VLOOKUP(AP9,$AJ$11:$AM$81,2,0)=0,"0",VLOOKUP(AP9,$AJ$11:$AM$81,2,0)))</f>
        <v>4</v>
      </c>
      <c r="AZ9" s="246">
        <f>SUMIFS(AQ9:AW9,$AQ$8:$AW$8,"Pts",AQ9:AW9,"&lt;&gt;#N/A")</f>
        <v>4</v>
      </c>
      <c r="BA9" s="30">
        <f>SUMIFS(AQ9:AX9,$AQ$8:$AX$8,"GA",AQ9:AX9,"&lt;&gt;#N/A")</f>
        <v>-2</v>
      </c>
      <c r="BB9" s="249">
        <f>SUMIFS(AQ9:AY9,$AQ$8:$AY$8,"Score",AQ9:AY9,"&lt;&gt;#N/A")</f>
        <v>10</v>
      </c>
      <c r="BC9" s="254">
        <f>IF(BA9="","",IF(BA9&lt;0,BA9,0))</f>
        <v>-2</v>
      </c>
      <c r="BD9" s="182">
        <f>IF(BA9="","",IF(BA9&gt;0,BA9,0))</f>
        <v>0</v>
      </c>
      <c r="BE9" s="183">
        <f>IF(OR(AP9="",AZ9="",BA9="",BB9=""),"",RANK(AZ9,$AZ$9:$AZ$62)+SUM(-BA9/100)-(+BB9/10000)+COUNTIF(AP$9:AP$62,"&lt;="&amp;AP9+1)/1000000+ROW()/100000000)</f>
        <v>29.019000089999999</v>
      </c>
      <c r="BF9" s="82">
        <f>IF(AP9="","",SMALL(BE$9:BE$62,ROWS(AZ$9:AZ9)))</f>
        <v>0.91830031000000001</v>
      </c>
      <c r="BH9" s="82" t="str">
        <f>IF(OR(AP9="",AZ9=""),"",INDEX($AP$9:$AP$63,MATCH(BF9,$BE$9:BE$62,0)))</f>
        <v>B5</v>
      </c>
      <c r="BI9" s="7">
        <f t="shared" ref="BI9:BI40" si="0">IF(AP9="","",INDEX($AZ$9:$AZ$63,MATCH(BF9,$BE$9:$BE$62,0)))</f>
        <v>9</v>
      </c>
      <c r="BJ9" s="7">
        <f t="shared" ref="BJ9:BJ40" si="1">IF(AP9="","",INDEX($BA$9:$BA$63,MATCH(BF9,$BE$9:$BE$62,0)))</f>
        <v>8</v>
      </c>
      <c r="BK9" s="7">
        <f t="shared" ref="BK9:BK40" si="2">IF(AP9="","",INDEX($BB$9:$BB$63,MATCH(BF9,$BE$9:$BE$62,0)))</f>
        <v>17</v>
      </c>
      <c r="BL9" s="241">
        <f>IF(BF9="","",1)</f>
        <v>1</v>
      </c>
      <c r="BM9" s="22"/>
      <c r="BN9" s="31"/>
    </row>
    <row r="10" spans="1:66" ht="21.6" thickBot="1" x14ac:dyDescent="0.35">
      <c r="A10" s="110">
        <v>1</v>
      </c>
      <c r="B10" s="329" t="s">
        <v>66</v>
      </c>
      <c r="C10" s="234">
        <f>IF($Q$5&gt;7,1,0)</f>
        <v>1</v>
      </c>
      <c r="D10" s="337" t="s">
        <v>84</v>
      </c>
      <c r="E10" s="234">
        <f>IF($Q$5&gt;7,1,0)</f>
        <v>1</v>
      </c>
      <c r="F10" s="336" t="s">
        <v>102</v>
      </c>
      <c r="G10" s="234">
        <f>IF($Q$5&gt;7,1,0)</f>
        <v>1</v>
      </c>
      <c r="H10" s="18"/>
      <c r="I10" s="170">
        <v>1</v>
      </c>
      <c r="J10" s="171" t="str">
        <f>IF(ISNA(MATCH(I10,$C$10:$C$27,0)),"",INDEX(B$10:$B$27,MATCH(I10,$C$10:$C$27,0)))</f>
        <v>A1</v>
      </c>
      <c r="K10" s="158" t="str">
        <f>IF(ISNA(MATCH(I10,$E$10:$E$27,0)),"",INDEX($D$10:D$27,MATCH(I10,$E$10:$E$27,0)))</f>
        <v>B1</v>
      </c>
      <c r="L10" s="159" t="str">
        <f>IF(ISNA(MATCH(I10,$G$10:$G$27,0)),"",INDEX($F$10:F$27,MATCH(I10,$G$10:$G$27,0)))</f>
        <v>C1</v>
      </c>
      <c r="M10" s="130"/>
      <c r="N10" s="67">
        <v>1</v>
      </c>
      <c r="O10" s="118" t="str">
        <f>IF($Q$5&lt;55&gt;7,J10,0)</f>
        <v>A1</v>
      </c>
      <c r="P10" s="119" t="str">
        <f>IF($Q$5&gt;=8,K10,0)</f>
        <v>B1</v>
      </c>
      <c r="Q10" s="120" t="str">
        <f>IF($Q$5&gt;9,L10,IF($Q$5=9,L10,0))</f>
        <v>C1</v>
      </c>
      <c r="R10" s="150" t="str">
        <f>IF($Q$5=8,K12,IF($Q$5=9,O13,IF($Q$5=10,J12,IF($Q$5=11,J10,IF($Q$5=12,J10,IF($Q$5=13,J11,IF($Q$5=14,J11,IF($Q$5=15,J11,IF($Q$5=16,J11,IF($Q$5=17,J10,IF($Q$5=18,J10,IF($Q$5=19,J11,IF($Q$5=20,J10,IF($Q$5=21,J10,IF($Q$5=22,J11,IF($Q$5=23,J11,IF($Q$5=24,J11,IF($Q$5=25,J11,IF($Q$5=26,J11,IF($Q$5=27,J11,IF($Q$5=28,J11,IF($Q$5=29,J11,IF($Q$5=30,J11,IF($Q$5=31,J11,IF($Q$5=32,J11,IF($Q$5=33,J11,IF($Q$5=34,J11,IF($Q$5=35,J11,IF($Q$5=36,J11,IF($Q$5=37,J11,IF($Q$5=38,J11,IF($Q$5=39,J11,IF($Q$5=40,J11,IF($Q$5=41,J11,IF($Q$5=42,J11,IF($Q$5=43,J11,IF($Q$5=44,J11,IF($Q$5=45,J11,IF($Q$5=46,J11,IF($Q$5=47,J11,IF($Q$5=48,J11,IF($Q$5=49,J11,IF($Q$5=50,J11,IF($Q$5=51,J11,IF($Q$5=52,J11,IF($Q$5=53,J11,IF($Q$5=54,J11,0)))))))))))))))))))))))))))))))))))))))))))))))</f>
        <v>A2</v>
      </c>
      <c r="S10" s="132" t="str">
        <f>IF($Q$5=8,L11,IF($Q$5=9,L11,IF($Q$5=10,K10,IF($Q$5=11,K13,IF($Q$5=12,K13,IF($Q$5=13,L10,IF($Q$5=14,K12,IF($Q$5=15,K13,IF($Q$5=16,K12,IF($Q$5=17,K13,IF($Q$5=18,K13,IF($Q$5=19,K13,IF($Q$5=20,P17,IF($Q$5=21,K13,IF($Q$5=22,K13,IF($Q$5=23,K13,IF($Q$5=24,K16,IF($Q$5=25,K13,IF($Q$5=26,K16,IF($Q$5=27,K13,IF($Q$5=28,K13,IF($Q$5=29,K13,IF($Q$5=30,K13,IF($Q$5=31,K13,IF($Q$5=32,K13,IF($Q$5=33,K13,IF($Q$5=34,K13,IF($Q$5=35,K13,IF($Q$5=36,K12,IF($Q$5=37,K12,IF($Q$5=38,K12,IF($Q$5=39,K12,IF($Q$5=40,K12,IF($Q$5=41,K12,IF($Q$5=42,K12,IF($Q$5=43,K12,IF($Q$5=44,K12,IF($Q$5=45,K12,IF($Q$5=46,K12,IF($Q$5=47,K12,IF($Q$5=48,K12,IF($Q$5=49,K12,IF($Q$5=50,K12,IF($Q$5=51,K12,IF($Q$5=52,K12,IF($Q$5=53,K12,IF($Q$5=54,K12,0)))))))))))))))))))))))))))))))))))))))))))))))</f>
        <v>B4</v>
      </c>
      <c r="T10" s="151" t="str">
        <f>IF($Q$5=9,P13,IF($Q$5=10,L12,IF($Q$5=11,L11,IF($Q$5=12,L12,IF($Q$5=13,P15,IF($Q$5=14,P15,IF($Q$5=15,P14,IF($Q$5=16,L13,IF($Q$5=17,L12,IF($Q$5=18,L12,IF($Q$5=19,P17,IF($Q$5=20,L12,IF($Q$5=21,P10,IF($Q$5=22,L12,IF($Q$5=23,L12,IF($Q$5=24,L12,IF($Q$5=25,L12,IF($Q$5=26,L12,IF($Q$5=27,L12,IF($Q$5=28,L12,IF($Q$5=29,L12,IF($Q$5=30,L12,IF($Q$5=31,L12,IF($Q$5=32,L12,IF($Q$5=33,L12,IF($Q$5=34,L12,IF($Q$5=35,L12,IF($Q$5=36,L13,IF($Q$5=37,L13,IF($Q$5=38,L13,IF($Q$5=39,L13,IF($Q$5=40,L13,IF($Q$5=41,L13,IF($Q$5=42,L13,IF($Q$5=43,L13,IF($Q$5=44,L13,IF($Q$5=45,L13,IF($Q$5=46,L13,IF($Q$5=47,L13,IF($Q$5=48,L13,IF($Q$5=49,L13,IF($Q$5=50,L13,IF($Q$5=51,L13,IF($Q$5=52,L13,IF($Q$5=53,L13,IF($Q$5=54,L13,0))))))))))))))))))))))))))))))))))))))))))))))</f>
        <v>C3</v>
      </c>
      <c r="U10" s="140" t="str">
        <f>IF($Q$5=8,J11,IF($Q$5=9,R11,IF($Q$5=10,J13,IF($Q$5=11,J13,IF($Q$5=12,J10,IF($Q$5=13,R12,IF($Q$5=14,R11,IF($Q$5=15,R11,IF($Q$5=16,R15,IF($Q$5=17,R10,IF(Q$5=18,R10,IF($Q$5=19,R13,IF($Q$5=20,R10,IF($Q$5=21,O10,IF($Q$5=22,R17,IF($Q$5=23,R11,IF($Q$5=24,R17,IF($Q$5=25,R19,IF($Q$5=26,R19,IF($Q$5=27,R18,IF($Q$5=28,R19,IF($Q$5=29,R19,IF($Q$5=30,R19,IF($Q$5=31,R20,IF($Q$5=32,R21,IF($Q$5=33,O10,IF($Q$5=34,O10,IF($Q$5=35,R21,IF($Q$5=36,O12,IF($Q$5=37,R11,IF($Q$5=38,R11,IF($Q$5=39,R11,IF($Q$5=40,R11,IF($Q$5=41,R11,IF($Q$5=42,R11,IF($Q$5=43,R11,IF($Q$5=44,R11,IF($Q$5=45,R11,IF($Q$5=46,R11,IF($Q$5=47,R11,IF($Q$5=48,R11,IF($Q$5=49,R11,IF($Q$5=50,R11,IF($Q$5=51,R11,IF($Q$5=52,R11,IF($Q$5=53,R11,IF($Q$5=54,R11,0)))))))))))))))))))))))))))))))))))))))))))))))</f>
        <v>A1</v>
      </c>
      <c r="V10" s="132" t="str">
        <f>IF($Q$5=8,L10,IF($Q$5=9,T10,IF($Q$5=10,K12,IF($Q$5=11,S12,IF($Q$5=12,P12,IF($Q$5=13,S13,IF($Q$5=14,S12,IF($Q$5=15,S14,IF($Q$5=16,S10,IF($Q$5=17,S13,IF($Q$5=18,S13,IF($Q$5=19,S14,IF($Q$5=20,S13,IF($Q$5=21,S13,IF($Q$5=22,S13,IF($Q$5=23,S13,IF($Q$5=24,S13,IF($Q$5=25,S10,IF($Q$5=26,S13,IF($Q$5=27,S13,IF($Q$5=28,S10,IF($Q$5=29,S13,IF($Q$5=30,S13,IF($Q$5=31,S13,IF($Q$5=32,S10,IF($Q$5=33,S10,IF($Q$5=34,S10,IF($Q$5=35,S10,IF($Q$5=36,S12,IF($Q$5=37,S12,IF($Q$5=38,S12,IF($Q$5=39,S12,IF($Q$5=40,S12,IF($Q$5=41,S12,IF($Q$5=42,S12,IF($Q$5=43,S12,IF($Q$5=44,S12,IF($Q$5=45,S12,IF($Q$5=46,S12,IF($Q$5=47,S12,IF($Q$5=48,S12,IF($Q$5=49,S12,IF($Q$5=50,S12,IF($Q$5=51,S12,IF($Q$5=52,S12,IF($Q$5=53,S12,IF($Q$5=54,S12,0)))))))))))))))))))))))))))))))))))))))))))))))</f>
        <v>B4</v>
      </c>
      <c r="W10" s="144" t="str">
        <f>IF($Q$5=9,L11,IF($Q$5=10,L11,IF($Q$5=11,T11,IF($Q$5=12,T11,IF($Q$5=13,S11,IF($Q$5=14,S14,IF($Q$5=15,T12,IF($Q$5=16,T11,IF($Q$5=17,T12,IF($Q$5=18,T12,IF($Q$5=19,T12,IF($Q$5=20,T12,IF($Q$5=21,T12,IF($Q$5=22,T12,IF(Q$5=23,T12,IF($Q$5=24,T12,IF($Q$5=25,T12,IF($Q$5=26,T12,IF($Q$5=27,T12,IF($Q$5=28,T12,IF($Q$5=29,T11,IF($Q$5=30,T12,IF($Q$5=31,T12,IF($Q$5=32,T11,IF($Q$5=33,T11,IF($Q$5=34,T11,IF($Q$5=35,T11,IF($Q$5=36,T13,IF($Q$5=37,T13,IF($Q$5=38,T13,IF($Q$5=39,T13,IF($Q$5=40,T13,IF($Q$5=41,T13,IF($Q$5=42,T13,IF($Q$5=43,T13,IF($Q$5=44,T13,IF($Q$5=45,T13,IF($Q$5=46,T13,IF($Q$5=47,T13,IF($Q$5=48,T13,IF($Q$5=49,T13,IF($Q$5=50,T13,IF($Q$5=51,T13,IF($Q$5=52,T13,IF($Q$5=53,T13,IF($Q$5=54,T13,0))))))))))))))))))))))))))))))))))))))))))))))</f>
        <v>C2</v>
      </c>
      <c r="X10" s="18"/>
      <c r="Y10" s="20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8"/>
      <c r="AO10" s="44">
        <v>2</v>
      </c>
      <c r="AP10" s="278" t="str">
        <f>+Inscrits!B4</f>
        <v>A2</v>
      </c>
      <c r="AQ10" s="247">
        <f t="shared" ref="AQ10:AQ62" si="3">IF(ISNA(VLOOKUP(AP10,$Z$11:$AC$81,3,0))," ",IF(VLOOKUP(AP10,$Z$11:$AC$81,3,0)=0,"0",VLOOKUP(AP10,$Z$11:$AC$81,3,0)))</f>
        <v>2</v>
      </c>
      <c r="AR10" s="82" t="str">
        <f t="shared" ref="AR10:AR62" si="4">IF(ISNA(VLOOKUP(AP10,$Z$11:$AC$81,4,0))," ",IF(VLOOKUP(AP10,$Z$11:$AC$81,4,0)=0,"0",VLOOKUP(AP10,$Z$11:$AC$81,4,0)))</f>
        <v>0</v>
      </c>
      <c r="AS10" s="184">
        <f t="shared" ref="AS10:AS62" si="5">IF(ISNA(VLOOKUP(AP10,$Z$11:$AC$81,2,0))," ",IF(VLOOKUP(AP10,$Z$11:$AC$81,2,0)=0,"0",VLOOKUP(AP10,$Z$11:$AC$81,2,0)))</f>
        <v>6</v>
      </c>
      <c r="AT10" s="250">
        <f t="shared" ref="AT10:AT62" si="6">IF(ISNA(VLOOKUP(AP10,$AE$11:$AH$81,3,0))," ",IF(VLOOKUP(AP10,$AE$11:$AH$81,3,0)=0,"0",VLOOKUP(AP10,$AE$11:$AH$81,3,0)))</f>
        <v>1</v>
      </c>
      <c r="AU10" s="82">
        <f t="shared" ref="AU10:AU62" si="7">IF(ISNA(VLOOKUP(AP10,$AE$11:$AH$81,4,0))," ",IF(VLOOKUP(AP10,$AE$11:$AH$81,4,0)=0,"0",VLOOKUP(AP10,$AE$11:$AH$81,4,0)))</f>
        <v>-5</v>
      </c>
      <c r="AV10" s="252">
        <f t="shared" ref="AV10:AV62" si="8">IF(ISNA(VLOOKUP(AP10,$AE$11:$AH$81,2,0))," ",IF(VLOOKUP(AP10,$AE$11:$AH$81,2,0)=0,"0",VLOOKUP(AP10,$AE$11:$AH$81,2,0)))</f>
        <v>5</v>
      </c>
      <c r="AW10" s="247">
        <f t="shared" ref="AW10:AW62" si="9">IF(ISNA(VLOOKUP(AP10,$AJ$11:$AM$81,3,0))," ",IF(VLOOKUP(AP10,$AJ$11:$AM$81,3,0)=0,"0",VLOOKUP(AP10,$AJ$11:$AM$81,3,0)))</f>
        <v>1</v>
      </c>
      <c r="AX10" s="82">
        <f t="shared" ref="AX10:AX62" si="10">IF(ISNA(VLOOKUP(AP10,$AJ$11:$AM$81,4,0))," ",IF(VLOOKUP(AP10,$AJ$11:$AM$81,4,0)=0,"0",VLOOKUP(AP10,$AJ$11:$AM$81,4,0)))</f>
        <v>-1</v>
      </c>
      <c r="AY10" s="252" t="str">
        <f t="shared" ref="AY10:AY62" si="11">IF(ISNA(VLOOKUP(AP10,$AJ$11:$AM$81,2,0))," ",IF(VLOOKUP(AP10,$AJ$11:$AM$81,2,0)=0,"0",VLOOKUP(AP10,$AJ$11:$AM$81,2,0)))</f>
        <v>0</v>
      </c>
      <c r="AZ10" s="247">
        <f>SUMIFS(AQ10:AW10,$AQ$8:$AW$8,"Pts",AQ10:AW10,"&lt;&gt;#N/A")</f>
        <v>4</v>
      </c>
      <c r="BA10" s="82">
        <f t="shared" ref="BA10:BA62" si="12">SUMIFS(AQ10:AX10,$AQ$8:$AX$8,"GA",AQ10:AX10,"&lt;&gt;#N/A")</f>
        <v>-6</v>
      </c>
      <c r="BB10" s="252">
        <f t="shared" ref="BB10:BB62" si="13">SUMIFS(AQ10:AY10,$AQ$8:$AY$8,"Score",AQ10:AY10,"&lt;&gt;#N/A")</f>
        <v>11</v>
      </c>
      <c r="BC10" s="255">
        <f t="shared" ref="BC10:BC62" si="14">IF(BA10="","",IF(BA10&lt;0,BA10,0))</f>
        <v>-6</v>
      </c>
      <c r="BD10" s="7">
        <f t="shared" ref="BD10:BD62" si="15">IF(BA10="","",IF(BA10&gt;0,BA10,0))</f>
        <v>0</v>
      </c>
      <c r="BE10" s="183">
        <f t="shared" ref="BE10:BE62" si="16">IF(OR(AP10="",AZ10="",BA10="",BB10=""),"",RANK(AZ10,$AZ$9:$AZ$62)+SUM(-BA10/100)-(+BB10/10000)+COUNTIF(AP$9:AP$62,"&lt;="&amp;AP10+1)/1000000+ROW()/100000000)</f>
        <v>29.058900099999999</v>
      </c>
      <c r="BF10" s="82">
        <f>IF(AP10="","",SMALL(BE$9:BE$62,ROWS(AZ$9:AZ10)))</f>
        <v>1.97920027</v>
      </c>
      <c r="BH10" s="82" t="str">
        <f>IF(OR(AP10="",AZ10=""),"",INDEX($AP$9:$AP$63,MATCH(BF10,$BE$9:BE$62,0)))</f>
        <v>B1</v>
      </c>
      <c r="BI10" s="7">
        <f t="shared" si="0"/>
        <v>8</v>
      </c>
      <c r="BJ10" s="7">
        <f t="shared" si="1"/>
        <v>2</v>
      </c>
      <c r="BK10" s="7">
        <f t="shared" si="2"/>
        <v>8</v>
      </c>
      <c r="BL10" s="242">
        <f>IF(BF10="","",IF(AND(BI9=BI10,BJ9=BJ10,BK9=BK10),BL9,$BL$9+1))</f>
        <v>2</v>
      </c>
      <c r="BM10" s="22"/>
      <c r="BN10" s="31"/>
    </row>
    <row r="11" spans="1:66" ht="21.6" thickBot="1" x14ac:dyDescent="0.35">
      <c r="A11" s="111">
        <v>2</v>
      </c>
      <c r="B11" s="330" t="s">
        <v>67</v>
      </c>
      <c r="C11" s="235">
        <f>IF($Q$5&gt;7,2,0)</f>
        <v>2</v>
      </c>
      <c r="D11" s="335" t="s">
        <v>85</v>
      </c>
      <c r="E11" s="235">
        <f>IF($Q$5&gt;7,2,0)</f>
        <v>2</v>
      </c>
      <c r="F11" s="333" t="s">
        <v>103</v>
      </c>
      <c r="G11" s="235">
        <f>IF($Q$5&gt;7,2,0)</f>
        <v>2</v>
      </c>
      <c r="H11" s="18"/>
      <c r="I11" s="165">
        <v>2</v>
      </c>
      <c r="J11" s="172" t="str">
        <f>IF(ISNA(MATCH(I11,$C$10:$C$27,0)),"",INDEX(B$10:$B$27,MATCH(I11,$C$10:$C$27,0)))</f>
        <v>A2</v>
      </c>
      <c r="K11" s="117" t="str">
        <f>IF(ISNA(MATCH(I11,$E$10:$E$27,0)),"",INDEX($D$10:D$27,MATCH(I11,$E$10:$E$27,0)))</f>
        <v>B2</v>
      </c>
      <c r="L11" s="160" t="str">
        <f>IF(ISNA(MATCH(I11,$G$10:$G$27,0)),"",INDEX($F$10:F$27,MATCH(I11,$G$10:$G$27,0)))</f>
        <v>C2</v>
      </c>
      <c r="M11" s="130"/>
      <c r="N11" s="42" t="s">
        <v>5</v>
      </c>
      <c r="O11" s="121" t="str">
        <f>IF($Q$5&gt;=8,J11,0)</f>
        <v>A2</v>
      </c>
      <c r="P11" s="124" t="str">
        <f>IF($Q$5&gt;=8,K11,0)</f>
        <v>B2</v>
      </c>
      <c r="Q11" s="123" t="str">
        <f>IF($Q$5=10,L11,IF($Q$5=11,L11,IF($Q$5=12,L11,IF($Q$5=14,L11,IF($Q$5=15,L11,IF($Q$5=16,L11,IF($Q$5=17,L11,IF($Q$5=18,L11,IF($Q$5=19,L11,IF($Q$5=20,L11,IF($Q$5=21,L11,IF($Q$5=22,L11,IF($Q$5=23,L11,IF($Q$5=24,L11,IF($Q$5=25,L11,IF($Q$5=26,L11,IF($Q$5=27,L11,IF($Q$5=28,L11,IF($Q$5=29,L11,IF($Q$5=30,L11,IF($Q$5=31,L11,IF($Q$5=32,L11,IF($Q$5=33,L11,IF($Q$5=34,L11,IF($Q$5=35,L11,IF($Q$5=36,L11,IF($Q$5=37,L11,IF($Q$5=38,L11,IF($Q$5=39,L11,IF($Q$5=40,L11,IF($Q$5=41,L11,IF($Q$5=42,L11,IF($Q$5=43,L11,IF($Q$5=44,L11,IF($Q$5=45,L11,IF($Q$5=46,L11,IF($Q$5=47,L11,IF($Q$5=48,L11,IF($Q$5=49,L11,IF($Q$5=50,L11,IF($Q$5=51,L11,IF($Q$5=52,L11,IF($Q$5=53,L11,IF($Q$5=54,L11,0))))))))))))))))))))))))))))))))))))))))))))</f>
        <v>C2</v>
      </c>
      <c r="R11" s="133" t="str">
        <f>IF($Q$5=8,J10,IF($Q$5=9,O10,IF($Q$5=10,J13,IF($Q$5=11,J12,IF($Q$5=12,J13,IF($Q$5=13,J12,IF($Q$5=14,J12,IF($Q$5=15,J12,IF($Q$5=16,J12,IF($Q$5=17,J12,IF($Q$5=18,J12,IF($Q$5=19,J13,IF($Q$5=20,J12,IF($Q$5=21,J12,IF($Q$5=22,J12,IF($Q$5=23,J12,IF($Q$5=24,J12,IF($Q$5=25,J12,IF($Q$5=26,J12,IF($Q$5=27,J12,IF($Q$5=28,J12,IF($Q$5=29,J12,IF($Q$5=30,J12,IF($Q$5=31,J12,IF($Q$5=32,J12,IF($Q$5=33,J12,IF($Q$5=34,J12,IF($Q$5=35,J12,IF($Q$5=36,J12,IF($Q$5=37,J12,IF($Q$5=38,J12,IF($Q$5=39,J12,IF($Q$5=40,J12,IF($Q$5=41,J12,IF($Q$5=42,J12,IF($Q$5=43,J12,IF($Q$5=44,J12,IF($Q$5=45,J12,IF($Q$5=46,J12,IF($Q$5=47,J12,IF($Q$5=48,J12,IF($Q$5=49,J12,IF($Q$5=50,J12,IF($Q$5=51,J12,IF($Q$5=52,J12,IF($Q$5=53,J12,IF($Q$5=54,J12,0)))))))))))))))))))))))))))))))))))))))))))))))</f>
        <v>A3</v>
      </c>
      <c r="S11" s="134" t="str">
        <f>IF($Q$5=8,L10,IF($Q$5=9,K11,IF($Q$5=10,L11,IF($Q$5=11,K10,IF($Q$5=12,K12,IF($Q$5=13,P13,IF($Q$5=14,K13,IF($Q$5=15,K10,IF($Q$5=16,K13,IF($Q$5=17,K14,IF($Q$5=18,K14,IF($Q$5=19,K14,IF($Q$5=20,K14,IF($Q$5=21,K14,IF($Q$5=22,K14,IF($Q$5=23,K14,IF($Q$5=24,K14,IF($Q$5=25,K14,IF($Q$5=26,K14,IF(Q$5=27,K14,IF($Q$5=28,K14,IF($Q$5=29,K14,IF($Q$5=30,K14,IF($Q$5=31,K14,IF($Q$5=32,K14,IF($Q$5=33,K14,IF($Q$5=34,K14,IF($Q$5=35,K14,IF($Q$5=36,K13,IF($Q$5=37,K13,IF($Q$5=38,K13,IF($Q$5=39,K13,IF($Q$5=40,K13,IF($Q$5=41,K13,IF($Q$5=42,K13,IF($Q$5=43,K13,IF($Q$5=44,K13,IF($Q$5=45,K13,IF($Q$5=46,K13,IF($Q$5=47,K13,IF($Q$5=48,K13,IF($Q$5=49,K13,IF($Q$5=50,K13,IF($Q$5=51,K13,IF($Q$5=52,K13,IF($Q$5=53,K13,IF($Q$5=54,K13,0)))))))))))))))))))))))))))))))))))))))))))))))</f>
        <v>B5</v>
      </c>
      <c r="T11" s="152" t="str">
        <f>IF($Q$5=10,L10,IF($Q$5=11,L12,IF($Q$5=12,L11,IF($Q$5=14,L10,IF($Q$5=15,P15,IF($Q$5=16,P15,IF($Q$5=17,L11,IF($Q$5=18,L13,IF($Q$5=19,L10,IF($Q$5=20,L11,IF($Q$5=21,P17,IF($Q$5=22,L13,IF($Q$5=23,L13,IF($Q$5=24,L13,IF($Q$5=25,L13,IF($Q$5=26,L13,IF($Q$5=27,L13,IF($Q$5=28,L13,IF($Q$5=29,L10,IF($Q$5=30,L10,IF($Q$5=31,L13,IF($Q$5=32,L11,IF($Q$5=33,L11,IF($Q$5=34,L11,IF($Q$5=35,L11,IF($Q$5=36,L14,IF($Q$5=37,L14,IF($Q$5=38,L14,IF($Q$5=39,L14,IF($Q$5=40,L14,IF($Q$5=41,L14,IF($Q$5=42,L14,IF($Q$5=43,L14,IF($Q$5=44,L14,IF($Q$5=45,L14,IF($Q$5=46,L14,IF($Q$5=47,L14,IF($Q$5=48,L14,IF($Q$5=49,L14,IF($Q$5=50,L14,IF($Q$5=51,L14,IF($Q$5=52,L14,IF($Q$5=53,L14,IF($Q$5=54,L14,0))))))))))))))))))))))))))))))))))))))))))))</f>
        <v>C2</v>
      </c>
      <c r="U11" s="157" t="str">
        <f>IF($Q$5=8,J12,IF($Q$5=9,R12,IF($Q$5=10,J10,IF($Q$5=11,O11,IF($Q$5=12,O12,IF($Q$5=13,R11,IF($Q$5=14,R12,IF($Q$5=15,O13,IF($Q$5=16,O12,IF($Q$5=17,R12,IF($Q$5=18,R14,IF($Q$5=19,R14,IF($Q$5=20,R13,IF($Q$5=21,O14,IF($Q$5=22,O12,IF(Q$5=23,R13,IF($Q$5=24,O13,IF($Q$5=25,R12,IF($Q$5=26,O13,IF($Q$5=27,O13,IF($Q$5=28,O13,IF($Q$5=29,O13,IF($Q$5=30,O13,IF($Q$5=31,O13,IF($Q$5=32,R12,IF($Q$5=33,O13,IF($Q$5=34,O13,IF($Q$5=35,R12,IF($Q$5=36,O13,IF($Q$5=37,O13,IF($Q$5=38,O13,IF($Q$5=39,O13,IF($Q$5=40,O13,IF($Q$5=41,O13,IF($Q$5=42,R12,IF($Q$5=43,R12,IF($Q$5=44,O13,IF($Q$5=45,O13,IF($Q$5=46,R12,IF($Q$5=47,O13,IF($Q$5=48,O13,IF($Q$5=49,O13,IF($Q$5=50,O13,IF($Q$5=51,O13,IF($Q$5=52,O13,IF($Q$5=53,R12,IF($Q$5=54,O13,0)))))))))))))))))))))))))))))))))))))))))))))))</f>
        <v>A4</v>
      </c>
      <c r="V11" s="138" t="str">
        <f>IF($Q$5=8,K10,IF($Q$5=9,S12,IF($Q$5=10,K10,IF(Q$5=11,S10,IF($Q$5=12,S10,IF($Q$5=13,R15,IF($Q$5=14,S10,IF($Q$5=15,S10,IF($Q$5=16,S11,IF($Q$5=17,S10,IF($Q$5=18,S12,IF($Q$5=19,S10,IF($Q$5=20,S10,IF($Q$5=21,S17,IF($Q$5=22,S10,IF($Q$5=23,S10,IF($Q$5=24,S10,IF($Q$5=25,S13,IF($Q$5=26,S10,IF($Q$5=27,S10,IF($Q$5=28,S13,IF($Q$5=29,S10,IF($Q$5=30,S11,IF($Q$5=31,S10,IF($Q$5=32,S11,IF($Q$5=33,S11,IF($Q$5=34,S11,IF($Q$5=35,S11,IF($Q$5=36,S13,IF($Q$5=37,S13,IF($Q$5=38,S13,IF($Q$5=39,S13,IF($Q$5=40,S13,IF($Q$5=41,S13,IF($Q$5=42,S13,IF($Q$5=43,S13,IF($Q$5=44,S13,IF($Q$5=45,S13,IF($Q$5=46,S13,IF($Q$5=47,S13,IF($Q$5=48,S13,IF($Q$5=49,S13,IF($Q$5=50,S13,IF($Q$5=51,S13,IF($Q$5=52,S13,IF($Q$5=53,S13,IF($Q$5=54,S13,0)))))))))))))))))))))))))))))))))))))))))))))))</f>
        <v>B5</v>
      </c>
      <c r="W11" s="145" t="str">
        <f>IF($Q$5=10,L12,IF($Q$5=11,T10,IF($Q$5=12,Q10,IF(Q$5=14,T11,IF($Q$5=15,T11,IF(Q$5=16,S15,IF($Q$5=17,T13,IF($Q$5=18,T13,IF($Q$5=19,S17,IF($Q$5=20,T11,IF($Q$5=21,T10,IF($Q$5=22,T13,IF($Q$5=23,T13,IF($Q$5=24,T13,IF($Q$5=25,T13,IF($Q$5=26,T13,IF($Q$5=27,T13,IF($Q$5=28,T13,IF($Q$5=29,T13,IF($Q$5=30,T13,IF($Q$5=31,T13,IF($Q$5=32,T10,IF($Q$5=33,T10,IF($Q$5=34,T10,IF($Q$5=35,T10,IF($Q$5=36,T14,IF($Q$5=37,T14,IF($Q$5=38,T14,IF($Q$5=39,T14,IF($Q$5=40,T14,IF($Q$5=41,T14,IF($Q$5=42,T14,IF($Q$5=43,T14,IF($Q$5=44,T14,IF($Q$5=45,T14,IF($Q$5=46,T14,IF($Q$5=47,T14,IF($Q$5=48,T14,IF($Q$5=49,T14,IF($Q$5=50,T14,IF($Q$5=51,T14,IF($Q$5=52,T14,IF($Q$5=53,T14,IF($Q$5=54,T14,0))))))))))))))))))))))))))))))))))))))))))))</f>
        <v>C3</v>
      </c>
      <c r="X11" s="18"/>
      <c r="Y11" s="382">
        <v>1</v>
      </c>
      <c r="Z11" s="9" t="str">
        <f>+O10</f>
        <v>A1</v>
      </c>
      <c r="AA11" s="25">
        <v>6</v>
      </c>
      <c r="AB11" s="38">
        <f>IF(AA11+AA15=0,0,IF(AA11=AA15,2,IF(AA11&gt;AA15,3,1)))</f>
        <v>2</v>
      </c>
      <c r="AC11" s="10">
        <f>AA11-AA15</f>
        <v>0</v>
      </c>
      <c r="AD11" s="6"/>
      <c r="AE11" s="9" t="str">
        <f>+R10</f>
        <v>A2</v>
      </c>
      <c r="AF11" s="107">
        <v>5</v>
      </c>
      <c r="AG11" s="38">
        <f>IF(AF11+AF15=0,0,IF(AF11=AF15,2,IF(AF11&gt;AF15,3,1)))</f>
        <v>1</v>
      </c>
      <c r="AH11" s="10">
        <f>AF11-AF15</f>
        <v>-5</v>
      </c>
      <c r="AI11" s="6"/>
      <c r="AJ11" s="9" t="str">
        <f>+U10</f>
        <v>A1</v>
      </c>
      <c r="AK11" s="28">
        <v>4</v>
      </c>
      <c r="AL11" s="38">
        <f>IF(AK11+AK15=0,0,IF(AK11=AK15,2,IF(AK11&gt;AK15,3,1)))</f>
        <v>1</v>
      </c>
      <c r="AM11" s="10">
        <f>AK11-AK15</f>
        <v>-1</v>
      </c>
      <c r="AN11" s="18"/>
      <c r="AO11" s="44">
        <v>3</v>
      </c>
      <c r="AP11" s="278" t="str">
        <f>+Inscrits!B5</f>
        <v>A3</v>
      </c>
      <c r="AQ11" s="247">
        <f t="shared" si="3"/>
        <v>1</v>
      </c>
      <c r="AR11" s="82">
        <f t="shared" si="4"/>
        <v>-5</v>
      </c>
      <c r="AS11" s="184">
        <f t="shared" si="5"/>
        <v>5</v>
      </c>
      <c r="AT11" s="250">
        <f t="shared" si="6"/>
        <v>3</v>
      </c>
      <c r="AU11" s="82">
        <f t="shared" si="7"/>
        <v>5</v>
      </c>
      <c r="AV11" s="252">
        <f t="shared" si="8"/>
        <v>10</v>
      </c>
      <c r="AW11" s="247">
        <f t="shared" si="9"/>
        <v>3</v>
      </c>
      <c r="AX11" s="82">
        <f t="shared" si="10"/>
        <v>5</v>
      </c>
      <c r="AY11" s="252">
        <f t="shared" si="11"/>
        <v>14</v>
      </c>
      <c r="AZ11" s="247">
        <f t="shared" ref="AZ11:AZ62" si="17">SUMIFS(AQ11:AW11,$AQ$8:$AW$8,"Pts",AQ11:AW11,"&lt;&gt;#N/A")</f>
        <v>7</v>
      </c>
      <c r="BA11" s="82">
        <f t="shared" si="12"/>
        <v>5</v>
      </c>
      <c r="BB11" s="252">
        <f t="shared" si="13"/>
        <v>29</v>
      </c>
      <c r="BC11" s="255">
        <f t="shared" si="14"/>
        <v>0</v>
      </c>
      <c r="BD11" s="7">
        <f t="shared" si="15"/>
        <v>5</v>
      </c>
      <c r="BE11" s="183">
        <f t="shared" si="16"/>
        <v>3.9471001100000005</v>
      </c>
      <c r="BF11" s="82">
        <f>IF(AP11="","",SMALL(BE$9:BE$62,ROWS(AZ$9:AZ11)))</f>
        <v>1.97920045</v>
      </c>
      <c r="BH11" s="82" t="str">
        <f>IF(OR(AP11="",AZ11=""),"",INDEX($AP$9:$AP$63,MATCH(BF11,$BE$9:BE$62,0)))</f>
        <v>C1</v>
      </c>
      <c r="BI11" s="7">
        <f t="shared" si="0"/>
        <v>8</v>
      </c>
      <c r="BJ11" s="7">
        <f t="shared" si="1"/>
        <v>2</v>
      </c>
      <c r="BK11" s="7">
        <f t="shared" si="2"/>
        <v>8</v>
      </c>
      <c r="BL11" s="17">
        <f>IF(BF11="","",IF(AND(BI10=BI11,BJ10=BJ11,BK10=BK11),BL10,$BL$9+2))</f>
        <v>2</v>
      </c>
      <c r="BM11" s="22"/>
      <c r="BN11" s="31"/>
    </row>
    <row r="12" spans="1:66" ht="21.6" thickBot="1" x14ac:dyDescent="0.35">
      <c r="A12" s="111">
        <v>3</v>
      </c>
      <c r="B12" s="330" t="s">
        <v>68</v>
      </c>
      <c r="C12" s="235">
        <f>IF($Q$5&gt;7,3,0)</f>
        <v>3</v>
      </c>
      <c r="D12" s="335" t="s">
        <v>86</v>
      </c>
      <c r="E12" s="235">
        <f>IF($Q$5&gt;7,3,0)</f>
        <v>3</v>
      </c>
      <c r="F12" s="333" t="s">
        <v>104</v>
      </c>
      <c r="G12" s="235">
        <f>IF($Q$5=8,0,3)</f>
        <v>3</v>
      </c>
      <c r="H12" s="18"/>
      <c r="I12" s="165">
        <v>3</v>
      </c>
      <c r="J12" s="172" t="str">
        <f>IF(ISNA(MATCH(I12,$C$10:$C$27,0)),"",INDEX(B$10:$B$27,MATCH(I12,$C$10:$C$27,0)))</f>
        <v>A3</v>
      </c>
      <c r="K12" s="117" t="str">
        <f>IF(ISNA(MATCH(I12,$E$10:$E$27,0)),"",INDEX($D$10:D$27,MATCH(I12,$E$10:$E$27,0)))</f>
        <v>B3</v>
      </c>
      <c r="L12" s="160" t="str">
        <f>IF(ISNA(MATCH(I12,$G$10:$G$27,0)),"",INDEX($F$10:F$27,MATCH(I12,$G$10:$G$27,0)))</f>
        <v>C3</v>
      </c>
      <c r="M12" s="130"/>
      <c r="N12" s="67">
        <v>2</v>
      </c>
      <c r="O12" s="118" t="str">
        <f>IF($Q$5&gt;=8,J12,0)</f>
        <v>A3</v>
      </c>
      <c r="P12" s="119" t="str">
        <f>IF($Q$5&gt;=10,K12,IF($Q$5=8,L10,IF($Q$5=9,L11,0)))</f>
        <v>B3</v>
      </c>
      <c r="Q12" s="120" t="str">
        <f>IF($Q$5=11,L12,IF($Q$5=12,L12,IF($Q$5=15,L14,IF($Q$5=16,L12,IF($Q$5=17,L12,IF($Q$5=18,L12,IF($Q$5=19,L12,IF($Q$5=20,L12,IF($Q$5=21,L12,IF($Q$5=22,L12,IF($Q$5=23,L12,IF($Q$5=24,L12,IF($Q$5=25,L12,IF($Q$5=26,L12,IF($Q$5=27,L12,IF($Q$5=28,L12,IF($Q$5=29,L12,IF($Q$5=30,L12,IF($Q$5=31,L12,IF($Q$5=32,L12,IF($Q$5=33,L12,IF($Q$5=34,L12,IF($Q$5=35,L12,IF($Q$5=36,L12,IF($Q$5=37,L12,IF($Q$5=38,L12,IF($Q$5=39,L12,IF($Q$5=40,L12,IF($Q$5=41,L12,IF($Q$5=42,L12,IF($Q$5=43,L12,IF($Q$5=44,L12,IF($Q$5=45,L12,IF($Q$5=46,L12,IF($Q$5=47,L12,IF($Q$5=48,L12,IF($Q$5=49,L12,IF($Q$5=50,L12,IF($Q$5=51,L12,IF($Q$5=52,L12,IF($Q$5=53,L12,IF($Q$5=54,L12,0))))))))))))))))))))))))))))))))))))))))))</f>
        <v>C3</v>
      </c>
      <c r="R12" s="135" t="str">
        <f>IF($Q$5=8,J11,IF($Q$5=9,O11,IF($Q$5=10,J10,IF($Q$5=11,J11,IF(Q$5=12,J12,IF($Q$5=13,J10,IF($Q$5=14,J13,IF($Q$5=15,J13,IF($Q$5=16,J13,IF($Q$5=17,J14,IF($Q$5=18,J14,IF($Q$5=19,J12,IF($Q$5=20,J11,IF($Q$5=21,J11,IF($Q$5=22,J13,IF($Q$5=23,J13,IF($Q$5=24,J13,IF($Q$5=25,J13,IF($Q$5=26,J13,IF($Q$5=27,J13,IF($Q$5=28,J13,IF($Q$5=29,J13,IF($Q$5=30,J13,IF($Q$5=31,J13,IF($Q$5=32,J13,IF($Q$5=33,J13,IF($Q$5=34,J13,IF($Q$5=35,J13,IF($Q$5=36,J13,IF($Q$5=37,J13,IF($Q$5=38,J13,IF($Q$5=39,J13,IF($Q$5=40,J13,IF($Q$5=41,J13,IF($Q$5=42,J13,IF($Q$5=43,J13,IF($Q$5=44,J13,IF($Q$5=45,J13,IF($Q$5=46,J13,IF($Q$5=47,J13,IF($Q$5=48,J13,IF($Q$5=49,J13,IF($Q$5=50,C13,IF($Q$5=51,C13,IF($Q$5=52,C13,IF($Q$5=53,O13,IF($Q$5=54,O13,0)))))))))))))))))))))))))))))))))))))))))))))))</f>
        <v>A4</v>
      </c>
      <c r="S12" s="132" t="str">
        <f>IF($Q$5=8,K11,IF($Q$5=9,P10,IF($Q$5=10,K11,IF($Q$5=11,K11,IF($Q$5=12,K11,IF($Q$5=13,K11,IF($Q$5=14,K10,IF($Q$5=15,K11,IF($Q$5=16,K14,IF($Q$5=17,K11,IF($Q$5=18,K11,IF($Q$5=19,K11,IF($Q$5=20,K10,IF($Q$5=21,K11,IF($Q$5=22,K11,IF($Q$5=23,K15,IF($Q$5=24,K10,IF($Q$5=25,K11,IF($Q$5=26,K11,IF($Q$5=27,K11,IF($Q$5=28,K11,IF($Q$5=29,K11,IF($Q$5=30,K11,IF($Q$5=31,K10,IF($Q$5=32,K11,IF($Q$5=33,K11,IF($Q$5=34,K11,IF($Q$5=35,K11,IF($Q$5=36,K14,IF($Q$5=37,K14,IF($Q$5=38,K14,IF($Q$5=39,K14,IF($Q$5=40,K14,IF($Q$5=41,K14,IF($Q$5=42,K14,IF($Q$5=43,K14,IF($Q$5=44,K14,IF($Q$5=45,K14,IF($Q$5=46,K14,IF($Q$5=47,K14,IF($Q$5=48,K14,IF($Q$5=49,K14,IF($Q$5=50,K14,IF($Q$5=51,K14,IF($Q$5=52,K14,IF($Q$5=53,K14,IF($Q$5=54,K14,0)))))))))))))))))))))))))))))))))))))))))))))))</f>
        <v>B2</v>
      </c>
      <c r="T12" s="151" t="str">
        <f>IF($Q$5=11,L10,IF($Q$5=12,L10,IF($Q$5=15,Q12,IF($Q$5=16,L10,IF($Q$5=17,L13,IF($Q$5=18,L15,IF($Q$5=19,P15,IF($Q$5=20,L13,IF($Q$5=21,L13,IF($Q$5=22,L14,IF($Q$5=23,L11,IF($Q$5=24,L11,IF($Q$5=25,P19,IF($Q$5=26,P19,IF($Q$5=27,P19,IF($Q$5=28,L10,IF($Q$5=29,L13,IF($Q$5=30,L14,IF($Q$5=31,L14,IF($Q$5=32,L14,IF($Q$5=33,L14,IF($Q$5=34,L14,IF($Q$5=35,L14,IF($Q$5=36,L15,IF($Q$5=37,L15,IF($Q$5=38,L15,IF($Q$5=39,L15,IF($Q$5=40,L15,IF($Q$5=41,L15,IF($Q$5=42,L15,IF($Q$5=43,L15,IF($Q$5=44,L15,IF($Q$5=45,L15,IF($Q$5=46,L15,IF($Q$5=47,L15,IF($Q$5=48,L15,IF($Q$5=49,L15,IF($Q$5=50,L15,IF($Q$5=51,L15,IF($Q$5=52,L15,IF($Q$5=53,L15,IF($Q$5=54,L15,0))))))))))))))))))))))))))))))))))))))))))</f>
        <v>C5</v>
      </c>
      <c r="U12" s="140" t="str">
        <f>IF($Q$5=8,J10,IF($Q$5=9,O12,IF($Q$5=10,J11,IF($Q$5=11,O10,IF($Q$5=12,O11,IF($Q$5=13,R14,IF(Q$5=14,R13,IF($Q$5=15,R13,IF(Q$5=16,O14,IF($Q$5=17,O13,IF($Q$5=18,R11,IF($Q$5=19,R12,IF($Q$5=20,R12,IF($Q$5=21,O13,IF($Q$5=22,R10,IF($Q$5=23,O13,IF($Q$5=24,O12,IF($Q$5=25,O12,IF($Q$5=26,O12,IF($Q$5=27,O12,IF($Q$5=28,O12,IF($Q$5=29,O12,IF($Q$5=30,O12,IF($Q$5=31,O12,IF($Q$5=32,O12,IF($Q$5=33,O12,IF($Q$5=34,O12,IF($Q$5=35,R11,IF($Q$5=36,O14,IF($Q$5=37,O14,IF($Q$5=38,O14,IF($Q$5=39,O14,IF($Q$5=40,O14,IF($Q$5=41,O14,IF($Q$5=42,O14,IF($Q$5=43,O14,IF($Q$5=44,O14,IF($Q$5=45,O14,IF($Q$5=46,O14,IF($Q$5=47,O14,IF($Q$5=48,O14,IF($Q$5=49,R13,IF($Q$5=50,O14,IF($Q$5=51,O14,IF($Q$5=52,O14,IF($Q$5=53,O14,IF($Q$5=54,O14,0)))))))))))))))))))))))))))))))))))))))))))))))</f>
        <v>A3</v>
      </c>
      <c r="V12" s="132" t="str">
        <f>IF($Q$5=8,L11,IF($Q$5=9,Q10,IF($Q$5=10,L10,IF($Q$5=11,S13,IF($Q$5=12,P10,IF($Q$5=13,S10,IF($Q$5=14,S13,IF($Q$5=15,S11,IF($Q$5=16,S14,IF($Q$5=17,S11,IF($Q$5=18,S11,IF($Q$5=19,S11,IF($Q$5=20,S11,IF($Q$5=21,S11,IF($Q$5=22,S11,IF($Q$5=23,S11,IF($Q$5=24,S11,IF($Q$5=25,S11,IF($Q$5=26,S11,IF($Q$5=27,S11,IF($Q$5=28,S11,IF($Q$5=29,S11,IF($Q$5=30,S10,IF($Q$5=31,S11,IF($Q$5=32,S16,IF($Q$5=33,S16,IF($Q$5=34,S16,IF($Q$5=35,S16,IF($Q$5=36,S14,IF($Q$5=37,S14,IF($Q$5=38,S14,IF($Q$5=39,S14,IF($Q$5=40,S14,IF($Q$5=41,S14,IF($Q$5=42,S14,IF($Q$5=43,S14,IF($Q$5=44,S14,IF($Q$5=45,S14,IF($Q$5=46,S14,IF($Q$5=47,S14,IF($Q$5=48,S14,IF($Q$5=49,S14,IF($Q$5=50,S14,IF($Q$5=51,S14,IF($Q$5=52,S14,IF($Q$5=53,S14,IF($Q$5=54,S14,0)))))))))))))))))))))))))))))))))))))))))))))))</f>
        <v>B6</v>
      </c>
      <c r="W12" s="144" t="str">
        <f>IF($Q$5=11,T12,IF($Q$5=12,T13,IF($Q$5=14,T14,IF($Q$5=15,S15,IF(Q$5=16,T10,IF($Q$5=17,T14,IF($Q$5=18,T14,IF($Q$5=19,S16,IF($Q$5=20,S16,IF($Q$5=21,T14,IF($Q$5=22,T14,IF($Q$5=23,T14,IF($Q$5=24,T14,IF($Q$5=25,S19,IF($Q$5=26,T14,IF($Q$5=27,T14,IF($Q$5=28,T14,IF($Q$5=29,T14,IF($Q$5=30,T14,IF($Q$5=31,T14,IF($Q$5=32,T12,IF($Q$5=33,T12,IF($Q$5=34,T12,IF($Q$5=35,T12,IF($Q$5=36,T15,IF($Q$5=37,T15,IF($Q$5=38,T15,IF($Q$5=39,T15,IF($Q$5=40,T15,IF($Q$5=41,T15,IF($Q$5=42,T15,IF($Q$5=43,T15,IF($Q$5=44,T15,IF($Q$5=45,T15,IF($Q$5=46,T15,IF($Q$5=47,T15,IF($Q$5=48,T15,IF($Q$5=49,T15,IF($Q$5=50,T15,IF($Q$5=51,T15,IF($Q$5=52,T15,IF($Q$5=53,T15,IF($Q$5=54,T15,0)))))))))))))))))))))))))))))))))))))))))))</f>
        <v>C5</v>
      </c>
      <c r="X12" s="18"/>
      <c r="Y12" s="383"/>
      <c r="Z12" s="11" t="str">
        <f>+P10</f>
        <v>B1</v>
      </c>
      <c r="AA12" s="48">
        <f>IF(ISTEXT(Z12),AA11,0)</f>
        <v>6</v>
      </c>
      <c r="AB12" s="48">
        <f>IF(ISTEXT(Z12),AB11,0)</f>
        <v>2</v>
      </c>
      <c r="AC12" s="49">
        <f>IF(ISTEXT(Z12),AC11,0)</f>
        <v>0</v>
      </c>
      <c r="AD12" s="6"/>
      <c r="AE12" s="11" t="str">
        <f>+S10</f>
        <v>B4</v>
      </c>
      <c r="AF12" s="48">
        <f>IF(ISTEXT(AE12),AF11,0)</f>
        <v>5</v>
      </c>
      <c r="AG12" s="48">
        <f>IF(ISTEXT(AE12),AG11,0)</f>
        <v>1</v>
      </c>
      <c r="AH12" s="50">
        <f>IF(ISTEXT(AE12),AH11,0)</f>
        <v>-5</v>
      </c>
      <c r="AI12" s="6"/>
      <c r="AJ12" s="11" t="str">
        <f>+V10</f>
        <v>B4</v>
      </c>
      <c r="AK12" s="14">
        <f>IF(ISTEXT(AJ12),AK11,0)</f>
        <v>4</v>
      </c>
      <c r="AL12" s="48">
        <f>IF(ISTEXT(AJ12),AL11,0)</f>
        <v>1</v>
      </c>
      <c r="AM12" s="15">
        <f>IF(ISTEXT(AJ12),AM11,0)</f>
        <v>-1</v>
      </c>
      <c r="AN12" s="18"/>
      <c r="AO12" s="44">
        <v>4</v>
      </c>
      <c r="AP12" s="278" t="str">
        <f>+Inscrits!B6</f>
        <v>A4</v>
      </c>
      <c r="AQ12" s="247">
        <f t="shared" si="3"/>
        <v>3</v>
      </c>
      <c r="AR12" s="82">
        <f t="shared" si="4"/>
        <v>5</v>
      </c>
      <c r="AS12" s="184">
        <f t="shared" si="5"/>
        <v>10</v>
      </c>
      <c r="AT12" s="250">
        <f t="shared" si="6"/>
        <v>1</v>
      </c>
      <c r="AU12" s="82">
        <f t="shared" si="7"/>
        <v>-7</v>
      </c>
      <c r="AV12" s="252">
        <f t="shared" si="8"/>
        <v>5</v>
      </c>
      <c r="AW12" s="247">
        <f t="shared" si="9"/>
        <v>3</v>
      </c>
      <c r="AX12" s="82">
        <f t="shared" si="10"/>
        <v>1</v>
      </c>
      <c r="AY12" s="252">
        <f t="shared" si="11"/>
        <v>5</v>
      </c>
      <c r="AZ12" s="247">
        <f t="shared" si="17"/>
        <v>7</v>
      </c>
      <c r="BA12" s="82">
        <f t="shared" si="12"/>
        <v>-1</v>
      </c>
      <c r="BB12" s="252">
        <f t="shared" si="13"/>
        <v>20</v>
      </c>
      <c r="BC12" s="255">
        <f t="shared" si="14"/>
        <v>-1</v>
      </c>
      <c r="BD12" s="7">
        <f t="shared" si="15"/>
        <v>0</v>
      </c>
      <c r="BE12" s="183">
        <f t="shared" si="16"/>
        <v>4.0080001200000002</v>
      </c>
      <c r="BF12" s="82">
        <f>IF(AP12="","",SMALL(BE$9:BE$62,ROWS(AZ$9:AZ12)))</f>
        <v>3.9190001400000001</v>
      </c>
      <c r="BH12" s="82" t="str">
        <f>IF(OR(AP12="",AZ12=""),"",INDEX($AP$9:$AP$63,MATCH(BF12,$BE$9:BE$62,0)))</f>
        <v>A6</v>
      </c>
      <c r="BI12" s="7">
        <f t="shared" si="0"/>
        <v>7</v>
      </c>
      <c r="BJ12" s="7">
        <f t="shared" si="1"/>
        <v>8</v>
      </c>
      <c r="BK12" s="7">
        <f t="shared" si="2"/>
        <v>10</v>
      </c>
      <c r="BL12" s="17">
        <f>IF(BF12="","",IF(AND(BI11=BI12,BJ11=BJ12,BK11=BK12),BL11,$BL$9+3))</f>
        <v>4</v>
      </c>
      <c r="BM12" s="22"/>
      <c r="BN12" s="31"/>
    </row>
    <row r="13" spans="1:66" ht="21.6" thickBot="1" x14ac:dyDescent="0.35">
      <c r="A13" s="111">
        <v>4</v>
      </c>
      <c r="B13" s="330" t="s">
        <v>69</v>
      </c>
      <c r="C13" s="236">
        <f>IF($Q$5=8,0,IF($Q$5=9,0,4))</f>
        <v>4</v>
      </c>
      <c r="D13" s="335" t="s">
        <v>87</v>
      </c>
      <c r="E13" s="235">
        <f>IF($Q$5&gt;=11,4,0)</f>
        <v>4</v>
      </c>
      <c r="F13" s="333" t="s">
        <v>105</v>
      </c>
      <c r="G13" s="235">
        <f>IF($Q$5&gt;=12,4,0)</f>
        <v>4</v>
      </c>
      <c r="H13" s="18"/>
      <c r="I13" s="165">
        <v>4</v>
      </c>
      <c r="J13" s="172" t="str">
        <f>IF(ISNA(MATCH(I13,$C$10:$C$27,0)),"",INDEX(B$10:$B$27,MATCH(I13,$C$10:$C$27,0)))</f>
        <v>A4</v>
      </c>
      <c r="K13" s="117" t="str">
        <f>IF(ISNA(MATCH(I13,$E$10:$E$27,0)),"",INDEX($D$10:D$27,MATCH(I13,$E$10:$E$27,0)))</f>
        <v>B4</v>
      </c>
      <c r="L13" s="160" t="str">
        <f>IF(ISNA(MATCH(I13,$G$10:$G$27,0)),"",INDEX($F$10:F$27,MATCH(I13,$G$10:$G$27,0)))</f>
        <v>C4</v>
      </c>
      <c r="M13" s="130"/>
      <c r="N13" s="42" t="s">
        <v>5</v>
      </c>
      <c r="O13" s="121" t="str">
        <f>IF($Q$5&gt;=10,J13,IF($Q$5=8,K12,IF($Q$5=9,K12,0)))</f>
        <v>A4</v>
      </c>
      <c r="P13" s="122" t="str">
        <f>IF($Q$5=8,L11,IF($Q$5=9,L12,IF($Q$5=10,L12,IF($Q$5=11,K13,IF($Q$5=12,K13,IF($Q$5=13,L11,IF($Q$5=14,K13,IF($Q$5=15,K13,IF($Q$5=16,K13,IF($Q$5=17,K13,IF($Q$5=18,K13,IF($Q$5=19,K13,IF($Q$5=20,K13,IF($Q$5=21,K13,IF(Q$5=22,K13,IF($Q$5=23,K13,IF($Q$5=24,K13,IF($Q$5=25,K13,IF($Q$5=26,K13,IF($Q$5=27,K13,IF($Q$5=28,K13,IF($Q$5=29,K13,IF($Q$5=30,K13,IF($Q$5=31,K13,IF($Q$5=32,K13,IF($Q$5=33,K13,IF($Q$5=34,K13,IF($Q$5=35,K13,IF($Q$5=36,K13,IF($Q$5=37,K13,IF($Q$5=38,K13,IF($Q$5=39,K13,IF($Q$5=40,K13,IF($Q$5=41,K13,IF($Q$5=42,K13,IF($Q$5=43,K13,IF($Q$5=44,K13,IF($Q$5=45,K13,IF($Q$5=46,K13,IF($Q$5=47,K13,IF($Q$5=48,K13,IF($Q$5=49,K13,IF($Q$5=50,K13,IF($Q$5=51,K13,IF($Q$5=52,K13,IF($Q$5=53,K13,IF($Q$5=54,K13,0)))))))))))))))))))))))))))))))))))))))))))))))</f>
        <v>B4</v>
      </c>
      <c r="Q13" s="123" t="str">
        <f>IF($Q$5=12,L13,IF($Q$5=16,L13,IF($Q$5=17,L13,IF($Q$5=18,L13,IF($Q$5=20,L13,IF($Q$5=21,L13,IF($Q$5=22,L13,IF($Q$5=23,L13,IF($Q$5=24,L13,IF($Q$5=25,L13,IF($Q$5=26,L13,IF($Q$5=27,L13,IF($Q$5=28,L13,IF($Q$5=29,L13,IF($Q$5=30,L13,IF($Q$5=31,L13,IF($Q$5=32,L13,IF($Q$5=33,L13,IF($Q$5=34,L13,IF($Q$5=35,L13,IF($Q$5=36,L13,IF($Q$5=37,L13,IF($Q$5=38,L13,IF($Q$5=39,L13,IF($Q$5=40,L13,IF($Q$5=41,L13,IF($Q$5=42,L13,IF($Q$5=43,L13,IF($Q$5=44,L13,IF($Q$5=45,L13,IF($Q$5=46,L13,IF($Q$5=47,L13,IF($Q$5=48,L13,IF($Q$5=49,L13,IF($Q$5=50,L13,IF($Q$5=51,L13,IF($Q$5=52,L13,IF($Q$5=53,L13,IF($Q$5=54,L13,0)))))))))))))))))))))))))))))))))))))))</f>
        <v>C4</v>
      </c>
      <c r="R13" s="136" t="str">
        <f>IF($Q$5=8,J12,IF($Q$5=9,O12,IF($Q$5=10,J11,IF($Q$5=11,J13,IF($Q$5=12,J11,IF($Q$5=13,J14,IF($Q$5=14,J14,IF($Q$5=15,J14,IF($Q$5=16,J14,IF($Q$5=17,J13,IF($Q$5=18,J11,IF($Q$5=19,J10,IF($Q$5=20,J13,IF($Q$5=21,J14,IF($Q$5=22,J14,IF($Q$5=23,J14,IF($Q$5=24,J14,IF($Q$5=25,J14,IF($Q$5=26,J14,IF($Q$5=27,J14,IF($Q$5=28,J14,IF($Q$5=29,J14,IF($Q$5=30,J14,IF($Q$5=31,J14,IF($Q$5=32,J14,IF($Q$5=33,J14,IF($Q$5=34,J14,IF($Q$5=35,J14,IF($Q$5=36,J14,IF($Q$5=37,J14,IF($Q$5=38,J14,IF($Q$5=39,J14,IF($Q$5=40,J14,IF($Q$5=41,J14,IF($Q$5=42,J14,IF($Q$5=43,J14,IF($Q$5=44,J14,IF($Q$5=45,J14,IF($Q$5=46,J14,IF($Q$5=47,J14,IF($Q$5=48,J14,IF($Q$5=49,J14,IF($Q$5=50,J14,IF($Q$5=51,J14,IF($Q$5=52,J14,IF($Q$5=53,J14,IF($Q$5=54,J14,0)))))))))))))))))))))))))))))))))))))))))))))))</f>
        <v>A5</v>
      </c>
      <c r="S13" s="137" t="str">
        <f>IF($Q$5=8,K10,IF($Q$5=9,Q10,IF($Q$5=10,K12,IF($Q$5=11,K12,IF($Q$5=12,K10,IF($Q$5=13,K12,IF($Q$5=14,K11,IF($Q$5=15,P12,IF($Q$5=16,K10,IF($Q$5=17,K12,IF($Q$5=18,K12,IF($Q$5=19,K12,IF($Q$5=20,K12,IF($Q$5=21,K12,IF($Q$5=22,K12,IF($Q$5=23,K16,IF($Q$5=24,K12,IF($Q$5=25,K12,IF($Q$5=26,K12,IF($Q$5=27,K12,IF($Q$5=28,K12,IF($Q$5=29,K12,IF($Q$5=30,K12,IF($Q$5=31,K12,IF($Q$5=32,K12,IF($Q$5=33,K12,IF($Q$5=34,K12,IF($Q$5=35,K12,IF($Q$5=36,K15,IF($Q$5=37,K15,IF($Q$5=38,K15,IF($Q$5=39,K15,IF($Q$5=40,K15,IF($Q$5=41,K15,IF($Q$5=42,K15,IF($Q$5=43,K15,IF($Q$5=44,K15,IF($Q$5=45,K15,IF($Q$5=46,K15,IF($Q$5=47,K15,IF($Q$5=48,K15,IF($Q$5=49,K15,IF($Q$5=50,K15,IF($Q$5=51,K15,IF($Q$5=52,K15,IF($Q$5=53,K15,IF($Q$5=54,K15,0)))))))))))))))))))))))))))))))))))))))))))))))</f>
        <v>B3</v>
      </c>
      <c r="T13" s="153" t="str">
        <f>IF($Q$5=12,L13,IF($Q$5=16,L11,IF($Q$5=17,L14,IF($Q$5=18,L14,IF($Q$5=19,0,IF($Q$5=20,P16,IF($Q$5=21,L14,IF($Q$5=22,L15,IF($Q$5=23,L16,IF($Q$5=24,L15,IF($Q$5=25,L14,IF($Q$5=26,L14,IF($Q$5=27,L14,IF($Q$5=28,L14,IF($Q$5=29,L14,IF($Q$5=30,L15,IF($Q$5=31,L11,IF($Q$5=32,L13,IF($Q$5=33,L13,IF($Q$5=34,L13,IF($Q$5=35,L13,IF($Q$5=36,L16,IF($Q$5=37,L16,IF($Q$5=38,L16,IF($Q$5=39,L16,IF($Q$5=40,L16,IF($Q$5=41,L16,IF($Q$5=42,L16,IF($Q$5=43,L16,IF($Q$5=44,L16,IF($Q$5=45,L16,IF($Q$5=46,L16,IF($Q$5=47,L16,IF($Q$5=48,L16,IF($Q$5=49,L16,IF($Q$5=50,L16,IF($Q$5=51,L16,IF($Q$5=52,L16,IF($Q$5=53,L16,IF($Q$5=54,L16,0))))))))))))))))))))))))))))))))))))))))</f>
        <v>C4</v>
      </c>
      <c r="U13" s="156" t="str">
        <f>IF($Q$5=8,K12,IF($Q$5=9,R10,IF($Q$5=10,J12,IF($Q$5=11,O12,IF($Q$5=12,O13,IF($Q$5=13,R13,IF($Q$5=14,R14,IF($Q$5=15,R14,IF(Q$5=16,O15,IF($Q$5=17,R11,IF($Q$5=18,O14,IF($Q$5=19,R11,IF($Q$5=20,R11,IF($Q$5=21,R12,IF($Q$5=22,O13,IF($Q$5=23,R14,IF($Q$5=24,O14,IF($Q$5=25,R13,IF($Q$5=26,O14,IF($Q$5=27,O14,IF($Q$5=28,O14,IF($Q$5=29,O14,IF($Q$5=30,O14,IF($Q$5=31,O14,IF($Q$5=32,O14,IF($Q$5=33,O14,IF($Q$5=34,O14,IF($Q$5=35,R13,IF($Q$5=36,O15,IF($Q$5=37,O15,IF($Q$5=38,O15,IF($Q$5=39,O15,IF($Q$5=40,O15,IF($Q$5=41,O15,IF($Q$5=42,O15,IF($Q$5=43,O15,IF($Q$5=44,O15,IF($Q$5=45,O15,IF($Q$5=46,O15,IF($Q$5=47,O15,IF($Q$5=48,O15,IF($Q$5=49,R14,IF($Q$5=50,O15,IF($Q$5=51,O15,IF($Q$5=52,O15,IF($Q$5=53,O15,IF($Q$5=54,O15,0)))))))))))))))))))))))))))))))))))))))))))))))</f>
        <v>A5</v>
      </c>
      <c r="V13" s="137" t="str">
        <f>IF($Q$5=8,K11,IF($Q$5=9,S11,IF($Q$5=10,K11,IF($Q$5=11,S11,IF($Q$5=12,S12,IF($Q$5=13,S14,IF($Q$5=14,S11,IF($Q$5=15,S12,IF($Q$5=16,S13,IF($Q$5=17,S14,IF($Q$5=18,S14,IF($Q$5=19,S12,IF($Q$5=20,S14,IF($Q$5=21,S14,IF($Q$5=22,S14,IF($Q$5=23,S14,IF($Q$5=24,S14,IF($Q$5=25,S14,IF($Q$5=26,S14,IF($Q$5=27,S14,IF($Q$5=28,S14,IF($Q$5=29,S16,IF($Q$5=30,S14,IF($Q$5=31,S14,IF($Q$5=32,S17,IF($Q$5=33,S17,IF($Q$5=34,S17,IF($Q$5=35,S17,IF($Q$5=36,S15,IF($Q$5=37,S15,IF($Q$5=38,S15,IF($Q$5=39,S15,IF($Q$5=40,S15,IF($Q$5=41,S15,IF($Q$5=42,S15,IF($Q$5=43,S15,IF($Q$5=44,S15,IF($Q$5=45,S15,IF($Q$5=46,S15,IF($Q$5=47,S15,IF($Q$5=48,S15,IF($Q$5=49,S15,IF($Q$5=50,S15,IF($Q$5=51,S15,IF($Q$5=52,S15,IF($Q$5=53,S15,IF($Q$5=54,S15,0)))))))))))))))))))))))))))))))))))))))))))))))</f>
        <v>B7</v>
      </c>
      <c r="W13" s="146" t="str">
        <f>IF($Q$5=12,T10,IF($Q$5=16,T13,IF($Q$5=17,T11,IF($Q$5=18,T15,IF($Q$5=20,T13,IF($Q$5=21,T11,IF($Q$5=22,T15,IF($Q$5=23,T15,IF($Q$5=24,T15,IF($Q$5=25,T14,IF($Q$5=26,T15,IF($Q$5=27,T15,IF($Q$5=28,T15,IF($Q$5=29,T15,IF($Q$5=30,T15,IF($Q$5=31,T15,IF($Q$5=32,T14,IF($Q$5=33,T14,IF($Q$5=34,T14,IF($Q$5=35,T14,IF($Q$5=36,T16,IF($Q$5=37,T16,IF($Q$5=38,T16,IF($Q$5=39,T16,IF($Q$5=40,T16,IF($Q$5=41,T16,IF($Q$5=42,T16,IF($Q$5=43,T16,IF($Q$5=44,T16,IF($Q$5=45,T16,IF($Q$5=46,T16,IF($Q$5=47,T16,IF($Q$5=48,T16,IF($Q$5=49,T16,IF($Q$5=50,T16,IF($Q$5=51,T16,IF($Q$5=52,T16,IF($Q$5=53,T16,IF($Q$5=54,T16,0)))))))))))))))))))))))))))))))))))))))</f>
        <v>C7</v>
      </c>
      <c r="X13" s="18"/>
      <c r="Y13" s="383"/>
      <c r="Z13" s="11" t="str">
        <f>+Q10</f>
        <v>C1</v>
      </c>
      <c r="AA13" s="51">
        <f>IF(ISTEXT(Z13),AA11,0)</f>
        <v>6</v>
      </c>
      <c r="AB13" s="52">
        <f>IF(ISTEXT(Z13),AB11,0)</f>
        <v>2</v>
      </c>
      <c r="AC13" s="53">
        <f>IF(ISTEXT(Z13),AC11,0)</f>
        <v>0</v>
      </c>
      <c r="AD13" s="6"/>
      <c r="AE13" s="11" t="str">
        <f>+T10</f>
        <v>C3</v>
      </c>
      <c r="AF13" s="51">
        <f>IF(ISTEXT(AE13),AF11,0)</f>
        <v>5</v>
      </c>
      <c r="AG13" s="52">
        <f>IF(ISTEXT(AE13),AG11,0)</f>
        <v>1</v>
      </c>
      <c r="AH13" s="54">
        <f>IF(ISTEXT(AE13),AH11,0)</f>
        <v>-5</v>
      </c>
      <c r="AI13" s="6"/>
      <c r="AJ13" s="11" t="str">
        <f>+W10</f>
        <v>C2</v>
      </c>
      <c r="AK13" s="55">
        <f>IF(ISTEXT(AJ13),AK11,0)</f>
        <v>4</v>
      </c>
      <c r="AL13" s="52">
        <f>IF(ISTEXT(AJ13),AL11,0)</f>
        <v>1</v>
      </c>
      <c r="AM13" s="56">
        <f>IF(ISTEXT(AJ13),AM11,0)</f>
        <v>-1</v>
      </c>
      <c r="AN13" s="18"/>
      <c r="AO13" s="44">
        <v>5</v>
      </c>
      <c r="AP13" s="278" t="str">
        <f>+Inscrits!B7</f>
        <v>A5</v>
      </c>
      <c r="AQ13" s="247">
        <f t="shared" si="3"/>
        <v>3</v>
      </c>
      <c r="AR13" s="82">
        <f t="shared" si="4"/>
        <v>2</v>
      </c>
      <c r="AS13" s="184">
        <f t="shared" si="5"/>
        <v>2</v>
      </c>
      <c r="AT13" s="250">
        <f t="shared" si="6"/>
        <v>3</v>
      </c>
      <c r="AU13" s="82">
        <f t="shared" si="7"/>
        <v>7</v>
      </c>
      <c r="AV13" s="252">
        <f t="shared" si="8"/>
        <v>12</v>
      </c>
      <c r="AW13" s="247">
        <f t="shared" si="9"/>
        <v>1</v>
      </c>
      <c r="AX13" s="82">
        <f t="shared" si="10"/>
        <v>-5</v>
      </c>
      <c r="AY13" s="252">
        <f t="shared" si="11"/>
        <v>9</v>
      </c>
      <c r="AZ13" s="247">
        <f t="shared" si="17"/>
        <v>7</v>
      </c>
      <c r="BA13" s="82">
        <f t="shared" si="12"/>
        <v>4</v>
      </c>
      <c r="BB13" s="252">
        <f t="shared" si="13"/>
        <v>23</v>
      </c>
      <c r="BC13" s="255">
        <f t="shared" si="14"/>
        <v>0</v>
      </c>
      <c r="BD13" s="7">
        <f t="shared" si="15"/>
        <v>4</v>
      </c>
      <c r="BE13" s="183">
        <f t="shared" si="16"/>
        <v>3.9577001300000001</v>
      </c>
      <c r="BF13" s="82">
        <f>IF(AP13="","",SMALL(BE$9:BE$62,ROWS(AZ$9:AZ13)))</f>
        <v>3.9278004800000001</v>
      </c>
      <c r="BH13" s="82" t="str">
        <f>IF(OR(AP13="",AZ13=""),"",INDEX($AP$9:$AP$63,MATCH(BF13,$BE$9:BE$62,0)))</f>
        <v>C4</v>
      </c>
      <c r="BI13" s="7">
        <f t="shared" si="0"/>
        <v>7</v>
      </c>
      <c r="BJ13" s="7">
        <f t="shared" si="1"/>
        <v>7</v>
      </c>
      <c r="BK13" s="7">
        <f t="shared" si="2"/>
        <v>22</v>
      </c>
      <c r="BL13" s="17">
        <f>IF(BF13="","",IF(AND(BI12=BI13,BJ12=BJ13,BK12=BK13),BL12,$BL$9+4))</f>
        <v>5</v>
      </c>
      <c r="BM13" s="22"/>
      <c r="BN13" s="31"/>
    </row>
    <row r="14" spans="1:66" ht="21" x14ac:dyDescent="0.3">
      <c r="A14" s="111">
        <v>5</v>
      </c>
      <c r="B14" s="330" t="s">
        <v>70</v>
      </c>
      <c r="C14" s="235">
        <f>IF($Q$5&gt;=13,5,0)</f>
        <v>5</v>
      </c>
      <c r="D14" s="335" t="s">
        <v>88</v>
      </c>
      <c r="E14" s="235">
        <f>IF($Q$5&gt;=14,5,0)</f>
        <v>5</v>
      </c>
      <c r="F14" s="333" t="s">
        <v>106</v>
      </c>
      <c r="G14" s="235">
        <f>IF($Q$5&gt;=15,5,0)</f>
        <v>5</v>
      </c>
      <c r="H14" s="18"/>
      <c r="I14" s="165">
        <v>5</v>
      </c>
      <c r="J14" s="172" t="str">
        <f>IF(ISNA(MATCH(I14,$C$10:$C$27,0)),"",INDEX(B$10:$B$27,MATCH(I14,$C$10:$C$27,0)))</f>
        <v>A5</v>
      </c>
      <c r="K14" s="117" t="str">
        <f>IF(ISNA(MATCH(I14,$E$10:$E$27,0)),"",INDEX($D$10:D$27,MATCH(I14,$E$10:$E$27,0)))</f>
        <v>B5</v>
      </c>
      <c r="L14" s="160" t="str">
        <f>IF(ISNA(MATCH(I14,$G$10:$G$27,0)),"",INDEX($F$10:F$27,MATCH(I14,$G$10:$G$27,0)))</f>
        <v>C5</v>
      </c>
      <c r="M14" s="130"/>
      <c r="N14" s="67">
        <v>3</v>
      </c>
      <c r="O14" s="118" t="str">
        <f>IF($Q$5=13,J14,IF($Q$5=14,J14,IF($Q$5=15,J14,IF($Q$5=16,J14,IF($Q$5=17,J14,IF($Q$5=18,J14,IF($Q$5=19,J14,IF($Q$5=20,J14,IF($Q$5=21,J14,IF($Q$5=22,J14,IF($Q$5=23,J14,IF($Q$5=24,J14,IF($Q$5=25,J14,IF($Q$5=26,J14,IF($Q$5=27,J14,IF($Q$5=28,J14,IF($Q$5=29,J14,IF($Q$5=29,J14,IF($Q$5=30,J14,IF($Q$5=31,J14,IF($Q$5=32,J14,IF($Q$5=33,J14,IF($Q$5=34,J14,IF($Q$5=35,J14,IF($Q$5=36,J14,IF($Q$5=37,J14,IF($Q$5=38,J14,IF($Q$5=39,J14,IF($Q$5=40,J14,IF($Q$5=41,J14,IF($Q$5=42,J14,IF($Q$5=43,J14,IF($Q$5=44,J14,IF($Q$5=45,J14,IF($Q$5=46,J14,IF($Q$5=47,J14,IF($Q$5=48,J14,IF($Q$5=49,J14,IF($Q$5=50,J14,IF($Q$5=51,J14,IF($Q$5=52,J14,IF($Q$5=53,J14,IF($Q$5=54,J14,0)))))))))))))))))))))))))))))))))))))))))))</f>
        <v>A5</v>
      </c>
      <c r="P14" s="119" t="str">
        <f>IF($Q$5=13,L12,IF($Q$5=14,L12,IF($Q$5=15,L12,IF($Q$5=16,K14,IF($Q$5=17,K14,IF($Q$5=18,K14,IF($Q$5=19,K14,IF($Q$5=20,K14,IF($Q$5=21,K14,IF($Q$5=22,K14,IF($Q$5=23,K14,IF($Q$5=24,K14,IF($Q$5=25,K14,IF($Q$5=26,K14,IF($Q$5=27,K14,IF($Q$5=28,K14,IF($Q$5=29,K14,IF($Q$5=30,K14,IF($Q$5=31,K14,IF($Q$5=32,K14,IF($Q$5=33,K14,IF($Q$5=34,K14,IF($Q$5=35,K14,IF($Q$5=36,K14,IF($Q$5=37,K14,IF($Q$5=38,K14,IF($Q$5=39,K14,IF($Q$5=40,K14,IF($Q$5=41,K14,IF($Q$5=42,K14,IF($Q$5=43,K14,IF($Q$5=44,K14,IF($Q$5=45,K14,IF($Q$5=46,K14,IF($Q$5=47,K14,IF($Q$5=48,K14,IF($Q$5=49,K14,IF($Q$5=50,K14,IF($Q$5=51,K14,IF($Q$5=52,K14,IF($Q$5=53,K14,IF($Q$5=54,K14,0))))))))))))))))))))))))))))))))))))))))))</f>
        <v>B5</v>
      </c>
      <c r="Q14" s="120" t="str">
        <f>IF($Q$5=17,L14,IF($Q$5=18,L14,IF($Q$5=21,L14,IF($Q$5=22,L14,IF($Q$5=23,L14,IF($Q$5=24,L14,IF($Q$5=25,L14,IF($Q$5=26,L14,IF($Q$5=27,L14,IF($Q$5=28,L14,IF($Q$5=29,L14,IF($Q$5=30,L14,IF($Q$5=31,L14,IF($Q$5=32,L14,IF($Q$5=33,L14,IF($Q$5=34,L14,IF($Q$5=35,L14,IF($Q$5=36,L14,IF($Q$5=37,L14,IF($Q$5=38,L14,IF($Q$5=39,L14,IF($Q$5=40,L14,IF($Q$5=41,L14,IF($Q$5=42,L14,IF($Q$5=43,L14,IF($Q$5=44,L14,IF($Q$5=45,L14,IF($Q$5=46,L14,IF($Q$5=47,L14,IF($Q$5=48,L14,IF($Q$5=49,L14,IF($Q$5=50,L14,IF($Q$5=51,L14,IF($Q$5=52,L14,IF($Q$5=53,L14,IF($Q$5=54,L14,0))))))))))))))))))))))))))))))))))))</f>
        <v>C5</v>
      </c>
      <c r="R14" s="135" t="str">
        <f>IF($Q$5=13,J13,IF($Q$5=14,J10,IF($Q$5=15,J10,IF($Q$5=16,J15,IF($Q$5=17,J11,IF($Q$5=18,J13,IF($Q$5=19,J14,IF($Q$5=20,J14,IF($Q$5=21,J13,IF($Q$5=22,J15,IF($Q$5=23,J15,IF($Q$5=24,J15,IF($Q$5=25,J15,IF($Q$5=26,J15,IF($Q$5=27,J15,IF($Q$5=28,J15,IF($Q$5=29,J15,IF($Q$5=30,J15,IF($Q$5=31,J15,IF($Q$5=32,J15,IF($Q$5=33,J15,IF($Q$5=34,J15,IF($Q$5=35,J15,IF($Q$5=36,J15,IF($Q$5=37,J15,IF($Q$5=38,J15,IF($Q$5=39,J15,IF($Q$5=40,J15,IF($Q$5=41,J15,IF($Q$5=42,J15,IF($Q$5=43,J15,IF($Q$5=44,J15,IF($Q$5=45,J15,IF($Q$5=46,J15,IF($Q$5=47,J15,IF($Q$5=48,J15,IF($Q$5=49,J15,IF($Q$5=50,J15,IF($Q$5=51,J15,IF($Q$5=52,J15,IF($Q$5=53,J15,IF($Q$5=54,J15,0))))))))))))))))))))))))))))))))))))))))))</f>
        <v>A6</v>
      </c>
      <c r="S14" s="138" t="str">
        <f>IF($Q$5=13,P14,IF($Q$5=14,L11,IF($Q$5=15,L10,IF($Q$5=16,K11,IF($Q$5=17,K15,IF($Q$5=18,K15,IF($Q$5=19,P10,IF($Q$5=20,K11,IF($Q$5=21,K15,IF($Q$5=22,K15,IF($Q$5=23,D17,IF($Q$5=24,K17,IF($Q$5=25,K16,IF($Q$5=26,K17,IF($Q$5=27,K15,IF($Q$5=28,K17,IF($Q$5=29,K15,IF($Q$5=30,K15,IF($Q$5=31,K17,IF($Q$5=32,K17,IF($Q$5=33,K17,IF($Q$5=34,K17,IF($Q$5=35,K17,IF($Q$5=36,K16,IF($Q$5=37,K16,IF($Q$5=38,K16,IF($Q$5=39,K16,IF($Q$5=40,K16,IF($Q$5=41,K16,IF($Q$5=42,K16,IF($Q$5=43,K16,IF($Q$5=44,K16,IF($Q$5=45,K16,IF($Q$5=46,K16,IF($Q$5=47,K16,IF($Q$5=48,K16,IF($Q$5=49,K16,IF($Q$5=50,K16,IF($Q$5=51,K16,IF($Q$5=52,K16,IF($Q$5=53,K16,IF($Q$5=54,K16,0))))))))))))))))))))))))))))))))))))))))))</f>
        <v>B8</v>
      </c>
      <c r="T14" s="154" t="str">
        <f>IF($Q$5=17,L10,IF($Q$5=18,L11,IF($Q$5=20,0,IF($Q$5=21,P16,IF($Q$5=22,P17,IF($Q$5=23,L15,IF($Q$5=24,L14,IF($Q$5=25,P17,IF($Q$5=26,L15,IF($Q$5=27,L15,IF($Q$5=28,L15,IF($Q$5=29,L15,IF($Q$5=30,L11,IF($Q$5=31,L16,IF($Q$5=32,L16,IF($Q$5=33,L16,IF($Q$5=34,L16,IF($Q$5=35,L16,IF($Q$5=36,L17,IF($Q$5=37,L17,IF($Q$5=38,L17,IF($Q$5=39,L17,IF($Q$5=40,L17,IF($Q$5=41,L17,IF($Q$5=42,L17,IF($Q$5=43,L17,IF($Q$5=44,L17,IF($Q$5=45,L17,IF($Q$5=46,L17,IF($Q$5=47,L17,IF($Q$5=48,L17,IF($Q$5=49,L17,IF($Q$5=50,L17,IF($Q$5=51,L17,IF($Q$5=52,L17,IF($Q$5=53,L17,IF($Q$5=54,L17,0)))))))))))))))))))))))))))))))))))))</f>
        <v>C7</v>
      </c>
      <c r="U14" s="135" t="str">
        <f>IF($Q$5=13,R10,IF($Q$5=14,R10,IF($Q$5=15,O11,IF($Q$5=16,O13,IF($Q$5=17,O11,IF($Q$5=18,R13,IF($Q$5=19,R10,IF($Q$5=20,R14,IF($Q$5=21,R11,IF($Q$5=22,O14,IF($Q$5=23,R17,IF($Q$5=24,R10,IF($Q$5=25,R10,IF($Q$5=26,O11,IF($Q$5=27,O11,IF($Q$5=28,R10,IF($Q$5=29,O11,IF($Q$5=30,R10,IF($Q$5=31,O15,IF($Q$5=32,O15,IF($Q$5=33,O15,IF($Q$5=34,O15,IF($Q$5=35,O15,IF($Q$5=36,O16,IF($Q$5=37,O16,IF($Q$5=38,O16,IF($Q$5=39,O16,IF($Q$5=40,O16,IF($Q$5=41,O16,IF($Q$5=42,O16,IF($Q$5=43,O16,IF($Q$5=44,O16,IF($Q$5=45,O16,IF($Q$5=46,O16,IF($Q$5=47,O16,IF($Q$5=48,O16,IF($Q$5=49,R15,IF($Q$5=50,O16,IF($Q$5=51,O16,IF($Q$5=52,O16,IF($Q$5=53,O16,IF($Q$5=54,O16,0))))))))))))))))))))))))))))))))))))))))))</f>
        <v>A6</v>
      </c>
      <c r="V14" s="132" t="str">
        <f>IF($Q$5=13,T10,IF($Q$5=14,P14,IF($Q$5=15,S13,IF($Q$5=16,S12,IF($Q$5=17,S15,IF($Q$5=18,S15,IF($Q$5=19,S13,IF($Q$5=20,S15,IF($Q$5=21,S10,IF($Q$5=22,S15,IF($Q$5=23,S17,IF($Q$5=24,S15,IF($Q$5=25,S15,IF($Q$5=26,S15,IF($Q$5=27,S15,IF($Q$5=28,S15,IF($Q$5=29,S15,IF($Q$5=30,S15,IF($Q$5=31,T11,IF($Q$5=32,S15,IF($Q$5=33,S15,IF($Q$5=34,S15,IF($Q$5=35,S15,IF($Q$5=36,S16,IF($Q$5=37,S16,IF($Q$5=38,S16,IF($Q$5=39,S16,IF($Q$5=40,S16,IF($Q$5=41,S16,IF($Q$5=42,S16,IF($Q$5=43,S16,IF($Q$5=44,S16,IF($Q$5=45,S16,IF($Q$5=46,S16,IF($Q$5=47,S16,IF($Q$5=48,S16,IF($Q$5=49,S16,IF($Q$5=50,S16,IF($Q$5=51,S16,IF($Q$5=52,S16,IF($Q$5=53,S16,IF($Q$5=54,S16,0))))))))))))))))))))))))))))))))))))))))))</f>
        <v>B9</v>
      </c>
      <c r="W14" s="144" t="str">
        <f>IF($Q$5=17,T10,IF($Q$5=18,T11,IF($Q$5=21,T13,IF($Q$5=22,T11,IF($Q$5=23,T11,IF($Q$5=24,T16,IF($Q$5=25,S17,IF($Q$5=26,S17,IF($Q$5=27,T16,IF($Q$5=28,T16,IF($Q$5=29,T16,IF($Q$5=30,T16,IF($Q$5=31,S19,IF($Q$5=32,T15,IF($Q$5=33,T15,IF($Q$5=34,T18,IF($Q$5=35,T20,IF($Q$5=36,T17,IF($Q$5=37,T17,IF($Q$5=38,T17,IF($Q$5=39,T17,IF($Q$5=40,T17,IF($Q$5=41,T17,IF($Q$5=42,T17,IF($Q$5=43,T17,IF($Q$5=44,T17,IF($Q$5=45,T17,IF($Q$5=46,T17,IF($Q$5=47,T17,IF($Q$5=48,T17,IF($Q$5=49,T17,IF($Q$5=50,T17,IF($Q$5=51,T17,IF($Q$5=52,T17,IF($Q$5=53,T17,IF($Q$5=54,T17,0))))))))))))))))))))))))))))))))))))</f>
        <v>C11</v>
      </c>
      <c r="X14" s="18"/>
      <c r="Y14" s="383"/>
      <c r="Z14" s="24"/>
      <c r="AA14" s="16" t="s">
        <v>5</v>
      </c>
      <c r="AB14" s="16"/>
      <c r="AC14" s="17"/>
      <c r="AD14" s="1"/>
      <c r="AE14" s="24"/>
      <c r="AF14" s="16" t="s">
        <v>5</v>
      </c>
      <c r="AG14" s="16"/>
      <c r="AH14" s="17"/>
      <c r="AI14" s="1"/>
      <c r="AJ14" s="24"/>
      <c r="AK14" s="16" t="s">
        <v>5</v>
      </c>
      <c r="AL14" s="16"/>
      <c r="AM14" s="17"/>
      <c r="AN14" s="18"/>
      <c r="AO14" s="44">
        <v>6</v>
      </c>
      <c r="AP14" s="278" t="str">
        <f>+Inscrits!B8</f>
        <v>A6</v>
      </c>
      <c r="AQ14" s="247">
        <f t="shared" si="3"/>
        <v>1</v>
      </c>
      <c r="AR14" s="82">
        <f t="shared" si="4"/>
        <v>-2</v>
      </c>
      <c r="AS14" s="184" t="str">
        <f t="shared" si="5"/>
        <v>0</v>
      </c>
      <c r="AT14" s="250">
        <f t="shared" si="6"/>
        <v>3</v>
      </c>
      <c r="AU14" s="82">
        <f t="shared" si="7"/>
        <v>5</v>
      </c>
      <c r="AV14" s="252">
        <f t="shared" si="8"/>
        <v>5</v>
      </c>
      <c r="AW14" s="247">
        <f t="shared" si="9"/>
        <v>3</v>
      </c>
      <c r="AX14" s="82">
        <f t="shared" si="10"/>
        <v>5</v>
      </c>
      <c r="AY14" s="252">
        <f t="shared" si="11"/>
        <v>5</v>
      </c>
      <c r="AZ14" s="247">
        <f t="shared" si="17"/>
        <v>7</v>
      </c>
      <c r="BA14" s="82">
        <f t="shared" si="12"/>
        <v>8</v>
      </c>
      <c r="BB14" s="252">
        <f t="shared" si="13"/>
        <v>10</v>
      </c>
      <c r="BC14" s="255">
        <f t="shared" si="14"/>
        <v>0</v>
      </c>
      <c r="BD14" s="7">
        <f t="shared" si="15"/>
        <v>8</v>
      </c>
      <c r="BE14" s="183">
        <f t="shared" si="16"/>
        <v>3.9190001400000001</v>
      </c>
      <c r="BF14" s="82">
        <f>IF(AP14="","",SMALL(BE$9:BE$62,ROWS(AZ$9:AZ14)))</f>
        <v>3.9471001100000005</v>
      </c>
      <c r="BH14" s="82" t="str">
        <f>IF(OR(AP14="",AZ14=""),"",INDEX($AP$9:$AP$63,MATCH(BF14,$BE$9:BE$62,0)))</f>
        <v>A3</v>
      </c>
      <c r="BI14" s="7">
        <f t="shared" si="0"/>
        <v>7</v>
      </c>
      <c r="BJ14" s="7">
        <f t="shared" si="1"/>
        <v>5</v>
      </c>
      <c r="BK14" s="7">
        <f t="shared" si="2"/>
        <v>29</v>
      </c>
      <c r="BL14" s="17">
        <f>IF(BF14="","",IF(AND(BI13=BI14,BJ13=BJ14,BK13=BK14),BL13,$BL$9+5))</f>
        <v>6</v>
      </c>
      <c r="BM14" s="22"/>
      <c r="BN14" s="31"/>
    </row>
    <row r="15" spans="1:66" ht="21.6" thickBot="1" x14ac:dyDescent="0.35">
      <c r="A15" s="111">
        <v>6</v>
      </c>
      <c r="B15" s="330" t="s">
        <v>71</v>
      </c>
      <c r="C15" s="235">
        <f>IF($Q$5&gt;=16,6,0)</f>
        <v>6</v>
      </c>
      <c r="D15" s="335" t="s">
        <v>89</v>
      </c>
      <c r="E15" s="235">
        <f>IF($Q$5&gt;=17,6,0)</f>
        <v>6</v>
      </c>
      <c r="F15" s="333" t="s">
        <v>107</v>
      </c>
      <c r="G15" s="235">
        <f>IF($Q$5&gt;=18,6,0)</f>
        <v>6</v>
      </c>
      <c r="H15" s="18"/>
      <c r="I15" s="165">
        <v>6</v>
      </c>
      <c r="J15" s="172" t="str">
        <f>IF(ISNA(MATCH(I15,$C$10:$C$27,0)),"",INDEX(B$10:$B$27,MATCH(I15,$C$10:$C$27,0)))</f>
        <v>A6</v>
      </c>
      <c r="K15" s="117" t="str">
        <f>IF(ISNA(MATCH(I15,$E$10:$E$27,0)),"",INDEX($D$10:D$27,MATCH(I15,$E$10:$E$27,0)))</f>
        <v>B6</v>
      </c>
      <c r="L15" s="160" t="str">
        <f>IF(ISNA(MATCH(I15,$G$10:$G$27,0)),"",INDEX($F$10:F$27,MATCH(I15,$G$10:$G$27,0)))</f>
        <v>C6</v>
      </c>
      <c r="M15" s="130"/>
      <c r="N15" s="42" t="s">
        <v>5</v>
      </c>
      <c r="O15" s="121" t="str">
        <f>IF($Q$5=13,K13,IF($Q$5=14,K14,IF($Q$5=15,K14,IF($Q$5=16,J15,IF($Q$5=17,J15,IF($Q5=18,J15,IF($Q$5=19,J15,IF($Q$5=20,J15,IF($Q$5=21,J15,IF($Q$5=22,J15,IF($Q$5=23,J15,IF($Q$5=24,J15,IF($Q$5=25,J15,IF($Q$5=26,J15,IF($Q$5=27,J15,IF($Q$5=28,J15,IF($Q$5=29,J15,IF($Q$5=30,J15,IF($Q$5=31,J15,IF($Q$5=32,J15,IF($Q$5=33,J15,IF($Q$5=34,J15,IF($Q$5=35,J15,IF($Q$5=36,J15,IF($Q$5=37,J15,IF($Q$5=38,J15,IF($Q$5=39,J15,IF($Q$5=40,J15,IF($Q$5=41,J15,IF($Q$5=42,J15,IF($Q$5=43,J15,IF($Q$5=44,J15,IF($Q$5=45,J15,IF($Q$5=46,J15,IF($Q$5=47,J15,IF($Q$5=48,J15,IF($Q$5=49,J15,IF($Q$5=50,J15,IF($Q$5=51,J15,IF($Q$5=52,J15,IF($Q$5=53,J15,IF($Q$5=54,J15,0))))))))))))))))))))))))))))))))))))))))))</f>
        <v>A6</v>
      </c>
      <c r="P15" s="122" t="str">
        <f>IF($Q$5=13,L13,IF($Q$5=14,L13,IF($Q$5=15,L13,IF($Q$5=16,L14,IF($Q$5=17,K15,IF($Q$5=18,K15,IF($Q$5=19,L13,IF($Q$5=20,K15,IF($Q$5=21,K15,IF($Q$5=22,K15,IF($Q$5=23,K15,IF($Q$5=24,K15,IF($Q$5=25,K15,IF($Q$5=26,K15,IF($Q$5=27,K15,IF($Q$5=28,K15,IF($Q$5=29,K15,IF($Q$5=30,K15,IF($Q$5=31,K15,IF($Q$5=32,K15,IF($Q$5=33,K15,IF($Q$5=34,K15,IF($Q$5=35,K15,IF($Q$5=36,K15,IF($Q$5=37,K15,IF($Q$5=38,K15,IF($Q$5=39,K15,IF($Q$5=40,K15,IF($Q$5=41,K15,IF($Q$5=42,K15,IF($Q$5=43,K15,IF($Q$5=44,K15,IF($Q$5=45,K15,IF($Q$5=46,K15,IF($Q$5=47,K15,IF($Q$5=48,K15,IF($Q$5=49,K15,IF($Q$5=50,K15,IF($Q$5=51,K15,IF($Q$5=52,K15,IF($Q$5=53,K15,IF($Q$5=54,K15,0))))))))))))))))))))))))))))))))))))))))))</f>
        <v>B6</v>
      </c>
      <c r="Q15" s="123" t="str">
        <f>IF($Q$5=18,L15,IF($Q$5=22,L15,IF($Q$5=23,L15,IF(Q$5=24,L15,IF($Q$5=26,L15,IF($Q$5=27,L15,IF($Q$5=28,L15,IF($Q$5=29,L15,IF($Q$5=30,L15,IF($Q$5=31,L15,IF($Q$5=32,L15,IF($Q$5=33,L15,IF($Q$5=34,L15,IF($Q$5=35,L15,IF($Q$5=36,L15,IF($Q$5=37,L15,IF($Q$5=38,L15,IF($Q$5=39,L15,IF($Q$5=40,L15,IF($Q$5=41,L15,IF($Q$5=42,L15,IF($Q$5=43,L15,IF($Q$5=44,L15,IF($Q$5=45,L15,IF($Q$5=46,L15,IF($Q$5=47,L15,IF($Q$5=48,L15,IF($Q$5=49,L15,IF($Q$5=50,L15,IF($Q$5=51,L15,IF($Q$5=52,L15,IF($Q$5=53,L15,IF($Q$5=54,L15,0)))))))))))))))))))))))))))))))))</f>
        <v>C6</v>
      </c>
      <c r="R15" s="139" t="str">
        <f>IF($Q$5=13,K10,IF($Q$5=14,O15,IF($Q$5=15,O15,IF($Q$5=16,J10,IF($Q$5=17,J15,IF($Q$5=18,J15,IF($Q$5=19,J15,IF($Q$5=20,J15,IF($Q$5=21,J15,IF($Q$5=22,J16,IF($Q$5=23,J16,IF($Q$5=24,J16,IF($Q$5=25,J16,IF($Q$5=26,J16,IF($Q$5=27,J16,IF($Q$5=28,J16,IF($Q$5=29,O16,IF($Q$5=30,J16,IF($Q$5=31,J16,IF($Q$5=32,J16,IF($Q$5=33,J16,IF($Q$5=34,J16,IF($Q$5=35,J16,IF($Q$5=36,J16,IF($Q$5=37,J16,IF($Q$5=38,J16,IF($Q$5=39,J16,IF($Q$5=40,J16,IF($Q$5=41,J16,IF($Q$5=42,J16,IF($Q$5=43,J16,IF($Q$5=44,J16,IF($Q$5=45,J16,IF($Q$5=46,J16,IF($Q$5=47,J16,IF($Q$5=48,J16,IF($Q$5=49,J16,IF($Q$5=50,J16,IF($Q$5=51,J16,IF($Q$5=52,J16,IF($Q$5=53,J16,IF($Q$5=54,J16,0))))))))))))))))))))))))))))))))))))))))))</f>
        <v>A7</v>
      </c>
      <c r="S15" s="134" t="str">
        <f>IF($Q$5=13,O15,IF($Q$5=14,P14,IF($Q$5=15,L11,IF($Q$5=16,L12,IF(Q$5=17,P10,IF($Q$5=18,K10,IF($Q$5=19,L11,IF($Q$5=20,K13,IF($Q$5=21,L10,IF($Q$5=22,K16,IF($Q$5=23,D10,IF($Q$5=24,K13,IF($Q$5=25,K15,IF($Q$5=26,K13,IF($Q$5=27,K16,IF($Q$5=28,K16,IF($Q$5=29,K16,IF($Q$5=30,K16,IF($Q$5=31,K15,IF($Q$5=32,K18,IF($Q$5=33,K18,IF($Q$5=34,K18,IF($Q$5=35,K18,IF($Q$5=36,K17,IF($Q$5=37,K17,IF($Q$5=38,K17,IF($Q$5=39,K17,IF($Q$5=40,K17,IF($Q$5=41,K17,IF($Q$5=42,K17,IF($Q$5=43,K17,IF($Q$5=44,K17,IF($Q$5=45,K17,IF($Q$5=46,K17,IF($Q$5=47,K17,IF($Q$5=48,K17,IF($Q$5=49,K17,IF($Q$5=50,K17,IF($Q$5=51,K17,IF($Q$5=52,K17,IF($Q$5=53,K17,IF($Q$5=54,K17,0))))))))))))))))))))))))))))))))))))))))))</f>
        <v>B9</v>
      </c>
      <c r="T15" s="155" t="str">
        <f>IF($Q$5=17,0,IF($Q$5=18,L10,IF($Q$5=21,0,IF($Q$5=22,L10,IF($Q$5=23,L14,IF($Q$5=24,L16,IF($Q$5=25,0,IF($Q$5=26,P18,IF($Q$5=27,L16,IF($Q$5=28,L16,IF($Q$5=29,L16,IF($Q$5=30,L16,IF($Q$5=31,L10,IF($Q$5=32,L15,IF($Q$5=33,L15,IF($Q$5=34,L15,IF($Q$5=35,L15,IF($Q$5=36,L18,IF($Q$5=37,L18,IF($Q$5=38,L18,IF($Q$5=39,L18,IF($Q$5=40,L18,IF($Q$5=41,L18,IF($Q$5=42,L18,IF($Q$5=43,L18,IF($Q$5=44,L18,IF($Q$5=45,L18,IF($Q$5=46,L18,IF($Q$5=47,L18,IF($Q$5=48,L18,IF($Q$5=49,L18,IF($Q$5=50,L18,IF($Q$5=51,L18,IF($Q$5=52,L18,IF($Q$5=53,L18,IF($Q$5=54,L18,0))))))))))))))))))))))))))))))))))))</f>
        <v>C6</v>
      </c>
      <c r="U15" s="157" t="str">
        <f>IF($Q$5=13,O15,IF($Q$5=14,R15,IF($Q$5=15,R15,IF($Q$5=16,R10,IF($Q$5=17,R15,IF($Q$5=18,R15,IF($Q$5=19,R15,IF($Q$5=20,R15,IF($Q$5=21,R15,IF($Q$5=22,R15,IF($Q$5=23,R15,IF($Q$5=24,O16,IF($Q$5=25,R15,IF($Q$5=26,R15,IF($Q$5=27,O16,IF($Q$5=28,O16,IF($Q$5=29,O16,IF($Q$5=30,O16,IF($Q$5=31,R15,IF($Q$5=32,O17,IF($Q$5=33,O17,IF($Q$5=34,R16,IF($Q$5=35,R16,IF($Q$5=36,O17,IF($Q$5=37,O17,IF($Q$5=38,O17,IF($Q$5=39,O17,IF($Q$5=40,O17,IF($Q$5=41,O17,IF($Q$5=42,O17,IF($Q$5=43,O17,IF($Q$5=44,O17,IF($Q$5=45,O17,IF($Q$5=46,O17,IF($Q$5=47,O17,IF($Q$5=48,O17,IF($Q$5=49,R16,IF($Q$5=50,O17,IF($Q$5=51,O17,IF($Q$5=52,O17,IF($Q$5=53,O17,IF($Q$5=54,O17,0))))))))))))))))))))))))))))))))))))))))))</f>
        <v>A8</v>
      </c>
      <c r="V15" s="137" t="str">
        <f>IF($Q$5=13,S12,IF($Q$5=14,L13,IF($Q$5=15,T10,IF($Q$5=16,T12,IF($Q$5=17,S12,IF($Q$5=18,S10,IF($Q$5=19,T11,IF($Q$5=20,S12,IF($Q$5=21,S12,IF($Q$5=22,S16,IF($Q$5=23,S16,IF($Q$5=24,S16,IF($Q$5=25,S18,IF($Q$5=26,S16,IF($Q$5=27,S16,IF($Q$5=28,S16,IF($Q$5=29,S14,IF($Q$5=30,S16,IF($Q$5=31,S16,IF($Q$5=32,S21,IF($Q$5=33,S19,IF($Q$5=34,S19,IF($Q$5=35,S19,IF($Q$5=36,S17,IF($Q$5=37,S17,IF($Q$5=38,S17,IF($Q$5=39,S17,IF($Q$5=40,S17,IF($Q$5=41,S17,IF($Q$5=42,S17,IF($Q$5=43,S17,IF($Q$5=44,S17,IF($Q$5=45,S17,IF($Q$5=46,S17,IF($Q$5=47,S17,IF($Q$5=48,S17,IF($Q$5=49,S17,IF($Q$5=50,S17,IF($Q$5=51,S17,IF($Q$5=52,S17,IF($Q$5=53,S17,IF($Q$5=54,S17,0))))))))))))))))))))))))))))))))))))))))))</f>
        <v>B10</v>
      </c>
      <c r="W15" s="146" t="str">
        <f>IF($Q$5=18,T10,IF($Q$5=22,S17,IF($Q$5=23,T16,IF($Q$5=24,T17,IF($Q$5=25,0,IF($Q$5=26,T11,IF($Q$5=27,S17,IF($Q$5=28,T17,IF($Q$5=29,T17,IF($Q$5=30,T17,IF($Q$5=31,S20,IF($Q$5=32,T13,IF($Q$5=33,T13,IF($Q$5=34,T13,IF($Q$5=35,T13,IF($Q$5=36,T18,IF($Q$5=37,T18,IF($Q$5=38,T18,IF($Q$5=39,S23,IF($Q$5=40,T18,IF($Q$5=41,T18,IF($Q$5=42,T18,IF($Q$5=43,T18,IF($Q$5=44,T18,IF($Q$5=45,T18,IF($Q$5=46,T18,IF($Q$5=47,T18,IF($Q$5=48,T18,IF($Q$5=49,T18,IF($Q$5=50,T18,IF($Q$5=51,T18,IF($Q$5=52,T18,IF($Q$5=53,T18,IF($Q$5=54,T18,0))))))))))))))))))))))))))))))))))</f>
        <v>C4</v>
      </c>
      <c r="X15" s="18"/>
      <c r="Y15" s="383"/>
      <c r="Z15" s="11" t="str">
        <f>+O11</f>
        <v>A2</v>
      </c>
      <c r="AA15" s="26">
        <v>6</v>
      </c>
      <c r="AB15" s="23">
        <f>IF(AA11+AA15=0,0,IF(AA11=AA15,2,IF(AA11&lt;AA15,3,1)))</f>
        <v>2</v>
      </c>
      <c r="AC15" s="12">
        <f>AA15-AA11</f>
        <v>0</v>
      </c>
      <c r="AD15" s="6"/>
      <c r="AE15" s="11" t="str">
        <f>+R11</f>
        <v>A3</v>
      </c>
      <c r="AF15" s="108">
        <v>10</v>
      </c>
      <c r="AG15" s="23">
        <f>IF(AF11+AF15=0,0,IF(AF11=AF15,2,IF(AF11&lt;AF15,3,1)))</f>
        <v>3</v>
      </c>
      <c r="AH15" s="12">
        <f>AF15-AF11</f>
        <v>5</v>
      </c>
      <c r="AI15" s="6"/>
      <c r="AJ15" s="11" t="str">
        <f>+U11</f>
        <v>A4</v>
      </c>
      <c r="AK15" s="29">
        <v>5</v>
      </c>
      <c r="AL15" s="23">
        <f>IF(AK11+AK15=0,0,IF(AK11=AK15,2,IF(AK11&lt;AK15,3,1)))</f>
        <v>3</v>
      </c>
      <c r="AM15" s="12">
        <f>AK15-AK11</f>
        <v>1</v>
      </c>
      <c r="AN15" s="18"/>
      <c r="AO15" s="44">
        <v>7</v>
      </c>
      <c r="AP15" s="278" t="str">
        <f>+Inscrits!B9</f>
        <v>A7</v>
      </c>
      <c r="AQ15" s="247">
        <f t="shared" si="3"/>
        <v>3</v>
      </c>
      <c r="AR15" s="82">
        <f t="shared" si="4"/>
        <v>1</v>
      </c>
      <c r="AS15" s="184">
        <f t="shared" si="5"/>
        <v>1</v>
      </c>
      <c r="AT15" s="250">
        <f t="shared" si="6"/>
        <v>1</v>
      </c>
      <c r="AU15" s="82">
        <f t="shared" si="7"/>
        <v>-5</v>
      </c>
      <c r="AV15" s="252" t="str">
        <f t="shared" si="8"/>
        <v>0</v>
      </c>
      <c r="AW15" s="247">
        <f t="shared" si="9"/>
        <v>3</v>
      </c>
      <c r="AX15" s="82">
        <f t="shared" si="10"/>
        <v>1</v>
      </c>
      <c r="AY15" s="252">
        <f t="shared" si="11"/>
        <v>1</v>
      </c>
      <c r="AZ15" s="247">
        <f t="shared" si="17"/>
        <v>7</v>
      </c>
      <c r="BA15" s="82">
        <f t="shared" si="12"/>
        <v>-3</v>
      </c>
      <c r="BB15" s="252">
        <f t="shared" si="13"/>
        <v>2</v>
      </c>
      <c r="BC15" s="255">
        <f t="shared" si="14"/>
        <v>-3</v>
      </c>
      <c r="BD15" s="7">
        <f t="shared" si="15"/>
        <v>0</v>
      </c>
      <c r="BE15" s="183">
        <f t="shared" si="16"/>
        <v>4.0298001499999998</v>
      </c>
      <c r="BF15" s="82">
        <f>IF(AP15="","",SMALL(BE$9:BE$62,ROWS(AZ$9:AZ15)))</f>
        <v>3.9494003400000004</v>
      </c>
      <c r="BH15" s="82" t="str">
        <f>IF(OR(AP15="",AZ15=""),"",INDEX($AP$9:$AP$63,MATCH(BF15,$BE$9:BE$62,0)))</f>
        <v>B8</v>
      </c>
      <c r="BI15" s="7">
        <f t="shared" si="0"/>
        <v>7</v>
      </c>
      <c r="BJ15" s="7">
        <f t="shared" si="1"/>
        <v>5</v>
      </c>
      <c r="BK15" s="7">
        <f t="shared" si="2"/>
        <v>6</v>
      </c>
      <c r="BL15" s="17">
        <f>IF(BF15="","",IF(AND(BI14=BI15,BJ14=BJ15,BK14=BK15),BL14,$BL$9+6))</f>
        <v>7</v>
      </c>
      <c r="BM15" s="22"/>
      <c r="BN15" s="31"/>
    </row>
    <row r="16" spans="1:66" ht="21.6" thickBot="1" x14ac:dyDescent="0.35">
      <c r="A16" s="111">
        <v>7</v>
      </c>
      <c r="B16" s="330" t="s">
        <v>72</v>
      </c>
      <c r="C16" s="235">
        <f>IF($Q$5&gt;=19,7,0)</f>
        <v>7</v>
      </c>
      <c r="D16" s="335" t="s">
        <v>90</v>
      </c>
      <c r="E16" s="235">
        <f>IF($Q$5&gt;=20,7,0)</f>
        <v>7</v>
      </c>
      <c r="F16" s="333" t="s">
        <v>108</v>
      </c>
      <c r="G16" s="235">
        <f>IF($Q$5&gt;=21,7,0)</f>
        <v>7</v>
      </c>
      <c r="H16" s="18"/>
      <c r="I16" s="165">
        <v>7</v>
      </c>
      <c r="J16" s="172" t="str">
        <f>IF(ISNA(MATCH(I16,$C$10:$C$27,0)),"",INDEX(B$10:$B$27,MATCH(I16,$C$10:$C$27,0)))</f>
        <v>A7</v>
      </c>
      <c r="K16" s="117" t="str">
        <f>IF(ISNA(MATCH(I16,$E$10:$E$27,0)),"",INDEX($D$10:D$27,MATCH(I16,$E$10:$E$27,0)))</f>
        <v>B7</v>
      </c>
      <c r="L16" s="160" t="str">
        <f>IF(ISNA(MATCH(I16,$G$10:$G$27,0)),"",INDEX($F$10:F$27,MATCH(I16,$G$10:$G$27,0)))</f>
        <v>C7</v>
      </c>
      <c r="M16" s="130"/>
      <c r="N16" s="67">
        <v>4</v>
      </c>
      <c r="O16" s="118" t="str">
        <f>IF($Q$5=19,J16,IF($Q$5=20,J16,IF($Q$5=21,J16,IF($Q$5=22,J16,IF($Q$5=23,J16,IF(Q$5=24,J16,IF($Q$5=25,J16,IF($Q$5=26,J16,IF(Q$5=27,J16,IF($Q$5=28,J16,IF($Q$5=29,J16,IF($Q$5=30,J16,IF($Q$5=31,J16,IF($Q$5=32,J16,IF($Q$5=33,J16,IF($Q$5=34,J16,IF($Q$5=35,J16,IF($Q$5=36,J16,IF($Q$5=37,J16,IF($Q$5=38,J16,IF($Q$5=39,J16,IF($Q$5=40,J16,IF($Q$5=41,J16,IF($Q$5=42,J16,IF($Q$5=43,J16,IF($Q$5=44,J16,IF($Q$5=45,J16,IF($Q$5=46,J16,IF($Q$5=47,J16,IF($Q$5=48,J16,IF($Q$5=49,J16,IF($Q$5=50,J16,IF($Q$5=51,J16,IF($Q$5=52,J16,IF($Q$5=53,J16,IF($Q$5=54,J16,0))))))))))))))))))))))))))))))))))))</f>
        <v>A7</v>
      </c>
      <c r="P16" s="119" t="str">
        <f>IF($Q$5=19,L15,IF($Q$5=20,L14,IF($Q$5=21,L15,IF($Q$5=22,K16,IF($Q$5=23,K16,IF($Q$5=24,K16,IF($Q$5=25,K16,IF($Q$5=26,K16,IF($Q$5=27,K16,IF($Q$5=28,K16,IF($Q$5=29,K16,IF($Q$5=30,K16,IF($Q$5=31,K16,IF($Q$5=32,K16,IF($Q$5=33,K16,IF($Q$5=34,K16,IF($Q$5=35,K16,IF($Q$5=36,K16,IF($Q$5=37,K16,IF($Q$5=38,K16,IF($Q$5=39,K16,IF($Q$5=40,K16,IF($Q$5=41,K16,IF($Q$5=42,K16,IF($Q$5=43,K16,IF($Q$5=44,K16,IF($Q$5=45,K16,IF($Q$5=46,K16,IF($Q$5=47,K16,IF($Q$5=48,K16,IF($Q$5=49,K16,IF($Q$5=50,K16,IF($Q$5=51,K16,IF($Q$5=52,I16,IF($Q$5=53,K16,IF($Q$5=54,K16,0))))))))))))))))))))))))))))))))))))</f>
        <v>B7</v>
      </c>
      <c r="Q16" s="120" t="str">
        <f>IF($Q$5=23,L16,IF($Q$5=24,L16,IF($Q$5=27,L16,IF($Q$5=28,L16,IF($Q$5=29,L16,IF($Q$5=30,L16,IF($Q$5=31,L16,IF($Q$5=32,L16,IF($Q$5=33,L16,IF($Q$5=34,L16,IF($Q$5=35,L16,IF($Q$5=36,L16,IF($Q$5=37,L16,IF($Q$5=38,L16,IF($Q$5=39,L16,IF($Q$5=40,L16,IF($Q$5=41,L16,IF($Q$5=42,L16,IF($Q$5=43,L16,IF($Q$5=44,L16,IF($Q$5=45,L16,IF($Q$5=46,L16,IF($Q$5=47,L16,IF($Q$5=48,L16,IF($Q$5=49,L16,IF($Q$5=50,L16,IF($Q$5=51,L16,IF($Q$5=52,L16,IF($Q$5=53,L16,IF($Q$5=54,L16,0))))))))))))))))))))))))))))))</f>
        <v>C7</v>
      </c>
      <c r="R16" s="140" t="str">
        <f>IF($Q$5=19,J16,IF($Q$5=20,J16,IF($Q$5=21,J16,IF($Q$5=22,J17,IF($Q$5=23,J17,IF($Q$5=24,J17,IF($Q$5=25,J17,IF($Q$5=26,J17,IF($Q$5=27,J17,IF($Q$5=28,J17,IF($Q$5=29,J17,IF($Q$5=30,J17,IF($Q$5=31,J17,IF($Q$5=32,J17,IF($Q$5=33,J17,IF($Q$5=34,J17,IF($Q$5=35,J17,IF($Q$5=36,J17,IF($Q$5=37,J17,IF($Q$5=38,J17,IF($Q$5=39,J17,IF($Q$5=40,J17,IF($Q$5=41,J17,IF($Q$5=42,J17,IF($Q$5=43,J17,IF($Q$5=44,J17,IF($Q$5=45,J17,IF($Q$5=46,J17,IF($Q$5=47,J17,IF($Q$5=48,J17,IF($Q$5=49,J17,IF($Q$5=50,J17,IF($Q$5=51,J17,IF($Q$5=52,J17,IF($Q$5=53,J17,IF($Q$5=54,J17,0))))))))))))))))))))))))))))))))))))</f>
        <v>A8</v>
      </c>
      <c r="S16" s="132" t="str">
        <f>IF($Q$5=19,P16,IF($Q$5=20,L10,IF($Q$5=21,L11,IF($Q$5=22,K10,IF($Q$5=23,D11,IF($Q$5=24,K15,IF($Q$5=25,K10,IF($Q$5=26,K15,IF($Q$5=27,K17,IF(Q$5=28,K15,IF($Q$5=29,K17,IF($Q$5=30,K17,IF($Q$5=31,P18,IF($Q$5=32,K15,IF($Q$5=33,K15,IF($Q$5=34,K15,IF($Q$5=35,K15,IF($Q$5=36,K18,IF($Q$5=37,K18,IF($Q$5=38,K18,IF($Q$5=39,K18,IF($Q$5=40,K18,IF($Q$5=41,K18,IF($Q$5=42,K18,IF($Q$5=43,K18,IF($Q$5=44,K18,IF($Q$5=45,K18,IF($Q$5=46,K18,IF($Q$5=47,K18,IF($Q$5=48,K18,IF($Q$5=49,K18,IF($Q$5=50,K18,IF($Q$5=51,K18,IF($Q$5=52,K18,IF($Q$5=53,K18,IF($Q$5=54,K18,0))))))))))))))))))))))))))))))))))))</f>
        <v>B6</v>
      </c>
      <c r="T16" s="151" t="str">
        <f>IF($Q$5=22,0,IF($Q$5=23,L10,IF($Q$5=24,L10,IF($Q$5=26,0,IF($Q$5=27,P18,IF($Q$5=28,L17,IF($Q$5=29,L17,IF($Q$5=30,L17,IF($Q$5=31,L15,IF($Q$5=32,L10,IF($Q$5=33,L10,IF($Q$5=34,L10,IF($Q$5=35,L10,IF($Q$5=36,L19,IF($Q$5=37,P23,IF($Q$5=38,L19,IF($Q$5=39,L19,IF($Q$5=40,L19,IF($Q$5=41,L19,IF($Q$5=42,L19,IF($Q$5=43,L19,IF($Q$5=44,L19,IF($Q$5=45,L19,IF($Q$5=46,L19,IF($Q$5=47,L19,IF($Q$5=48,L19,IF($Q$5=49,L19,IF($Q$5=50,L19,IF($Q$5=51,L19,IF($Q$5=52,L19,IF($Q$5=53,L19,IF($Q$5=54,L19,0))))))))))))))))))))))))))))))))</f>
        <v>C1</v>
      </c>
      <c r="U16" s="140" t="str">
        <f>IF($Q$5=19,R16,IF($Q$5=20,R16,IF($Q$5=21,R16,IF($Q$5=22,R14,IF($Q$5=23,R16,IF($Q$5=24,R14,IF($Q$5=25,R14,IF($Q$5=26,R14,IF($Q$5=27,R14,IF($Q$5=28,R14,IF($Q$5=29,O15,IF($Q$5=30,O15,IF($Q$5=31,R16,IF($Q$5=32,R15,IF($Q$5=33,O16,IF($Q$5=34,O16,IF($Q$5=35,R15,IF($Q$5=36,O18,IF($Q$5=37,O18,IF($Q$5=38,O18,IF($Q$5=39,R17,IF($Q$5=40,O18,IF($Q$5=41,O18,IF($Q$5=42,O18,IF($Q$5=43,O18,IF($Q$5=44,O18,IF($Q$5=45,O18,IF($Q$5=46,O18,IF($Q$5=47,O18,IF($Q$5=48,O18,IF($Q$5=49,R17,IF($Q$5=50,O18,IF($Q$5=51,O18,IF($Q$5=52,O18,IF($Q$5=53,O18,IF($Q$5=54,O18,0))))))))))))))))))))))))))))))))))))</f>
        <v>A7</v>
      </c>
      <c r="V16" s="138" t="str">
        <f>IF($Q$5=19,S15,IF($Q$5=20,S17,IF($Q$5=21,S15,IF($Q$5=22,S12,IF($Q$5=23,S15,IF($Q$5=24,S12,IF($Q$5=25,S16,IF($Q$5=26,S19,IF($Q$5=27,T11,IF($Q$5=28,S19,IF($Q$5=29,S19,IF($Q$5=30,S19,IF($Q$5=31,R21,IF($Q$5=32,S20,IF($Q$5=33,S18,IF($Q$5=34,S18,IF($Q$5=35,S18,IF($Q$5=36,S18,IF($Q$5=37,S18,IF($Q$5=38,S18,IF($Q$5=39,S18,IF($Q$5=40,S18,IF($Q$5=41,S18,IF($Q$5=42,S18,IF($Q$5=43,S18,IF($Q$5=44,S18,IF($Q$5=45,S18,IF($Q$5=46,S18,IF($Q$5=47,S18,IF($Q$5=48,S18,IF($Q$5=49,S18,IF($Q$5=50,S18,IF($Q$5=51,S18,IF($Q$5=52,S18,IF($Q$5=53,S18,IF($Q$5=54,S18,0))))))))))))))))))))))))))))))))))))</f>
        <v>B1</v>
      </c>
      <c r="W16" s="145" t="str">
        <f>IF($Q$5=23,T10,IF($Q$5=24,T11,IF($Q$5=27,S18,IF($Q$5=28,T11,IF($Q$5=29,T12,IF($Q$5=30,T11,IF($Q$5=31,S18,IF($Q$5=32,T16,IF($Q$5=33,T16,IF($Q$5=34,T16,IF($Q$5=35,T19,IF($Q$5=36,T19,IF($Q$5=37,S21,IF($Q$5=38,T19,IF($Q$5=39,S22,IF($Q$5=40,T19,IF($Q$5=41,T19,IF($Q$5=42,T19,IF($Q$5=43,T19,IF($Q$5=44,T19,IF($Q$5=45,T19,IF($Q$5=46,T19,IF($Q$5=47,T19,IF($Q$5=48,T19,IF($Q$5=49,T19,IF($Q$5=50,T19,IF($Q$5=51,T19,IF($Q$5=52,T19,IF($Q$5=53,T19,IF($Q$5=54,T19,0))))))))))))))))))))))))))))))</f>
        <v>C1</v>
      </c>
      <c r="X16" s="18"/>
      <c r="Y16" s="383"/>
      <c r="Z16" s="11" t="str">
        <f>+P11</f>
        <v>B2</v>
      </c>
      <c r="AA16" s="57">
        <f>IF(ISTEXT(Z16),AA15,0)</f>
        <v>6</v>
      </c>
      <c r="AB16" s="14">
        <f>IF(ISTEXT(Z16),AB15,0)</f>
        <v>2</v>
      </c>
      <c r="AC16" s="15">
        <f>IF(ISTEXT(Z16),AC15,0)</f>
        <v>0</v>
      </c>
      <c r="AD16" s="6"/>
      <c r="AE16" s="11" t="str">
        <f>+S11</f>
        <v>B5</v>
      </c>
      <c r="AF16" s="14">
        <f>IF(ISTEXT(AE16),AF15,0)</f>
        <v>10</v>
      </c>
      <c r="AG16" s="14">
        <f>IF(ISTEXT(AE16),AG15,0)</f>
        <v>3</v>
      </c>
      <c r="AH16" s="15">
        <f>IF(ISTEXT(AE16),AH15,0)</f>
        <v>5</v>
      </c>
      <c r="AI16" s="6"/>
      <c r="AJ16" s="11" t="str">
        <f>+V11</f>
        <v>B5</v>
      </c>
      <c r="AK16" s="14">
        <f>IF(ISTEXT(AJ16),AK15,0)</f>
        <v>5</v>
      </c>
      <c r="AL16" s="14">
        <f>IF(ISTEXT(AJ16),AL15,0)</f>
        <v>3</v>
      </c>
      <c r="AM16" s="15">
        <f>IF(ISTEXT(AJ16),AM15,0)</f>
        <v>1</v>
      </c>
      <c r="AN16" s="18"/>
      <c r="AO16" s="44">
        <v>8</v>
      </c>
      <c r="AP16" s="278" t="str">
        <f>+Inscrits!B10</f>
        <v>A8</v>
      </c>
      <c r="AQ16" s="247">
        <f t="shared" si="3"/>
        <v>1</v>
      </c>
      <c r="AR16" s="82">
        <f t="shared" si="4"/>
        <v>-1</v>
      </c>
      <c r="AS16" s="184" t="str">
        <f t="shared" si="5"/>
        <v>0</v>
      </c>
      <c r="AT16" s="250">
        <f t="shared" si="6"/>
        <v>3</v>
      </c>
      <c r="AU16" s="82">
        <f t="shared" si="7"/>
        <v>1</v>
      </c>
      <c r="AV16" s="252">
        <f t="shared" si="8"/>
        <v>1</v>
      </c>
      <c r="AW16" s="247">
        <f t="shared" si="9"/>
        <v>1</v>
      </c>
      <c r="AX16" s="82">
        <f t="shared" si="10"/>
        <v>-5</v>
      </c>
      <c r="AY16" s="252" t="str">
        <f t="shared" si="11"/>
        <v>0</v>
      </c>
      <c r="AZ16" s="247">
        <f t="shared" si="17"/>
        <v>5</v>
      </c>
      <c r="BA16" s="82">
        <f t="shared" si="12"/>
        <v>-5</v>
      </c>
      <c r="BB16" s="252">
        <f t="shared" si="13"/>
        <v>1</v>
      </c>
      <c r="BC16" s="255">
        <f t="shared" si="14"/>
        <v>-5</v>
      </c>
      <c r="BD16" s="7">
        <f t="shared" si="15"/>
        <v>0</v>
      </c>
      <c r="BE16" s="183">
        <f t="shared" si="16"/>
        <v>21.04990016</v>
      </c>
      <c r="BF16" s="82">
        <f>IF(AP16="","",SMALL(BE$9:BE$62,ROWS(AZ$9:AZ16)))</f>
        <v>3.9494005500000005</v>
      </c>
      <c r="BH16" s="82" t="str">
        <f>IF(OR(AP16="",AZ16=""),"",INDEX($AP$9:$AP$63,MATCH(BF16,$BE$9:BE$62,0)))</f>
        <v>C11</v>
      </c>
      <c r="BI16" s="7">
        <f t="shared" si="0"/>
        <v>7</v>
      </c>
      <c r="BJ16" s="7">
        <f t="shared" si="1"/>
        <v>5</v>
      </c>
      <c r="BK16" s="7">
        <f t="shared" si="2"/>
        <v>6</v>
      </c>
      <c r="BL16" s="17">
        <f>IF(BF16="","",IF(AND(BI15=BI16,BJ15=BJ16,BK15=BK16),BL15,$BL$9+7))</f>
        <v>7</v>
      </c>
      <c r="BM16" s="22"/>
      <c r="BN16" s="31"/>
    </row>
    <row r="17" spans="1:66" ht="21.6" thickBot="1" x14ac:dyDescent="0.35">
      <c r="A17" s="111">
        <v>8</v>
      </c>
      <c r="B17" s="330" t="s">
        <v>73</v>
      </c>
      <c r="C17" s="235">
        <f>IF($Q$5&gt;=22,8,0)</f>
        <v>8</v>
      </c>
      <c r="D17" s="335" t="s">
        <v>91</v>
      </c>
      <c r="E17" s="235">
        <f>IF($Q$5&gt;=23,8,0)</f>
        <v>8</v>
      </c>
      <c r="F17" s="333" t="s">
        <v>109</v>
      </c>
      <c r="G17" s="235">
        <f>IF($Q$5&gt;=24,8,0)</f>
        <v>8</v>
      </c>
      <c r="H17" s="18"/>
      <c r="I17" s="165">
        <v>8</v>
      </c>
      <c r="J17" s="172" t="str">
        <f>IF(ISNA(MATCH(I17,$C$10:$C$27,0)),"",INDEX(B$10:$B$27,MATCH(I17,$C$10:$C$27,0)))</f>
        <v>A8</v>
      </c>
      <c r="K17" s="117" t="str">
        <f>IF(ISNA(MATCH(I17,$E$10:$E$27,0)),"",INDEX($D$10:D$27,MATCH(I17,$E$10:$E$27,0)))</f>
        <v>B8</v>
      </c>
      <c r="L17" s="160" t="str">
        <f>IF(ISNA(MATCH(I17,$G$10:$G$27,0)),"",INDEX($F$10:F$27,MATCH(I17,$G$10:$G$27,0)))</f>
        <v>C8</v>
      </c>
      <c r="M17" s="130"/>
      <c r="N17" s="42" t="s">
        <v>5</v>
      </c>
      <c r="O17" s="125" t="str">
        <f>IF($Q$5=19,K15,IF($Q$5=20,K16,IF($Q$5=21,K16,IF($Q$5=22,J17,IF($Q$5=23,J17,IF(Q$5=24,J17,IF($Q$5=25,J17,IF($Q$5=26,J17,IF($Q$5=27,J17,IF($Q$5=28,J17,IF($Q$5=29,J17,IF($Q$5=30,J17,IF($Q$5=31,J17,IF($Q$5=32,J17,IF($Q$5=33,J17,IF($Q$5=34,J17,IF($Q$5=35,J17,IF($Q$5=36,J17,IF($Q$5=37,J17,IF($Q$5=38,J17,IF($Q$5=39,J17,IF($Q$5=40,J17,IF($Q$5=41,J17,IF($Q$5=42,J17,IF($Q$5=43,J17,IF($Q$5=44,J17,IF($Q$5=45,J17,IF($Q$5=46,J17,IF($Q$5=47,J17,IF($Q$5=48,J17,IF($Q$5=49,J17,IF($Q$5=50,J17,IF($Q$5=51,J17,IF($Q$5=52,J17,IF($Q$5=53,J17,IF($Q$5=54,J17,0))))))))))))))))))))))))))))))))))))</f>
        <v>A8</v>
      </c>
      <c r="P17" s="126" t="str">
        <f>IF($Q$5=19,L14,IF($Q$5=20,L15,IF($Q$5=21,L16,IF(Q$5=22,L16,IF($Q$5=23,K17,IF($Q$5=24,K17,IF($Q$5=25,L15,IF($Q$5=26,K17,IF($Q$5=27,K17,IF($Q$5=28,K17,IF($Q$5=29,K17,IF($Q$5=30,K17,IF($Q$5=31,K17,IF($Q$5=32,K17,IF($Q$5=33,K17,IF($Q$5=34,K17,IF($Q$5=35,K17,IF($Q$5=36,K17,IF($Q$5=37,K17,IF($Q$5=38,K17,IF($Q$5=39,K17,IF($Q$5=40,K17,IF($Q$5=41,K17,IF($Q$5=42,K17,IF($Q$5=43,K17,IF($Q$5=44,K17,IF($Q$5=45,K17,IF($Q$5=46,K17,IF($Q$5=47,K17,IF($Q$5=48,K17,IF($Q$5=49,K17,IF($Q$5=50,K17,IF($Q$5=51,K17,IF($Q$5=52,K17,IF($Q$5=53,K17,IF($Q$5=54,K17,0))))))))))))))))))))))))))))))))))))</f>
        <v>B8</v>
      </c>
      <c r="Q17" s="123" t="str">
        <f>IF($Q$5=24,L17,IF($Q$5=28,L17,IF($Q$5=29,L17,IF($Q$5=30,L17,IF($Q$5=31,0,IF($Q$5=32,L17,IF($Q$5=33,L17,IF($Q$5=34,L17,IF($Q$5=35,L17,IF($Q$5=36,L17,IF($Q$5=37,L17,IF($Q$5=38,L17,IF($Q$5=39,L17,IF(Q$5=40,L17,IF($Q$5=41,L17,IF($Q$5=42,L17,IF($Q$5=43,L17,IF($Q$5=44,L17,IF($Q$5=45,L17,IF($Q$5=46,L17,IF($Q$5=47,L17,IF($Q$5=48,L17,IF($Q$5=49,L17,IF($Q$5=50,L17,IF($Q$5=51,L17,IF($Q$5=52,L17,IF($Q$5=53,L17,IF($Q$5=54,L17,0))))))))))))))))))))))))))))</f>
        <v>C8</v>
      </c>
      <c r="R17" s="136" t="str">
        <f>IF($Q$5=19,K15,IF($Q$5=20,O17,IF($Q$5=21,O17,IF($Q$5=22,J10,IF($Q$5=23,J10,IF($Q$5=24,J10,IF($Q$5=25,J18,IF($Q$5=26,J18,IF($Q$5=27,J18,IF($Q$5=28,J18,IF($Q$5=29,J18,IF($Q$5=30,J18,IF($Q$5=31,J18,IF($Q$5=32,J18,IF($Q$5=33,J18,IF($Q$5=34,J18,IF($Q$5=35,J18,IF($Q$5=36,J18,IF($Q$5=37,J18,IF($Q$5=38,J18,IF($Q$5=39,J18,IF($Q$5=40,J18,IF($Q$5=41,J18,IF($Q$5=42,J18,IF($Q$5=43,J18,IF($Q$5=44,J18,IF($Q$5=45,J18,IF($Q$5=46,J18,IF($Q$5=47,J18,IF($Q$5=48,J18,IF($Q$5=49,J18,IF($Q$5=50,J18,IF($Q$5=51,J18,IF($Q$5=52,J18,IF($Q$5=53,J18,IF($Q$5=54,J18,0))))))))))))))))))))))))))))))))))))</f>
        <v>A9</v>
      </c>
      <c r="S17" s="137" t="str">
        <f>IF($Q$5=19,L12,IF($Q$5=20,K15,IF($Q$5=21,L12,IF($Q$5=22,L11,IF($Q$5=23,K12,IF($Q$5=24,K11,IF($Q$5=25,L10,IF($Q$5=26,L10,IF($Q$5=27,L10,IF($Q$5=28,K10,IF($Q$5=29,K19,IF($Q$5=30,K19,IF(Q$5=31,P16,IF($Q$5=32,K16,IF($Q$5=33,K16,IF($Q$5=34,K16,IF($Q$5=35,K16,IF($Q$5=36,K19,IF($Q$5=37,K19,IF($Q$5=38,K19,IF($Q$5=39,K19,IF($Q$5=40,K19,IF($Q$5=41,K19,IF($Q$5=42,K19,IF($Q$5=43,K19,IF($Q$5=44,K19,IF($Q$5=45,K19,IF($Q$5=46,K19,IF($Q$5=47,K19,IF($Q$5=48,K19,IF($Q$5=49,K19,IF($Q$5=50,K19,IF($Q$5=51,K19,IF($Q$5=52,K19,IF($Q$5=53,K19,IF($Q$5=54,K19,0))))))))))))))))))))))))))))))))))))</f>
        <v>B7</v>
      </c>
      <c r="T17" s="153" t="str">
        <f>IF($Q$5=24,L17,IF($Q$5=27,0,IF($Q$5=28,P19,IF($Q$6=29,L18,IF($Q$5=29,L18,IF($Q$5=30,L18,IF($Q$5=32,L17,IF($Q$5=33,L17,IF($Q$5=34,L17,IF($Q$5=35,L17,IF($Q$5=36,L20,IF($Q$5=37,P22,IF($Q$5=38,P22,IF($Q$5=39,L20,IF($Q$5=40,L20,IF($Q$5=41,L20,IF($Q$5=42,L20,IF($Q$5=43,L20,IF($Q$5=44,L20,IF($Q$5=45,L20,IF($Q$5=46,L20,IF($Q$5=47,L20,IF($Q$5=48,L20,IF($Q$5=49,L20,IF($Q$5=50,L20,IF($Q$5=51,L20,IF($Q$5=52,L20,IF($Q$5=53,L20,IF($Q$5=54,L20,0)))))))))))))))))))))))))))))</f>
        <v>C8</v>
      </c>
      <c r="U17" s="156" t="str">
        <f>IF($Q$5=19,R17,IF($Q$5=20,R17,IF($Q$5=21,K16,IF($Q$5=22,R16,IF($Q$5=23,R10,IF($Q$5=24,R16,IF($Q$5=25,R16,IF($Q$5=26,R16,IF($Q$5=27,R16,IF($Q$5=28,R17,IF($Q$5=29,O18,IF($Q$5=30,O18,IF($Q$5=31,R17,IF($Q$5=32,O18,IF($Q$5=33,R17,IF($Q$5=34,O18,IF($Q$5=35,R17,IF($Q$5=36,R18,IF($Q$5=37,O19,IF($Q$5=38,O19,IF($Q$5=39,O19,IF($Q$5=40,R18,IF($Q$5=41,O19,IF($Q$5=42,R18,IF($Q$5=43,R18,IF($Q$5=44,O19,IF($Q$5=45,R18,IF($Q$5=46,R18,IF($Q$5=47,R18,IF($Q$5=48,R18,IF($Q$5=49,R18,IF($Q$5=50,R18,IF($Q$5=51,R18:R18,IF($Q$5=52,R18,IF($Q$5=53,R18,IF($Q$5=54,O19,0))))))))))))))))))))))))))))))))))))</f>
        <v>A9</v>
      </c>
      <c r="V17" s="134" t="str">
        <f>IF($Q$5=19,T10,IF($Q$5=20,T10,IF($Q$5=21,S16,IF($Q$5=22,T10,IF($Q$5=23,S12,IF($Q$5=24,S17,IF($Q$5=25,T10,IF($Q$5=26,S12,IF($Q$5=27,S12,IF($Q$5=28,S17,IF($Q$5=29,S18,IF($Q$5=30,S17,IF($Q$5=31,S17,IF($Q$5=32,S12,IF($Q$5=33,S12,IF($Q$5=34,S12,IF($Q$5=35,S12,IF($Q$5=36,S19,IF($Q$5=37,S19,IF($Q$5=38,S19,IF($Q$5=39,S19,IF($Q$5=40,S19,IF($Q$5=41,S19,IF($Q$5=42,S19,IF($Q$5=43,S19,IF($Q$5=44,S19,IF($Q$5=45,S19,IF($Q$5=46,S19,IF($Q$5=47,S19,IF($Q$5=48,S19,IF($Q$5=49,S19,IF($Q$5=50,S19,IF($Q$5=51,S19,IF($Q$5=52,S19,IF($Q$5=53,S19,IF($Q$5=54,S19,0))))))))))))))))))))))))))))))))))))</f>
        <v>B2</v>
      </c>
      <c r="W17" s="147" t="str">
        <f>IF($Q$5=24,T10,IF($Q$5=27,0,IF($Q$5=28,S18,IF($Q$5=29,T18,IF($Q$5=30,T18,IF($Q$5=32,T17,IF($Q$5=33,T17,IF($Q$5=34,T17,IF($Q$5=35,T17,IF($Q$5=36,T20,IF($Q$5=37,S22,IF($Q$5=38,S22,IF($Q$5=39,T18,IF($Q$5=40,T20,IF($Q$5=41,T20,IF($Q$5=42,T20,IF($Q$5=43,T20,IF($Q$5=44,T20,IF($Q$5=45,T20,IF($Q$5=46,T20,IF($Q$5=47,T20,IF($Q$5=48,T20,IF($Q$5=49,T20,IF($Q$5=50,T20,IF($Q$5=51,T20,IF($Q$5=52,T20,IF($Q$5=53,T20,IF($Q$5=54,T20,0))))))))))))))))))))))))))))</f>
        <v>C8</v>
      </c>
      <c r="X17" s="18"/>
      <c r="Y17" s="384"/>
      <c r="Z17" s="13" t="str">
        <f>+Q11</f>
        <v>C2</v>
      </c>
      <c r="AA17" s="57">
        <f>IF(ISTEXT(Z17),AA15,0)</f>
        <v>6</v>
      </c>
      <c r="AB17" s="14">
        <f>IF(ISTEXT(Z17),AB15,0)</f>
        <v>2</v>
      </c>
      <c r="AC17" s="15">
        <f>IF(ISTEXT(Z17),AC15,0)</f>
        <v>0</v>
      </c>
      <c r="AD17" s="6"/>
      <c r="AE17" s="13" t="str">
        <f>+T11</f>
        <v>C2</v>
      </c>
      <c r="AF17" s="14">
        <f>IF(ISTEXT(AE17),AF15,0)</f>
        <v>10</v>
      </c>
      <c r="AG17" s="14">
        <f>IF(ISTEXT(AE17),AG15,0)</f>
        <v>3</v>
      </c>
      <c r="AH17" s="15">
        <f>IF(ISTEXT(AE17),AH15,0)</f>
        <v>5</v>
      </c>
      <c r="AI17" s="6"/>
      <c r="AJ17" s="13" t="str">
        <f>+W11</f>
        <v>C3</v>
      </c>
      <c r="AK17" s="14">
        <f>IF(ISTEXT(AJ17),AK15,0)</f>
        <v>5</v>
      </c>
      <c r="AL17" s="14">
        <f>IF(ISTEXT(AJ17),AL15,0)</f>
        <v>3</v>
      </c>
      <c r="AM17" s="15">
        <f>IF(ISTEXT(AJ17),AM15,0)</f>
        <v>1</v>
      </c>
      <c r="AN17" s="18"/>
      <c r="AO17" s="44">
        <v>9</v>
      </c>
      <c r="AP17" s="278" t="str">
        <f>+Inscrits!B11</f>
        <v>A9</v>
      </c>
      <c r="AQ17" s="247">
        <f t="shared" si="3"/>
        <v>3</v>
      </c>
      <c r="AR17" s="82">
        <f t="shared" si="4"/>
        <v>1</v>
      </c>
      <c r="AS17" s="184">
        <f t="shared" si="5"/>
        <v>1</v>
      </c>
      <c r="AT17" s="250">
        <f t="shared" si="6"/>
        <v>1</v>
      </c>
      <c r="AU17" s="82">
        <f t="shared" si="7"/>
        <v>-1</v>
      </c>
      <c r="AV17" s="252" t="str">
        <f t="shared" si="8"/>
        <v>0</v>
      </c>
      <c r="AW17" s="247">
        <f t="shared" si="9"/>
        <v>1</v>
      </c>
      <c r="AX17" s="82">
        <f t="shared" si="10"/>
        <v>-1</v>
      </c>
      <c r="AY17" s="252" t="str">
        <f t="shared" si="11"/>
        <v>0</v>
      </c>
      <c r="AZ17" s="247">
        <f t="shared" si="17"/>
        <v>5</v>
      </c>
      <c r="BA17" s="82">
        <f t="shared" si="12"/>
        <v>-1</v>
      </c>
      <c r="BB17" s="252">
        <f t="shared" si="13"/>
        <v>1</v>
      </c>
      <c r="BC17" s="255">
        <f t="shared" si="14"/>
        <v>-1</v>
      </c>
      <c r="BD17" s="7">
        <f t="shared" si="15"/>
        <v>0</v>
      </c>
      <c r="BE17" s="183">
        <f t="shared" si="16"/>
        <v>21.009900170000002</v>
      </c>
      <c r="BF17" s="82">
        <f>IF(AP17="","",SMALL(BE$9:BE$62,ROWS(AZ$9:AZ17)))</f>
        <v>3.9577001300000001</v>
      </c>
      <c r="BH17" s="82" t="str">
        <f>IF(OR(AP17="",AZ17=""),"",INDEX($AP$9:$AP$63,MATCH(BF17,$BE$9:BE$62,0)))</f>
        <v>A5</v>
      </c>
      <c r="BI17" s="7">
        <f t="shared" si="0"/>
        <v>7</v>
      </c>
      <c r="BJ17" s="7">
        <f t="shared" si="1"/>
        <v>4</v>
      </c>
      <c r="BK17" s="7">
        <f t="shared" si="2"/>
        <v>23</v>
      </c>
      <c r="BL17" s="17">
        <f>IF(BF17="","",IF(AND(BI16=BI17,BJ16=BJ17,BK16=BK17),BL16,$BL$9+8))</f>
        <v>9</v>
      </c>
      <c r="BM17" s="22"/>
      <c r="BN17" s="227"/>
    </row>
    <row r="18" spans="1:66" ht="21.6" thickBot="1" x14ac:dyDescent="0.35">
      <c r="A18" s="111">
        <v>9</v>
      </c>
      <c r="B18" s="330" t="s">
        <v>74</v>
      </c>
      <c r="C18" s="235">
        <f>IF($Q$5&gt;=25,9,0)</f>
        <v>9</v>
      </c>
      <c r="D18" s="335" t="s">
        <v>92</v>
      </c>
      <c r="E18" s="235">
        <f>IF($Q$5&gt;=26,9,0)</f>
        <v>9</v>
      </c>
      <c r="F18" s="333" t="s">
        <v>110</v>
      </c>
      <c r="G18" s="235">
        <f>IF($Q$5&gt;=27,9,0)</f>
        <v>9</v>
      </c>
      <c r="H18" s="18"/>
      <c r="I18" s="165">
        <v>9</v>
      </c>
      <c r="J18" s="172" t="str">
        <f>IF(ISNA(MATCH(I18,$C$10:$C$27,0)),"",INDEX(B$10:$B$27,MATCH(I18,$C$10:$C$27,0)))</f>
        <v>A9</v>
      </c>
      <c r="K18" s="117" t="str">
        <f>IF(ISNA(MATCH(I18,$E$10:$E$27,0)),"",INDEX($D$10:D$27,MATCH(I18,$E$10:$E$27,0)))</f>
        <v>B9</v>
      </c>
      <c r="L18" s="160" t="str">
        <f>IF(ISNA(MATCH(I18,$G$10:$G$27,0)),"",INDEX($F$10:F$27,MATCH(I18,$G$10:$G$27,0)))</f>
        <v>C9</v>
      </c>
      <c r="M18" s="130"/>
      <c r="N18" s="67">
        <v>5</v>
      </c>
      <c r="O18" s="118" t="str">
        <f>IF($Q$5=25,J18,IF($Q$5=26,J18,IF($Q$5=27,J18,IF(Q$5=28,J18,IF($Q$5=29,J18,IF($Q$5=30,J18,IF($Q$5=31,J18,IF($Q$5=32,J18,IF($Q$5=33,J18,IF($Q$5=34,J18,IF($Q$5=35,J18,IF($Q$5=36,J18,IF($Q$5=37,J18,IF($Q$5=38,J18,IF($Q$5=39,J18,IF($Q$5=40,J18,IF($Q$5=41,J18,IF($Q$5=42,J18,IF($Q$5=43,J18,IF($Q$5=44,J18,IF($Q$5=45,J18,IF($Q$5=46,J18,IF($Q$5=47,J18,IF($Q$5=48,J18,IF($Q$5=49,J18,IF($Q$5=50,J18,IF($Q$5=51,J18,IF($Q$5=52,J18,IF($Q$5=53,J18,IF($Q$5=54,J18,0))))))))))))))))))))))))))))))</f>
        <v>A9</v>
      </c>
      <c r="P18" s="119" t="str">
        <f>IF($Q$5=25,L16,IF($Q$5=26,L16,IF($Q$5=27,L17,IF($Q$5=28,K18,IF($Q$5=29,K18,IF($Q$5=30,K18,IF($Q$5=31,K18,IF($Q$5=32,K19,IF($Q$5=33,K18,IF($Q$5=34,K18,IF($Q$5=35,K18,IF($Q$5=36,K18,IF($Q$5=37,K18,IF($Q$5=38,K18,IF($Q$5=39,K18,IF($Q$5=40,K18,IF($Q$5=41,K18,IF($Q$5=42,K18,IF($Q$5=43,K18,IF($Q$5=44,K18,IF($Q$5=45,K18,IF($Q$5=46,K18,IF($Q$5=47,K18,IF($Q$5=48,K18,IF($Q$5=49,K18,IF($Q$5=50,K18,IF($Q$5=51,K18,IF($Q$5=52,K18,IF($Q$5=53,K18,IF($Q$5=54,K18,0))))))))))))))))))))))))))))))</f>
        <v>B9</v>
      </c>
      <c r="Q18" s="120" t="str">
        <f>IF($Q$5=29,L18,IF($Q$5=30,L18,IF($Q$5=33,L18,IF($Q$5=34,L18,IF($Q$5=35,L18,IF($Q$5=36,L18,IF($Q$5=37,L18,IF($Q$5=38,L18,IF($Q$5=39,L18,IF($Q$5=40,L18,IF($Q$5=41,L18,IF($Q$5=42,L18,IF($Q$5=43,L18,IF($Q$5=44,L18,IF($Q$5=45,L18,IF($Q$5=46,L18,IF($Q$5=47,L18,IF($Q$5=48,L18,IF($Q$5=49,L18,IF($Q$5=50,L18,IF($Q$5=51,L18,IF($Q$5=52,L18,IF($Q$5=53,L18,IF($Q$5=54,L18,0))))))))))))))))))))))))</f>
        <v>C9</v>
      </c>
      <c r="R18" s="135" t="str">
        <f>IF($Q$5=25,O19,IF($Q$5=26,O19,IF($Q$5=27,J10,IF($Q$5=28,J19,IF($Q$5=29,J19,IF($Q$5=30,J19,IF($Q$5=31,J19,IF($Q$5=32,J19,IF($Q$5=33,J19,IF($Q$5=34,J19,IF($Q$5=35,J19,IF($Q$5=36,J19,IF($Q$5=37,J19,IF($Q$5=38,J19,IF($Q$5=39,J19,IF($Q$5=40,J19,IF($Q$5=41,J19,IF($Q$5=42,J19,IF($Q$5=43,J19,IF($Q$5=44,J19,IF($Q$5=45,J19,IF($Q$5=46,J19,IF($Q$5=47,J19,IF($Q$5=48,J19,IF($Q$5=49,J19,IF($Q$5=50,J19,IF($Q$5=51,J19,IF($Q$5=52,J19,IF($Q$5=53,J19,IF($Q$5=54,J19,0))))))))))))))))))))))))))))))</f>
        <v>A10</v>
      </c>
      <c r="S18" s="138" t="str">
        <f>IF($Q$5=25,L11,IF($Q$5=26,L11,IF(Q$5=27,Q11,IF($Q$5=28,L11,IF($Q$5=29,K10,IF($Q$5=30,K10,IF($Q$5=31,P21,IF($Q$5=32,P20,IF($Q$5=33,K10,IF($Q$5=34,K10,IF($Q$5=35,K10,IF($Q$5=36,K20,IF($Q$5=37,K20,IF($Q$5=38,K20,IF($Q$5=39,K20,IF($Q$5=40,K20,IF($Q$5=41,K20,IF($Q$5=42,K20,IF($Q$5=43,K20,IF($Q$5=44,K20,IF($Q$5=45,K20,IF($Q$5=46,K20,IF($Q$5=47,K20,IF($Q$5=48,K20,IF($Q$5=49,K20,IF($Q$5=50,K20,IF($Q$5=51,K20,IF($Q$5=52,K20,IF($Q$5=53,K20,IF($Q$5=54,K20,0))))))))))))))))))))))))))))))</f>
        <v>B1</v>
      </c>
      <c r="T18" s="154" t="str">
        <f>IF($Q$5=27,0,IF($Q$5=29,L11,IF($Q$5=30,L13,IF(J$5=32,0,IF($Q$5=33,L18,IF($Q$5=34,P21,IF($Q$5=35,L20,IF($Q$5=36,L21,IF($Q$5=37,P21,IF($Q$5=38,P23,IF($Q$5=39,L10,IF($Q$5=40,L21,IF($Q$5=41,L21,IF($Q$5=42,L21,IF($Q$5=43,P25,IF($Q$5=44,L21,IF($Q$5=45,L21,IF($Q$5=46,L21,IF($Q$5=47,L21,IF($Q$5=48,L21,IF($Q$5=49,L21,IF($Q$5=50,L21,IF($Q$5=51,L21,IF($Q$5=52,L21,IF($Q$5=53,L21,IF($Q$5=54,L21,0))))))))))))))))))))))))))</f>
        <v>C11</v>
      </c>
      <c r="U18" s="135" t="str">
        <f>IF($Q$5=25,R17,IF($Q$5=26,R17,IF($Q$5=27,R17,IF($Q$5=28,O17,IF($Q$5=29,O17,IF($Q$5=30,O17,IF($Q$5=31,R10,IF($Q$5=32,O19,IF($Q$5=33,O19,IF($Q$5=34,O20,IF($Q$5=35,R19,IF($Q$5=36,O20,IF($Q$5=37,R19,IF($Q$5=38,R19,IF($Q$5=39,O20,IF($Q$5=40,O20,IF($Q$5=41,O20,IF($Q$5=42,O20,IF($Q$5=43,O20,IF($Q$5=44,O20,IF($Q$5=45,O20,IF($Q$5=46,O20,IF($Q$5=47,O20,IF($Q$5=48,O20,IF($Q$5=49,O20,IF($Q$5=50,O20,IF($Q$5=51,O20,IF($Q$5=52,O20,IF($Q$5=53,O20,IF($Q$5=54,O20,0))))))))))))))))))))))))))))))</f>
        <v>A11</v>
      </c>
      <c r="V18" s="132" t="str">
        <f>IF($Q$5=25,T11,IF($Q$5=26,S18,IF($Q$5=27,R19,IF($Q$5=28,S12,IF($Q$5=29,S17,IF($Q$5=30,S18,IF($Q$5=31,S12,IF($Q$5=32,S13,IF($Q$5=33,S13,IF($Q$5=34,S13,IF($Q$5=35,S13,IF($Q$5=36,S20,IF($Q$5=37,S20,IF($Q$5=38,S20,IF($Q$5=39,S11,IF($Q$5=40,S20,IF($Q$5=41,S20,IF($Q$5=42,S20,IF($Q$5=43,S20,IF($Q$5=44,S20,IF($Q$5=45,S20,IF($Q$5=46,S20,IF($Q$5=47,S20,IF($Q$5=48,S20,IF($Q$5=49,S20,IF($Q$5=50,S20,IF($Q$5=51,S20,IF($Q$5=52,S20,IF($Q$5=53,S20,IF($Q$5=54,S20,0))))))))))))))))))))))))))))))</f>
        <v>B3</v>
      </c>
      <c r="W18" s="144" t="str">
        <f>IF($Q$5=29,T10,IF($Q$5=30,Q19,IF($Q$5=32,0,IF($Q$5=33,S20,IF($Q$5=34,T15,IF($Q$5=35,T15,IF($Q$5=36,T21,IF($Q$5=37,S23,IF($Q$5=38,S23,IF($Q$5=39,T19,IF($Q$5=40,T21,IF($Q$5=41,T21,IF($Q$5=42,T21,IF($Q$5=43,S25,IF($Q$5=44,T21,IF($Q$5=45,T21,IF($Q$5=46,T21,IF($Q$5=47,T21,IF($Q$5=48,T21,IF($Q$5=49,T21,IF($Q$5=50,T21,IF($Q$5=51,T21,IF($Q$5=52,T21,IF($Q$5=53,T21,IF($Q$5=54,T21,0)))))))))))))))))))))))))</f>
        <v>C6</v>
      </c>
      <c r="X18" s="18"/>
      <c r="Y18" s="20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18"/>
      <c r="AO18" s="44">
        <v>10</v>
      </c>
      <c r="AP18" s="278" t="str">
        <f>+Inscrits!B12</f>
        <v>A10</v>
      </c>
      <c r="AQ18" s="247">
        <f t="shared" si="3"/>
        <v>1</v>
      </c>
      <c r="AR18" s="82">
        <f t="shared" si="4"/>
        <v>-1</v>
      </c>
      <c r="AS18" s="184" t="str">
        <f t="shared" si="5"/>
        <v>0</v>
      </c>
      <c r="AT18" s="250">
        <f t="shared" si="6"/>
        <v>3</v>
      </c>
      <c r="AU18" s="82">
        <f t="shared" si="7"/>
        <v>1</v>
      </c>
      <c r="AV18" s="252">
        <f t="shared" si="8"/>
        <v>1</v>
      </c>
      <c r="AW18" s="247">
        <f t="shared" si="9"/>
        <v>3</v>
      </c>
      <c r="AX18" s="82">
        <f t="shared" si="10"/>
        <v>1</v>
      </c>
      <c r="AY18" s="252">
        <f t="shared" si="11"/>
        <v>1</v>
      </c>
      <c r="AZ18" s="247">
        <f t="shared" si="17"/>
        <v>7</v>
      </c>
      <c r="BA18" s="82">
        <f t="shared" si="12"/>
        <v>1</v>
      </c>
      <c r="BB18" s="252">
        <f t="shared" si="13"/>
        <v>2</v>
      </c>
      <c r="BC18" s="255">
        <f t="shared" si="14"/>
        <v>0</v>
      </c>
      <c r="BD18" s="7">
        <f t="shared" si="15"/>
        <v>1</v>
      </c>
      <c r="BE18" s="183">
        <f t="shared" si="16"/>
        <v>3.98980018</v>
      </c>
      <c r="BF18" s="82">
        <f>IF(AP18="","",SMALL(BE$9:BE$62,ROWS(AZ$9:AZ18)))</f>
        <v>3.9585003199999997</v>
      </c>
      <c r="BH18" s="82" t="str">
        <f>IF(OR(AP18="",AZ18=""),"",INDEX($AP$9:$AP$63,MATCH(BF18,$BE$9:BE$62,0)))</f>
        <v>B6</v>
      </c>
      <c r="BI18" s="7">
        <f t="shared" si="0"/>
        <v>7</v>
      </c>
      <c r="BJ18" s="7">
        <f t="shared" si="1"/>
        <v>4</v>
      </c>
      <c r="BK18" s="7">
        <f t="shared" si="2"/>
        <v>15</v>
      </c>
      <c r="BL18" s="17">
        <f>IF(BF18="","",IF(AND(BI17=BI18,BJ17=BJ18,BK17=BK18),BL17,$BL$9+9))</f>
        <v>10</v>
      </c>
      <c r="BM18" s="22"/>
      <c r="BN18" s="227"/>
    </row>
    <row r="19" spans="1:66" ht="21.6" thickBot="1" x14ac:dyDescent="0.35">
      <c r="A19" s="111">
        <v>10</v>
      </c>
      <c r="B19" s="330" t="s">
        <v>75</v>
      </c>
      <c r="C19" s="235">
        <f>IF($Q$5&gt;=28,10,0)</f>
        <v>10</v>
      </c>
      <c r="D19" s="335" t="s">
        <v>93</v>
      </c>
      <c r="E19" s="235">
        <f>IF($Q$5&gt;=29,10,0)</f>
        <v>10</v>
      </c>
      <c r="F19" s="333" t="s">
        <v>111</v>
      </c>
      <c r="G19" s="235">
        <f>IF($Q$5&gt;=30,10,0)</f>
        <v>10</v>
      </c>
      <c r="H19" s="18"/>
      <c r="I19" s="165">
        <v>10</v>
      </c>
      <c r="J19" s="172" t="str">
        <f>IF(ISNA(MATCH(I19,$C$10:$C$27,0)),"",INDEX(B$10:$B$27,MATCH(I19,$C$10:$C$27,0)))</f>
        <v>A10</v>
      </c>
      <c r="K19" s="117" t="str">
        <f>IF(ISNA(MATCH(I19,$E$10:$E$27,0)),"",INDEX($D$10:D$27,MATCH(I19,$E$10:$E$27,0)))</f>
        <v>B10</v>
      </c>
      <c r="L19" s="160" t="str">
        <f>IF(ISNA(MATCH(I19,$G$10:$G$27,0)),"",INDEX($F$10:F$27,MATCH(I19,$G$10:$G$27,0)))</f>
        <v>C10</v>
      </c>
      <c r="M19" s="130"/>
      <c r="N19" s="3" t="s">
        <v>5</v>
      </c>
      <c r="O19" s="121" t="str">
        <f>IF($Q$5=25,K17,IF($Q$5=26,K18,IF($Q$5=27,K18,IF($Q$5=28,J19,IF($Q$5=29,J19,IF($Q$5=30,J19,IF($Q$5=31,J19,IF($Q$5=32,J19,IF($Q$5=33,J19,IF($Q$5=34,J19,IF($Q$5=35,J19,IF($Q$5=36,J19,IF($Q$5=37,J19,IF($Q$5=38,J19,IF($Q$5=39,J19,IF($Q$5=40,J19,IF($Q$5=41,J19,IF($Q$5=42,J19,IF($Q$5=43,J19,IF($Q$5=44,J19,IF($Q$5=45,J19,IF($Q$5=46,J19,IF($Q$5=47,J19,IF($Q$5=48,J19,IF($Q$5=49,J19,IF($Q$5=50,J19,IF($Q$5=51,J19,IF($Q$5=52,J19,IF($Q$5=53,J19,IF($Q$5=54,J19,0))))))))))))))))))))))))))))))</f>
        <v>A10</v>
      </c>
      <c r="P19" s="126" t="str">
        <f>IF($Q$5=25,L17,IF($Q$5=26,L17,IF($Q$5=27,L18,IF($Q$5=28,L18,IF($Q$5=29,K19,IF($Q$5=30,K19,IF($Q$5=31,L17,IF($Q$5=32,K18,IF($Q$5=33,K19,IF($Q$5=34,K19,IF($Q$5=35,K19,IF($Q$5=36,K19,IF($Q$5=37,K19,IF($Q$5=38,K19,IF($Q$5=39,K19,IF($Q$5=40,K19,IF($Q$5=41,K19,IF($Q$5=42,K19,IF($Q$5=43,K19,IF($Q$5=44,K19,IF($Q$5=45,K19,IF($Q$5=46,K19,IF($Q$5=47,K19,IF($Q$5=48,K19,IF($Q$5=49,K19,IF($Q$5=50,K19,IF($Q$5=51,K19,IF($Q$5=52,K19,IF($Q$5=53,K19,IF($Q$5=54,K19,0))))))))))))))))))))))))))))))</f>
        <v>B10</v>
      </c>
      <c r="Q19" s="123" t="str">
        <f>IF($Q$5=30,L19,IF($Q$5=34,L19,IF($Q$5=35,L19,IF($Q$5=36,L19,IF($Q$5=38,L19,IF($Q$5=39,L19,IF($Q$5=40,L19,IF($Q$5=41,L19,IF($Q$5=42,L19,IF($Q$5=43,L19,IF($Q$5=44,L19,IF($Q$5=45,L19,IF($Q$5=46,L19,IF($Q$5=47,L19,IF($Q$5=48,L19,IF($Q$5=49,L19,IF($Q$5=50,L19,IF($Q$5=51,L19,IF($Q$5=52,L19,IF($Q$5=53,L19,IF($Q$5=54,L19,0)))))))))))))))))))))</f>
        <v>C10</v>
      </c>
      <c r="R19" s="139" t="str">
        <f>IF($Q$5=25,J10,IF($Q$5=26,J10,IF($Q$5=27,K10,IF($Q$5=28,J10,IF($Q$5=29,J10,IF($Q$5=30,J10,IF($Q$5=31,J20,IF($Q$5=32,J20,IF($Q$5=33,J20,IF($Q$5=34,J20,IF($Q$5=35,J20,IF($Q$5=36,J20,IF($Q$5=37,J20,IF($Q$5=38,J20,IF($Q$5=39,J20,IF($Q$5=40,J20,IF($Q$5=41,J20,IF($Q$5=42,J20,IF($Q$5=43,J20,IF($Q$5=44,J20,IF($Q$5=45,J20,IF($Q$5=46,J20,IF($Q$5=47,J20,IF($Q$5=48,J20,IF($Q$5=49,J20,IF($Q$5=50,J20,IF($Q$5=51,J20,IF($Q$5=52,J20,IF($Q$5=53,J20,IF($Q$5=54,J20,0))))))))))))))))))))))))))))))</f>
        <v>A11</v>
      </c>
      <c r="S19" s="134" t="str">
        <f>IF($Q$5=25,P18,IF($Q$5=26,K10,IF($Q$5=27,O19,IF($Q$5=28,K18,IF($Q$5=29,K18,IF($Q$5=30,K18,IF($Q$5=31,P19,IF($Q$5=32,P21,IF($Q$5=33,K19,IF($Q$5=34,K19,IF($Q$5=35,K19,IF($Q$5=36,K21,IF($Q$5=37,P11,IF($Q$5=38,K21,IF($Q$5=39,K21,IF($Q$5=40,K21,IF($Q$5=41,K21,IF($Q$5=42,K21,IF($Q$5=43,K21,IF($Q$5=44,K21,IF($Q$5=45,K21,IF($Q$5=46,K21,IF($Q$5=47,K21,IF($Q$5=48,K21,IF($Q$5=49,K21,IF($Q$5=50,K21,IF($Q$5=51,K21,IF($Q$5=52,K21,IF($Q$5=53,K21,IF($Q$5=54,K21,0))))))))))))))))))))))))))))))</f>
        <v>B10</v>
      </c>
      <c r="T19" s="155" t="str">
        <f>IF($Q$5=30,L19,IF($Q$5=34,L18,IF($Q$5=35,L18,IF($Q$5=36,L10,IF($Q$5=38,L10,IF($Q$5=39,L11,IF($Q$5=40,P23,IF($Q$5=41,L22,IF($Q$5=42,L22,IF($Q$5=43,P23,IF($Q$5=44,P24,IF($Q$5=45,L22,IF($Q$5=46,L22,IF($Q$5=47,L22,IF($Q$5=48,L22,IF($Q$5=49,L22,IF($Q$5=50,L22,IF($Q$5=51,L22,IF($Q$5=52,L22,IF($Q$5=53,L22,IF($Q$5=54,L22,0)))))))))))))))))))))</f>
        <v>C9</v>
      </c>
      <c r="U19" s="157" t="str">
        <f>IF($Q$5=25,O19,IF($Q$5=26,R18,IF($Q$5=27,S19,IF($Q$5=28,R18,IF($Q$5=29,O19,IF($Q$5=30,O19,IF($Q$5=31,R18,IF($Q$5=32,R10,IF($Q$5=33,O11,IF($Q$5=34,R10,IF($Q$5=35,R10,IF($Q$5=36,O21,IF($Q$5=37,R20,IF($Q$5=38,R20,IF($Q$5=39,O21,IF($Q$5=40,O21,IF($Q$5=41,O21,IF($Q$5=42,O21,IF($Q$5=43,R20,IF($Q$5=44,O21,IF($Q$5=45,R20,IF($Q$5=46,O21,IF($Q$5=47,O21,IF($Q$5=48,O21,IF($Q$5=49,O21,IF($Q$5=50,O21,IF($Q$5=51,O21,IF($Q$5=52,O21,IF($Q$5=53,O21,IF($Q$5=54,O21,0))))))))))))))))))))))))))))))</f>
        <v>A2</v>
      </c>
      <c r="V19" s="137" t="str">
        <f>IF($Q$5=25,S12,IF($Q$5=26,T10,IF($Q$5=27,T10,IF($Q$5=28,T10,IF($Q$5=29,S12,IF($Q$5=30,S12,IF($Q$5=31,T16,IF($Q$5=32,S14,IF($Q$5=33,S14,IF($Q$5=34,S20,IF($Q$5=35,S20,IF($Q$5=36,S21,IF($Q$5=37,S11,IF($Q$5=38,S21,IF($Q$5=39,S20,IF($Q$5=40,S21,IF($Q$5=41,S21,IF($Q$5=42,S21,IF($Q$5=43,S11,IF($Q$5=44,S21,IF($Q$5=45,S21,IF($Q$5=46,S21,IF($Q$5=47,S21,IF($Q$5=48,S21,IF($Q$5=49,S21,IF($Q$5=50,S21,IF($Q$5=51,S21,IF($Q$5=52,S21,IF($Q$5=53,S21,IF($Q$5=54,S21,0))))))))))))))))))))))))))))))</f>
        <v>B11</v>
      </c>
      <c r="W19" s="146" t="str">
        <f>IF($Q$5=30,T10,IF($Q$5=35,T16,IF($Q$5=36,T10,IF($Q$5=38,T10,IF($Q$5=39,T20,IF($Q$5=34,S21,IF($Q$5=40,S23,IF($Q$5=41,T22,IF($Q$5=42,T22,IF($Q$5=43,S23,IF($Q$5=44,S23,IF($Q$5=45,T22,IF($Q$5=46,T22,IF($Q$5=47,T22,IF($Q$5=48,T22,IF($Q$5=49,T22,IF($Q$5=50,T22,IF($Q$5=51,S27,IF($Q$5=52,T22,IF($Q$5=53,T22,IF($Q$5=54,T22,0)))))))))))))))))))))</f>
        <v>C10</v>
      </c>
      <c r="X19" s="18"/>
      <c r="Y19" s="382">
        <v>2</v>
      </c>
      <c r="Z19" s="9" t="str">
        <f>+O12</f>
        <v>A3</v>
      </c>
      <c r="AA19" s="25">
        <v>5</v>
      </c>
      <c r="AB19" s="38">
        <f>IF(AA19+AA23=0,0,IF(AA19=AA23,2,IF(AA19&gt;AA23,3,1)))</f>
        <v>1</v>
      </c>
      <c r="AC19" s="10">
        <f>AA19-AA23</f>
        <v>-5</v>
      </c>
      <c r="AD19" s="6"/>
      <c r="AE19" s="9" t="str">
        <f>+R12</f>
        <v>A4</v>
      </c>
      <c r="AF19" s="107">
        <v>5</v>
      </c>
      <c r="AG19" s="38">
        <f>IF(AF19+AF23=0,0,IF(AF19=AF23,2,IF(AF19&gt;AF23,3,1)))</f>
        <v>1</v>
      </c>
      <c r="AH19" s="10">
        <f>AF19-AF23</f>
        <v>-7</v>
      </c>
      <c r="AI19" s="6"/>
      <c r="AJ19" s="9" t="str">
        <f>+U12</f>
        <v>A3</v>
      </c>
      <c r="AK19" s="28">
        <v>14</v>
      </c>
      <c r="AL19" s="38">
        <f>IF(AK19+AK23=0,0,IF(AK19=AK23,2,IF(AK19&gt;AK23,3,1)))</f>
        <v>3</v>
      </c>
      <c r="AM19" s="10">
        <f>AK19-AK23</f>
        <v>5</v>
      </c>
      <c r="AN19" s="18"/>
      <c r="AO19" s="44">
        <v>11</v>
      </c>
      <c r="AP19" s="278" t="str">
        <f>+Inscrits!B13</f>
        <v>A11</v>
      </c>
      <c r="AQ19" s="247">
        <f t="shared" si="3"/>
        <v>3</v>
      </c>
      <c r="AR19" s="82">
        <f t="shared" si="4"/>
        <v>1</v>
      </c>
      <c r="AS19" s="184">
        <f t="shared" si="5"/>
        <v>1</v>
      </c>
      <c r="AT19" s="250">
        <f t="shared" si="6"/>
        <v>1</v>
      </c>
      <c r="AU19" s="82">
        <f t="shared" si="7"/>
        <v>-1</v>
      </c>
      <c r="AV19" s="252" t="str">
        <f t="shared" si="8"/>
        <v>0</v>
      </c>
      <c r="AW19" s="247">
        <f t="shared" si="9"/>
        <v>3</v>
      </c>
      <c r="AX19" s="82">
        <f t="shared" si="10"/>
        <v>1</v>
      </c>
      <c r="AY19" s="252">
        <f t="shared" si="11"/>
        <v>1</v>
      </c>
      <c r="AZ19" s="247">
        <f t="shared" si="17"/>
        <v>7</v>
      </c>
      <c r="BA19" s="82">
        <f t="shared" si="12"/>
        <v>1</v>
      </c>
      <c r="BB19" s="252">
        <f t="shared" si="13"/>
        <v>2</v>
      </c>
      <c r="BC19" s="255">
        <f t="shared" si="14"/>
        <v>0</v>
      </c>
      <c r="BD19" s="7">
        <f t="shared" si="15"/>
        <v>1</v>
      </c>
      <c r="BE19" s="183">
        <f t="shared" si="16"/>
        <v>3.9898001900000004</v>
      </c>
      <c r="BF19" s="82">
        <f>IF(AP19="","",SMALL(BE$9:BE$62,ROWS(AZ$9:AZ19)))</f>
        <v>3.9682002900000004</v>
      </c>
      <c r="BH19" s="82" t="str">
        <f>IF(OR(AP19="",AZ19=""),"",INDEX($AP$9:$AP$63,MATCH(BF19,$BE$9:BE$62,0)))</f>
        <v>B3</v>
      </c>
      <c r="BI19" s="7">
        <f t="shared" si="0"/>
        <v>7</v>
      </c>
      <c r="BJ19" s="7">
        <f t="shared" si="1"/>
        <v>3</v>
      </c>
      <c r="BK19" s="7">
        <f t="shared" si="2"/>
        <v>18</v>
      </c>
      <c r="BL19" s="17">
        <f>IF(BF19="","",IF(AND(BI18=BI19,BJ18=BJ19,BK18=BK19),BL18,$BL$9+10))</f>
        <v>11</v>
      </c>
      <c r="BM19" s="22"/>
      <c r="BN19" s="225"/>
    </row>
    <row r="20" spans="1:66" ht="21.6" thickBot="1" x14ac:dyDescent="0.35">
      <c r="A20" s="111">
        <v>11</v>
      </c>
      <c r="B20" s="330" t="s">
        <v>76</v>
      </c>
      <c r="C20" s="235">
        <f>IF($Q$5&gt;=31,11,0)</f>
        <v>11</v>
      </c>
      <c r="D20" s="335" t="s">
        <v>94</v>
      </c>
      <c r="E20" s="235">
        <f>IF($Q$5&gt;=32,11,0)</f>
        <v>11</v>
      </c>
      <c r="F20" s="333" t="s">
        <v>112</v>
      </c>
      <c r="G20" s="235">
        <f>IF($Q$5&gt;=33,11,0)</f>
        <v>11</v>
      </c>
      <c r="H20" s="18"/>
      <c r="I20" s="165">
        <v>11</v>
      </c>
      <c r="J20" s="172" t="str">
        <f>IF(ISNA(MATCH(I20,$C$10:$C$27,0)),"",INDEX(B$10:$B$27,MATCH(I20,$C$10:$C$27,0)))</f>
        <v>A11</v>
      </c>
      <c r="K20" s="117" t="str">
        <f>IF(ISNA(MATCH(I20,$E$10:$E$27,0)),"",INDEX($D$10:D$27,MATCH(I20,$E$10:$E$27,0)))</f>
        <v>B11</v>
      </c>
      <c r="L20" s="160" t="str">
        <f>IF(ISNA(MATCH(I20,$G$10:$G$27,0)),"",INDEX($F$10:F$27,MATCH(I20,$G$10:$G$27,0)))</f>
        <v>C11</v>
      </c>
      <c r="M20" s="130"/>
      <c r="N20" s="3">
        <v>6</v>
      </c>
      <c r="O20" s="118" t="str">
        <f>IF($Q$5=31,J20,IF($Q$5=32,J20,IF($Q$5=33,J20,IF($Q$5=34,J20,IF($Q$5=35,J20,IF($Q$5=36,J20,IF($Q$5=37,J20,IF($Q$5=38,J20,IF($Q$5=39,J20,IF($Q$5=40,J20,IF($Q$5=41,J20,IF($Q$5=42,J20,IF($Q$5=43,J20,IF($Q$5=44,J20,IF($Q$5=45,J20,IF($Q$5=46,J20,IF($Q$5=47,J20,IF($Q$5=48,J20,IF($Q$5=49,J20,IF($Q$5=50,J20,IF($Q$5=51,J20,IF($Q$5=52,J20,IF($Q$5=53,J20,IF($Q$5=54,J20,0))))))))))))))))))))))))</f>
        <v>A11</v>
      </c>
      <c r="P20" s="119" t="str">
        <f>IF($Q$5=31,L18,IF($Q$5=32,L18,IF($Q$5=33,L19,IF($Q$5=34,K20,IF($Q$5=35,K20,IF($Q$5=36,K20,IF($Q$5=37,K20,IF($Q$5=38,K20,IF($Q$5=39,K20,IF($Q$5=40,K20,IF($Q$5=41,K20,IF($Q$5=42,K20,IF($Q$5=43,K20,IF($Q$5=44,K20,IF($Q$5=45,K20,IF($Q$5=46,K20,IF($Q$5=47,K20,IF($Q$5=48,K20,IF($Q$5=49,K20,IF($Q$5=50,K20,IF($Q$5=51,K20,IF($Q$5=52,K20,IF($Q$5=53,K20,IF($Q$5=54,K20,0))))))))))))))))))))))))</f>
        <v>B11</v>
      </c>
      <c r="Q20" s="120">
        <f>IF($Q$5=35,L20,IF($Q$5=36,L20,IF($Q$5=39,L20,IF($Q$5=40,L20,IF($Q$5=41,L20,IF($Q$5=42,L20,IF($Q$5=43,L20,IF($Q$5=44,L20,IF($Q$5=45,L20,IF($Q$5=46,L20,IF($Q$5=47,L20,IF($Q$5=48,L20,IF($Q$5=49,L20,IF($Q$5=50,L20,IF($Q$5=51,L20,IF($Q$5=52,L20,IF($Q$5=53,L20,IF($Q$5=54,L20,0))))))))))))))))))</f>
        <v>0</v>
      </c>
      <c r="R20" s="140" t="str">
        <f>IF($Q$5=31,J10,IF($Q$5=32,K20,IF($Q$5=33,J10,IF($Q$5=34,J21,IF($Q$5=35,J21,IF($Q$5=36,J21,IF($Q$5=37,J21,IF($Q$5=38,J21,IF($Q$5=39,J21,IF($Q$5=40,J21,IF($Q$5=41,J21,IF($Q$5=42,J21,IF($Q$5=43,J21,IF($Q$5=44,J21,IF($Q$5=45,J21,IF($Q$5=46,J21,IF($Q$5=47,J21,IF($Q$5=48,J21,IF($Q$5=49,J21,IF($Q$5=50,J21,IF($Q$5=51,J21,IF($Q$5=52,J21,IF($Q$5=53,J21,IF($Q$5=54,J21,0))))))))))))))))))))))))</f>
        <v>A12</v>
      </c>
      <c r="S20" s="132" t="str">
        <f>IF($Q$5=31,P20,IF($Q$5=32,K10,IF($Q$5=33,P21,IF($Q$5=34,K20,IF($Q$5=35,K20,IF($Q$5=36,K10,IF($Q$5=37,K10,IF($Q$5=38,P11,IF($Q$5=39,K10,IF($Q$5=40,K22,IF($Q$5=41,K22,IF($Q$5=42,K22,IF($Q$5=43,K22,IF($Q$5=44,K22,IF($Q$5=45,K22,IF($Q$5=46,K22,IF($Q$5=47,K22,IF($Q$5=48,K22,IF($Q$5=49,K22,IF($Q$5=50,K22,IF($Q$5=51,K22,IF($Q$5=52,K22,IF($Q$5=53,K22,IF($Q$5=54,K22,0))))))))))))))))))))))))</f>
        <v>B11</v>
      </c>
      <c r="T20" s="151">
        <f>IF($Q$5=35,L19,IF($Q$5=36,L11,IF($Q$5=39,L12,IF($Q$5=40,L10,IF($Q$5=41,L10,IF($Q$5=42,L23,IF($Q$5=43,P24,IF($Q$5=44,P25,IF($Q$5=45,P24,IF($Q$5=46,L23,IF($Q$5=47,L23,IF($Q$5=48,L23,IF($Q$5=49,L10,IF($Q$5=50,L23,IF($Q$5=51,L23,IF($Q$5=52,L23,IF($Q$5=53,L23,IF($Q$5=54,L23,0))))))))))))))))))</f>
        <v>0</v>
      </c>
      <c r="U20" s="140" t="str">
        <f>IF($Q$5=30,0,IF($Q$5=31,R19,IF($Q$5=32,R19,IF($Q$5=33,R19,IF($Q$5=34,R18,IF($Q$5=35,R18,IF($Q$5=36,O10,IF($Q$5=37,R21,IF($Q$5=38,R21,IF($Q$5=39,O22,IF($Q$5=40,R21,IF($Q$5=41,O22,IF($Q$5=42,O22,IF($Q$5=43,R21,IF($Q$5=44,R21,IF($Q$5=45,O22,IF($Q$5=46,O22,IF($Q$5=47,O22,IF($Q$5=48,O22,IF($Q$5=49,O22,IF($Q$5=50,O22,IF($Q$5=51,R21,IF($Q$5=52,O22,IF($Q$5=53,O22,IF($Q$5=54,O22,0)))))))))))))))))))))))))</f>
        <v>A10</v>
      </c>
      <c r="V20" s="138" t="str">
        <f>IF($Q$5=31,T10,IF($Q$5=32,S18,IF($Q$5=33,T18,IF($Q$5=34,S14,IF($Q$5=35,S21,IF($Q$5=36,S10,IF($Q$5=37,S10,IF($Q$5=38,S11,IF($Q$5=39,S21,IF($Q$5=40,S22,IF($Q$5=41,S22,IF($Q$5=42,S22,IF($Q$5=43,S22,IF($Q$5=44,S22,IF($Q$5=45,S22,IF($Q$5=46,S22,IF($Q$5=47,S22,IF($Q$5=48,S22,IF($Q$5=49,S22,IF($Q$5=50,S22,IF($Q$5=51,S22,IF($Q$5=52,S22,IF($Q$5=53,S22,IF($Q$5=54,S22,0))))))))))))))))))))))))</f>
        <v>B8</v>
      </c>
      <c r="W20" s="145">
        <f>IF($Q$5=35,T18,IF($Q$5=36,T11,IF($Q$5=39,T10,IF($Q$5=40,T10,IF($Q$5=41,T10,IF($Q$5=42,T23,IF($Q$5=43,S24,IF($Q$5=44,S24,IF($Q$5=45,S24,IF($Q$5=46,T23,IF($Q$5=47,T23,IF($Q$5=48,T23,IF($Q$5=49,T10,IF($Q$5=50,T23,IF($Q$5=51,S26,IF($Q$5=52,S27,IF($Q$5=53,T23,IF($Q$5=54,T23,0))))))))))))))))))</f>
        <v>0</v>
      </c>
      <c r="X20" s="18"/>
      <c r="Y20" s="383"/>
      <c r="Z20" s="11" t="str">
        <f>+P12</f>
        <v>B3</v>
      </c>
      <c r="AA20" s="14">
        <f>IF(ISTEXT(Z20),AA19,0)</f>
        <v>5</v>
      </c>
      <c r="AB20" s="14">
        <f>IF(ISTEXT(Z20),AB19,0)</f>
        <v>1</v>
      </c>
      <c r="AC20" s="15">
        <f>IF(ISTEXT(Z20),AC19,0)</f>
        <v>-5</v>
      </c>
      <c r="AD20" s="6"/>
      <c r="AE20" s="11" t="str">
        <f>+S12</f>
        <v>B2</v>
      </c>
      <c r="AF20" s="14">
        <f>IF(ISTEXT(AE20),AF19,0)</f>
        <v>5</v>
      </c>
      <c r="AG20" s="48">
        <f>IF(ISTEXT(AE20),AG19,0)</f>
        <v>1</v>
      </c>
      <c r="AH20" s="15">
        <f>IF(ISTEXT(AE20),AH19,0)</f>
        <v>-7</v>
      </c>
      <c r="AI20" s="6"/>
      <c r="AJ20" s="11" t="str">
        <f>+V12</f>
        <v>B6</v>
      </c>
      <c r="AK20" s="14">
        <f>IF(ISTEXT(AJ20),AK19,0)</f>
        <v>14</v>
      </c>
      <c r="AL20" s="48">
        <f>IF(ISTEXT(AJ20),AL19,0)</f>
        <v>3</v>
      </c>
      <c r="AM20" s="15">
        <f>IF(ISTEXT(AJ20),AM19,0)</f>
        <v>5</v>
      </c>
      <c r="AN20" s="18"/>
      <c r="AO20" s="44">
        <v>12</v>
      </c>
      <c r="AP20" s="278" t="str">
        <f>+Inscrits!B14</f>
        <v>A12</v>
      </c>
      <c r="AQ20" s="247">
        <f t="shared" si="3"/>
        <v>1</v>
      </c>
      <c r="AR20" s="82">
        <f t="shared" si="4"/>
        <v>-1</v>
      </c>
      <c r="AS20" s="184" t="str">
        <f t="shared" si="5"/>
        <v>0</v>
      </c>
      <c r="AT20" s="250">
        <f t="shared" si="6"/>
        <v>3</v>
      </c>
      <c r="AU20" s="82">
        <f t="shared" si="7"/>
        <v>1</v>
      </c>
      <c r="AV20" s="252">
        <f t="shared" si="8"/>
        <v>1</v>
      </c>
      <c r="AW20" s="247">
        <f t="shared" si="9"/>
        <v>1</v>
      </c>
      <c r="AX20" s="82">
        <f t="shared" si="10"/>
        <v>-1</v>
      </c>
      <c r="AY20" s="252" t="str">
        <f t="shared" si="11"/>
        <v>0</v>
      </c>
      <c r="AZ20" s="247">
        <f t="shared" si="17"/>
        <v>5</v>
      </c>
      <c r="BA20" s="82">
        <f t="shared" si="12"/>
        <v>-1</v>
      </c>
      <c r="BB20" s="252">
        <f t="shared" si="13"/>
        <v>1</v>
      </c>
      <c r="BC20" s="255">
        <f t="shared" si="14"/>
        <v>-1</v>
      </c>
      <c r="BD20" s="7">
        <f t="shared" si="15"/>
        <v>0</v>
      </c>
      <c r="BE20" s="183">
        <f t="shared" si="16"/>
        <v>21.009900200000001</v>
      </c>
      <c r="BF20" s="82">
        <f>IF(AP20="","",SMALL(BE$9:BE$62,ROWS(AZ$9:AZ20)))</f>
        <v>3.9885005100000002</v>
      </c>
      <c r="BH20" s="82" t="str">
        <f>IF(OR(AP20="",AZ20=""),"",INDEX($AP$9:$AP$63,MATCH(BF20,$BE$9:BE$62,0)))</f>
        <v>C7</v>
      </c>
      <c r="BI20" s="7">
        <f t="shared" si="0"/>
        <v>7</v>
      </c>
      <c r="BJ20" s="7">
        <f t="shared" si="1"/>
        <v>1</v>
      </c>
      <c r="BK20" s="7">
        <f t="shared" si="2"/>
        <v>15</v>
      </c>
      <c r="BL20" s="17">
        <f>IF(BF20="","",IF(AND(BI19=BI20,BJ19=BJ20,BK19=BK20),BL19,$BL$9+11))</f>
        <v>12</v>
      </c>
      <c r="BM20" s="22"/>
      <c r="BN20" s="225"/>
    </row>
    <row r="21" spans="1:66" ht="21.6" thickBot="1" x14ac:dyDescent="0.35">
      <c r="A21" s="111">
        <v>12</v>
      </c>
      <c r="B21" s="330" t="s">
        <v>77</v>
      </c>
      <c r="C21" s="235">
        <f>IF($Q$5&gt;=34,12,0)</f>
        <v>12</v>
      </c>
      <c r="D21" s="330"/>
      <c r="E21" s="235">
        <f>IF($Q$5&gt;=35,12,0)</f>
        <v>0</v>
      </c>
      <c r="F21" s="333"/>
      <c r="G21" s="235">
        <f>IF($Q$5&gt;=36,12,0)</f>
        <v>0</v>
      </c>
      <c r="H21" s="18"/>
      <c r="I21" s="165">
        <v>12</v>
      </c>
      <c r="J21" s="172" t="str">
        <f>IF(ISNA(MATCH(I21,$C$10:$C$27,0)),"",INDEX(B$10:$B$27,MATCH(I21,$C$10:$C$27,0)))</f>
        <v>A12</v>
      </c>
      <c r="K21" s="117" t="str">
        <f>IF(ISNA(MATCH(I21,$E$10:$E$27,0)),"",INDEX($D$10:D$27,MATCH(I21,$E$10:$E$27,0)))</f>
        <v/>
      </c>
      <c r="L21" s="160" t="str">
        <f>IF(ISNA(MATCH(I21,$G$10:$G$27,0)),"",INDEX($F$10:F$27,MATCH(I21,$G$10:$G$27,0)))</f>
        <v/>
      </c>
      <c r="M21" s="130"/>
      <c r="N21" s="42" t="s">
        <v>5</v>
      </c>
      <c r="O21" s="121" t="str">
        <f>IF($Q$5=31,K19,IF($Q$5=32,K20,IF($Q$5=33,K20,IF($Q$5=34,J21,IF($Q$5=35,J21,IF($Q$5=36,J21,IF($Q$5=37,J21,IF($Q$5=38,J21,IF($Q$5=39,J21,IF($Q$5=40,J21,IF($Q$5=41,J21,IF($Q$5=42,J21,IF($Q$5=43,J21,IF($Q$5=44,J21,IF($Q$5=45,J21,IF($Q$5=46,J21,IF($Q$5=47,J21,IF($Q$5=48,J21,IF($Q$5=49,J21,IF($Q$5=50,J21,IF($Q$5=51,J21,IF($Q$5=52,J21,IF($Q$5=53,J21,IF($Q$5=54,J21,0))))))))))))))))))))))))</f>
        <v>A12</v>
      </c>
      <c r="P21" s="126" t="str">
        <f>IF($Q$5=31,L19,IF($Q$5=32,L19,IF($Q$5=33,L20,IF($Q$5=34,L20,IF($Q$5=35,K21,IF($Q$5=36,K21,IF($Q$5=37,L21,IF($Q$5=38,K21,IF($Q$5=39,K21,IF($Q$5=40,K21,IF($Q$5=41,K21,IF($Q$5=42,K21,IF($Q$5=43,K21,IF($Q$5=44,K21,IF($Q$5=45,K21,IF($Q$5=46,K21,IF($Q$5=47,K21,IF($Q$5=48,K21,IF($Q$5=49,K21,IF($Q$5=50,K21,IF($Q$5=51,K21,IF($Q$5=52,K21,IF($Q$5=53,K21,IF($Q$5=54,K21,0))))))))))))))))))))))))</f>
        <v>C11</v>
      </c>
      <c r="Q21" s="123">
        <f>IF($Q$5=36,L21,IF($Q$5=40,L21,IF($Q$5=41,L21,IF($Q$5=42,L21,IF($Q$5=43,0,IF($Q$5=44,L21,IF($Q$5=45,L21,IF($Q$5=46,L21,IF($Q$5=47,L21,IF($Q$5=48,L21,IF($Q$5=49,L21,IF($Q$5=50,L21,IF($Q$5=51,L21,IF($Q$5=52,L21,IF($Q$5=53,L21,IF($Q$5=54,L21,0))))))))))))))))</f>
        <v>0</v>
      </c>
      <c r="R21" s="141" t="str">
        <f>IF($Q$5=31,K11,IF($Q$5=32,J10,IF($Q$5=33,O21,IF($Q$5=34,J10,IF($Q$5=35,J10,IF($Q$5=36,J10,IF($Q$5=37,J22,IF($Q$5=38,J22,IF($Q$5=39,J22,IF($Q$5=40,J22,IF($Q$5=41,J22,IF($Q$5=42,J22,IF($Q$5=43,J22,IF($Q$5=44,J22,IF($Q$5=45,J22,IF($Q$5=46,J22,IF($Q$5=47,J22,IF($Q$5=48,J22,IF($Q$5=49,J22,IF($Q$5=50,J22,IF($Q$5=51,J22,IF($Q$5=52,J22,IF($Q$5=53,J22,IF($Q$5=54,J22,0))))))))))))))))))))))))</f>
        <v>A1</v>
      </c>
      <c r="S21" s="137" t="str">
        <f>IF($Q$5=31,O21,IF($Q$5=32,P18,IF($Q$5=33,P20,IF($Q$5=34,L19,IF($Q$5=35,K21,IF($Q$5=36,K11,IF($Q$5=37,L10,IF($Q$5=38,K10,IF($Q$5=39,K11,IF($Q$5=40,K10,IF($Q$5=41,K23,IF($Q$5=42,K23,IF($Q$5=43,P11,IF($Q$5=44,K23,IF($Q$5=45,K23,IF($Q$5=46,K23,IF($Q$5=47,K23,IF($Q$5=48,K23,IF($Q$5=49,K23,IF($Q$5=50,K23,IF($Q$5=51,K23,IF($Q$5=52,K23,IF($Q$5=53,K23,IF($Q$5=54,K23,0))))))))))))))))))))))))</f>
        <v>C10</v>
      </c>
      <c r="T21" s="153">
        <f>IF($Q$5=36,L12,IF($Q$5=40,L11,IF($Q$5=41,L11,IF($Q$5=42,L10,IF($Q$5=43,0,IF($Q$5=44,L10,IF($Q$5=45,P25,IF($Q$5=46,P25,IF($Q$5=47,L24,IF($Q$5=48,L24,IF($Q$5=49,L11,IF($Q$5=50,P26,IF($Q$5=51,L24,IF($Q$5=52,L24,IF($Q$5=53,L24,IF($Q$5=54,L24,0))))))))))))))))</f>
        <v>0</v>
      </c>
      <c r="U21" s="156" t="str">
        <f>IF($Q$5=31,S21,IF($Q$5=32,R20,IF($Q$5=33,R21,IF($Q$5=34,R20,IF($Q$5=35,R20,IF($Q$5=36,O11,IF($Q$5=37,R22,IF($Q$5=38,R22,IF($Q$5=39,O10,IF($Q$5=40,R22,IF($Q$5=41,R22,IF($Q$5=42,O23,IF($Q$5=43,R22,IF($Q$5=44,O23,IF($Q$5=45,R22,IF($Q$5=46,O23,IF($Q$5=47,O23,IF($Q$5=48,R22,IF($Q$5=49,R22,IF($Q$5=50,O23,IF($Q$5=51,R22,IF($Q$5=52,R22,IF($Q$5=53,O23,IF($Q$5=54,O23,0))))))))))))))))))))))))</f>
        <v>A12</v>
      </c>
      <c r="V21" s="137" t="str">
        <f>IF($Q$5=31,S15,IF($Q$5=32,S19,IF($Q$5=33,S21,IF($Q$5=34,T19,IF($Q$5=35,S14,IF($Q$5=36,S11,IF($Q$5=37,T10,IF($Q$5=38,S10,IF($Q$5=39,S10,IF($Q$5=40,S10,IF($Q$5=41,S23,IF($Q$5=42,S23,IF($Q$5=43,S21,IF($Q$5=44,S11,IF($Q$5=45,S23,IF($Q$5=46,S23,IF($Q$5=47,S23,IF($Q$5=48,S23,IF($Q$5=49,S23,IF($Q$5=50,S23,IF($Q$5=51,S23,IF($Q$5=52,S23,IF($Q$5=53,S23,IF($Q$5=54,S23,0))))))))))))))))))))))))</f>
        <v>C9</v>
      </c>
      <c r="W21" s="146">
        <f>IF($Q$5=36,T12,IF($Q$5=39,0,IF($Q$5=40,T11,IF($Q$5=41,T11,IF($Q$5=42,T10,IF($Q$5=43,0,IF($Q$5=44,T10,IF($Q$5=45,S25,IF($Q$5=46,S25,IF($Q$5=47,T24,IF($Q$5=48,T24,IF($Q$5=49,T11,IF($Q$5=50,S26,IF($Q$5=51,T22,IF($Q$5=52,T23,IF($Q$5=53,T24,IF($Q$5=54,T24,0)))))))))))))))))</f>
        <v>0</v>
      </c>
      <c r="X21" s="18"/>
      <c r="Y21" s="383"/>
      <c r="Z21" s="11" t="str">
        <f>+Q12</f>
        <v>C3</v>
      </c>
      <c r="AA21" s="55">
        <f>IF(ISTEXT(Z21),AA19,0)</f>
        <v>5</v>
      </c>
      <c r="AB21" s="55">
        <f>IF(ISTEXT(Z21),AB19,0)</f>
        <v>1</v>
      </c>
      <c r="AC21" s="56">
        <f>IF(ISTEXT(Z21),AC19,0)</f>
        <v>-5</v>
      </c>
      <c r="AD21" s="6"/>
      <c r="AE21" s="11" t="str">
        <f>+T12</f>
        <v>C5</v>
      </c>
      <c r="AF21" s="55">
        <f>IF(ISTEXT(AE21),AF19,0)</f>
        <v>5</v>
      </c>
      <c r="AG21" s="52">
        <f>IF(ISTEXT(AE21),AG19,0)</f>
        <v>1</v>
      </c>
      <c r="AH21" s="56">
        <f>IF(ISTEXT(AE21),AH19,0)</f>
        <v>-7</v>
      </c>
      <c r="AI21" s="6"/>
      <c r="AJ21" s="11" t="str">
        <f>+W12</f>
        <v>C5</v>
      </c>
      <c r="AK21" s="55">
        <f>IF(ISTEXT(AJ21),AK19,0)</f>
        <v>14</v>
      </c>
      <c r="AL21" s="52">
        <f>IF(ISTEXT(AJ21),AL19,0)</f>
        <v>3</v>
      </c>
      <c r="AM21" s="56">
        <f>IF(ISTEXT(AJ21),AM19,0)</f>
        <v>5</v>
      </c>
      <c r="AN21" s="18"/>
      <c r="AO21" s="44">
        <v>13</v>
      </c>
      <c r="AP21" s="278" t="str">
        <f>+Inscrits!B15</f>
        <v>A13</v>
      </c>
      <c r="AQ21" s="247" t="str">
        <f t="shared" si="3"/>
        <v xml:space="preserve"> </v>
      </c>
      <c r="AR21" s="82" t="str">
        <f t="shared" si="4"/>
        <v xml:space="preserve"> </v>
      </c>
      <c r="AS21" s="184" t="str">
        <f t="shared" si="5"/>
        <v xml:space="preserve"> </v>
      </c>
      <c r="AT21" s="250" t="str">
        <f t="shared" si="6"/>
        <v xml:space="preserve"> </v>
      </c>
      <c r="AU21" s="82" t="str">
        <f t="shared" si="7"/>
        <v xml:space="preserve"> </v>
      </c>
      <c r="AV21" s="252" t="str">
        <f t="shared" si="8"/>
        <v xml:space="preserve"> </v>
      </c>
      <c r="AW21" s="247" t="str">
        <f t="shared" si="9"/>
        <v xml:space="preserve"> </v>
      </c>
      <c r="AX21" s="82" t="str">
        <f t="shared" si="10"/>
        <v xml:space="preserve"> </v>
      </c>
      <c r="AY21" s="252" t="str">
        <f t="shared" si="11"/>
        <v xml:space="preserve"> </v>
      </c>
      <c r="AZ21" s="247">
        <f t="shared" si="17"/>
        <v>0</v>
      </c>
      <c r="BA21" s="82">
        <f t="shared" si="12"/>
        <v>0</v>
      </c>
      <c r="BB21" s="252">
        <f t="shared" si="13"/>
        <v>0</v>
      </c>
      <c r="BC21" s="255">
        <f t="shared" si="14"/>
        <v>0</v>
      </c>
      <c r="BD21" s="7">
        <f t="shared" si="15"/>
        <v>0</v>
      </c>
      <c r="BE21" s="183">
        <f t="shared" si="16"/>
        <v>35.000000210000003</v>
      </c>
      <c r="BF21" s="82">
        <f>IF(AP21="","",SMALL(BE$9:BE$62,ROWS(AZ$9:AZ21)))</f>
        <v>3.9894003500000004</v>
      </c>
      <c r="BH21" s="82" t="str">
        <f>IF(OR(AP21="",AZ21=""),"",INDEX($AP$9:$AP$63,MATCH(BF21,$BE$9:BE$62,0)))</f>
        <v>B9</v>
      </c>
      <c r="BI21" s="7">
        <f t="shared" si="0"/>
        <v>7</v>
      </c>
      <c r="BJ21" s="7">
        <f t="shared" si="1"/>
        <v>1</v>
      </c>
      <c r="BK21" s="7">
        <f t="shared" si="2"/>
        <v>6</v>
      </c>
      <c r="BL21" s="17">
        <f>IF(BF21="","",IF(AND(BI20=BI21,BJ20=BJ21,BK20=BK21),BL20,$BL$9+12))</f>
        <v>13</v>
      </c>
      <c r="BM21" s="22"/>
      <c r="BN21" s="225"/>
    </row>
    <row r="22" spans="1:66" ht="21" x14ac:dyDescent="0.3">
      <c r="A22" s="111">
        <v>13</v>
      </c>
      <c r="B22" s="330"/>
      <c r="C22" s="235">
        <f>IF($Q$5&gt;=37,13,0)</f>
        <v>0</v>
      </c>
      <c r="D22" s="330"/>
      <c r="E22" s="235">
        <f>IF($Q$5&gt;=38,13,0)</f>
        <v>0</v>
      </c>
      <c r="F22" s="333"/>
      <c r="G22" s="235">
        <f>IF($Q$5&gt;=39,13,0)</f>
        <v>0</v>
      </c>
      <c r="H22" s="18"/>
      <c r="I22" s="165">
        <v>13</v>
      </c>
      <c r="J22" s="172" t="str">
        <f>IF(ISNA(MATCH(I22,$C$10:$C$27,0)),"",INDEX(B$10:$B$27,MATCH(I22,$C$10:$C$27,0)))</f>
        <v/>
      </c>
      <c r="K22" s="117" t="str">
        <f>IF(ISNA(MATCH(I22,$E$10:$E$27,0)),"",INDEX($D$10:D$27,MATCH(I22,$E$10:$E$27,0)))</f>
        <v/>
      </c>
      <c r="L22" s="160" t="str">
        <f>IF(ISNA(MATCH(I22,$G$10:$G$27,0)),"",INDEX($F$10:F$27,MATCH(I22,$G$10:$G$27,0)))</f>
        <v/>
      </c>
      <c r="M22" s="130"/>
      <c r="N22" s="67">
        <v>7</v>
      </c>
      <c r="O22" s="127">
        <f>IF($Q$5=36,0,IF($Q$5=37,J22,IF($Q$5=38,J22,IF($Q$5=39,J22,IF($Q$5=40,J22,IF($Q$5=41,J22,IF($Q$5=42,J22,IF($Q$5=43,J22,IF($Q$5=44,J22,IF($Q$5=45,J22,IF($Q$5=46,J22,IF($Q$5=47,J22,IF($Q$5=48,J22,IF($Q$5=49,J22,IF($Q$5=50,J22,IF($Q$5=51,J22,IF($Q$5=52,J22,IF($Q$5=53,J22,IF($Q$5=54,J22,0)))))))))))))))))))</f>
        <v>0</v>
      </c>
      <c r="P22" s="122">
        <f>IF($Q$5=36,0,IF($Q$5=37,L20,IF($Q$5=38,L20,IF($Q$5=39,L21,IF($Q$5=40,K22,IF($Q$5=41,K22,IF($Q$5=42,K22,IF($Q$5=43,K22,IF($Q$5=44,K22,IF($Q$5=45,K22,IF($Q$5=46,K22,IF($Q$5=47,K22,IF($Q$5=48,K22,IF($Q$5=49,K22,IF($Q$5=50,K22,IF($Q$5=51,K22,IF($Q$5=52,K22,IF($Q$5=53,K22,IF($Q$5=54,K22,0)))))))))))))))))))</f>
        <v>0</v>
      </c>
      <c r="Q22" s="128">
        <f>IF($Q$5=39,0,IF($Q$5=40,0,IF($Q$5=41,L22,IF($Q$5=42,L22,IF($Q$5=43,0,IF($Q$5=44,0,IF($Q$5=45,L22,IF($Q$5=46,L22,IF($Q$5=47,L22,IF($Q$5=48,L22,IF($Q$5=49,L22,IF($Q$5=50,L22,IF($Q$5=51,L22,IF($Q$5=52,L22,IF($Q$5=53,L22,IF($Q$5=54,L22,0))))))))))))))))</f>
        <v>0</v>
      </c>
      <c r="R22" s="140">
        <f>IF($Q$5=33,0,IF($Q$5=34,0,IF($Q$5=35,0,IF($Q$5=36,0,IF($Q$5=37,J10,IF($Q$5=38,J10,IF($Q$5=39,J10,IF($Q$5=40,J23,IF($Q$5=41,J23,IF($Q$5=42,J23,IF($Q$5=43,J23,IF($Q$5=44,J23,IF($Q$5=45,J23,IF($Q$5=46,J23,IF($Q$5=47,J23,IF($Q$5=48,J23,IF($Q$5=49,J23,IF($Q$5=50,J23,IF($Q$5=51,J23,IF($Q$5=52,J23,IF($Q$5=53,J23,IF($Q$5=54,J23,0))))))))))))))))))))))</f>
        <v>0</v>
      </c>
      <c r="S22" s="132">
        <f>IF($Q$5=37,L11,IF($Q$5=38,L11,IF($Q$5=39,P23,IF($Q$5=40,K11,IF($Q$5=41,K10,IF($Q$5=42,K10,IF($Q$5=43,K10,IF($Q$5=44,P10,IF($Q$5=45,P11,IF($Q$5=46,K24,IF($Q$5=47,K24,IF($Q$5=48,K24,IF($Q$5=49,K24,IF($Q$5=50,K24,IF($Q$5=51,K24,IF($Q$5=52,K24,IF($Q$5=53,K24,IF($Q$5=54,K24,0))))))))))))))))))</f>
        <v>0</v>
      </c>
      <c r="T22" s="151">
        <f>IF($Q$5=41,L12,IF($Q$5=42,L11,IF($Q$5=43,0,IF($Q$5=44,0,IF($Q$5=45,L10,IF($Q$5=46,L10,IF($Q$5=47,L10,IF($Q$5=48,L25,IF($Q$5=49,L12,IF($Q$5=50,P27,IF($Q$5=51,L10,IF($Q$5=52,L25,IF($Q$5=53,L25,IF($Q$5=54,L25,0))))))))))))))</f>
        <v>0</v>
      </c>
      <c r="U22" s="135">
        <f>IF($Q$5=37,O11,IF($Q$5=38,R10,IF($Q$5=39,R10,IF($Q$5=40,R23,IF($Q$5=41,R23,IF($Q$5=42,R23,IF($Q$5=43,R23,IF($Q$5=44,O24,IF($Q$5=45,R23,IF($Q$5=46,R23,IF($Q$5=47,R23,IF($Q$5=48,R23,IF($Q$5=49,R23,IF($Q$5=50,R23,IF($Q$5=51,R23,IF($Q$5=52,R23,IF($Q$5=53,R23,IF($Q$5=54,O24,0))))))))))))))))))</f>
        <v>0</v>
      </c>
      <c r="V22" s="138">
        <f>IF($Q$5=37,T11,IF($Q$5=38,T12,IF($Q$5=39,T11,IF($Q$5=40,S11,IF($Q$5=41,S10,IF($Q$5=42,S10,IF($Q$5=43,S10,IF($Q$5=44,S25,IF($Q$5=45,S11,IF($Q$5=46,S24,IF($Q$5=47,S24,IF($Q$5=48,S24,IF($Q$5=49,S24,IF($Q$5=50,S11,IF($Q$5=51,S11,IF($Q$5=52,S24,IF($Q$5=53,S24,IF($Q$5=54,S24,0))))))))))))))))))</f>
        <v>0</v>
      </c>
      <c r="W22" s="145">
        <f>IF($Q$5=41,T12,IF($Q$5=42,T11,IF($Q$5=43,0,IF($Q$5=44,0,IF($Q$5=45,T10,IF($Q$5=46,T10,IF($Q$5=47,T10,IF($Q$5=48,T25,IF($Q$5=49,T12,IF($Q$5=50,S27,IF($Q$5=51,T23,IF($Q$5=52,T24,IF($Q$5=53,T25,IF($Q$5=54,T25,0))))))))))))))</f>
        <v>0</v>
      </c>
      <c r="X22" s="18"/>
      <c r="Y22" s="383"/>
      <c r="Z22" s="24"/>
      <c r="AA22" s="16" t="s">
        <v>5</v>
      </c>
      <c r="AB22" s="16"/>
      <c r="AC22" s="17"/>
      <c r="AD22" s="1"/>
      <c r="AE22" s="24"/>
      <c r="AF22" s="16" t="s">
        <v>5</v>
      </c>
      <c r="AG22" s="16"/>
      <c r="AH22" s="17"/>
      <c r="AI22" s="1"/>
      <c r="AJ22" s="24"/>
      <c r="AK22" s="16" t="s">
        <v>5</v>
      </c>
      <c r="AL22" s="16"/>
      <c r="AM22" s="17"/>
      <c r="AN22" s="18"/>
      <c r="AO22" s="44">
        <v>14</v>
      </c>
      <c r="AP22" s="278" t="str">
        <f>+Inscrits!B16</f>
        <v>A14</v>
      </c>
      <c r="AQ22" s="247" t="str">
        <f t="shared" si="3"/>
        <v xml:space="preserve"> </v>
      </c>
      <c r="AR22" s="82" t="str">
        <f t="shared" si="4"/>
        <v xml:space="preserve"> </v>
      </c>
      <c r="AS22" s="184" t="str">
        <f t="shared" si="5"/>
        <v xml:space="preserve"> </v>
      </c>
      <c r="AT22" s="250" t="str">
        <f t="shared" si="6"/>
        <v xml:space="preserve"> </v>
      </c>
      <c r="AU22" s="82" t="str">
        <f t="shared" si="7"/>
        <v xml:space="preserve"> </v>
      </c>
      <c r="AV22" s="252" t="str">
        <f t="shared" si="8"/>
        <v xml:space="preserve"> </v>
      </c>
      <c r="AW22" s="247" t="str">
        <f t="shared" si="9"/>
        <v xml:space="preserve"> </v>
      </c>
      <c r="AX22" s="82" t="str">
        <f t="shared" si="10"/>
        <v xml:space="preserve"> </v>
      </c>
      <c r="AY22" s="252" t="str">
        <f t="shared" si="11"/>
        <v xml:space="preserve"> </v>
      </c>
      <c r="AZ22" s="247">
        <f t="shared" si="17"/>
        <v>0</v>
      </c>
      <c r="BA22" s="82">
        <f t="shared" si="12"/>
        <v>0</v>
      </c>
      <c r="BB22" s="252">
        <f t="shared" si="13"/>
        <v>0</v>
      </c>
      <c r="BC22" s="255">
        <f t="shared" si="14"/>
        <v>0</v>
      </c>
      <c r="BD22" s="7">
        <f t="shared" si="15"/>
        <v>0</v>
      </c>
      <c r="BE22" s="183">
        <f t="shared" si="16"/>
        <v>35.000000219999997</v>
      </c>
      <c r="BF22" s="82">
        <f>IF(AP22="","",SMALL(BE$9:BE$62,ROWS(AZ$9:AZ22)))</f>
        <v>3.98980018</v>
      </c>
      <c r="BH22" s="82" t="str">
        <f>IF(OR(AP22="",AZ22=""),"",INDEX($AP$9:$AP$63,MATCH(BF22,$BE$9:BE$62,0)))</f>
        <v>A10</v>
      </c>
      <c r="BI22" s="7">
        <f t="shared" si="0"/>
        <v>7</v>
      </c>
      <c r="BJ22" s="7">
        <f t="shared" si="1"/>
        <v>1</v>
      </c>
      <c r="BK22" s="7">
        <f t="shared" si="2"/>
        <v>2</v>
      </c>
      <c r="BL22" s="17">
        <f>IF(BF22="","",IF(AND(BI21=BI22,BJ21=BJ22,BK21=BK22),BL21,$BL$9+13))</f>
        <v>14</v>
      </c>
      <c r="BM22" s="22"/>
      <c r="BN22" s="225"/>
    </row>
    <row r="23" spans="1:66" ht="21.6" thickBot="1" x14ac:dyDescent="0.35">
      <c r="A23" s="111">
        <v>14</v>
      </c>
      <c r="B23" s="330"/>
      <c r="C23" s="237">
        <f>IF($Q$5&gt;=40,14,0)</f>
        <v>0</v>
      </c>
      <c r="D23" s="330"/>
      <c r="E23" s="237">
        <f>IF($Q$5&gt;=41,14,0)</f>
        <v>0</v>
      </c>
      <c r="F23" s="333"/>
      <c r="G23" s="237">
        <f>IF($Q$5&gt;=42,14,0)</f>
        <v>0</v>
      </c>
      <c r="H23" s="18"/>
      <c r="I23" s="165">
        <v>14</v>
      </c>
      <c r="J23" s="172" t="str">
        <f>IF(ISNA(MATCH(I23,$C$10:$C$27,0)),"",INDEX(B$10:$B$27,MATCH(I23,$C$10:$C$27,0)))</f>
        <v/>
      </c>
      <c r="K23" s="117" t="str">
        <f>IF(ISNA(MATCH(I23,$E$10:$E$27,0)),"",INDEX($D$10:D$27,MATCH(I23,$E$10:$E$27,0)))</f>
        <v/>
      </c>
      <c r="L23" s="160" t="str">
        <f>IF(ISNA(MATCH(I23,$G$10:$G$27,0)),"",INDEX($F$10:F$27,MATCH(I23,$G$10:$G$27,0)))</f>
        <v/>
      </c>
      <c r="M23" s="130"/>
      <c r="N23" s="42" t="s">
        <v>5</v>
      </c>
      <c r="O23" s="121">
        <f>IF($Q$5=36,0,IF($Q$5=37,K21,IF($Q$5=38,K22,IF($Q$5=39,K22,IF($Q$5=40,J23,IF($Q$5=41,J23,IF($Q$5=42,J23,IF($Q$5=43,J23,IF($Q$5=44,J23,IF($Q$5=45,J23,IF($Q$5=46,J23,IF($Q$5=47,J23,IF($Q$5=48,J23,IF($Q$5=49,J23,IF($Q$5=50,J23,IF($Q$5=51,J23,IF($Q$5=52,J23,IF($Q$5=53,J23,IF($Q$5=54,J23,0)))))))))))))))))))</f>
        <v>0</v>
      </c>
      <c r="P23" s="126">
        <f>IF($Q$5=36,0,IF($Q$5=37,L19,IF($Q$5=38,L21,IF($Q$5=39,L22,IF($Q$5=40,L22,IF($Q$5=41,K23,IF($Q$5=42,K23,IF($Q$5=43,L22,IF($Q$5=44,K23,IF($Q$5=45,K23,IF($Q$5=46,K2:K23,IF($Q$5=47,K23,IF($Q$5=48,K23,IF($Q$5=49,K23,IF($Q$5=50,K23,IF($Q$5=51,K23,IF($Q$5=52,K23,IF($Q$5=53,K23,IF($Q$5=54,K23,0)))))))))))))))))))</f>
        <v>0</v>
      </c>
      <c r="Q23" s="123">
        <f>IF($Q$5=40,0,IF($Q$5=41,0,IF($Q$5=42,L23,IF($Q$5=43,0,IF($Q$5=44,0,IF($Q$5=45,0,IF($Q$5=46,L23,IF($Q$5=47,L23,IF($Q$5=48,L23,IF($Q$5=49,0,IF($Q$5=50,L23,IF($Q$5=51,L23,IF($Q$5=52,L23,IF($Q$5=53,L23,IF($Q$5=54,L23,0)))))))))))))))</f>
        <v>0</v>
      </c>
      <c r="R23" s="142">
        <f>IF($Q$5=37,O23,IF($Q$5=38,O23,IF($Q$5=39,O23,IF($Q$5=40,J10,IF($Q$5=41,J10,IF($Q$5=42,J10,IF($Q$5=43,J24,IF($Q$5=44,J24,IF($Q$5=45,J24,IF($Q$5=46,J24,IF($Q$5=47,J24,IF($Q$5=48,J24,IF($Q$5=49,J24,IF($Q$5=50,J24,IF($Q$5=51,J24,IF($Q$5=52,J24,IF($Q$5=53,J24,IF($Q$5=54,J24,0))))))))))))))))))</f>
        <v>0</v>
      </c>
      <c r="S23" s="143">
        <f>IF($Q$5=37,L12,IF($Q$5=38,L12,IF($Q$5=39,P22,IF($Q$5=40,L12,IF($Q$5=41,K11,IF($Q$5=42,K11,IF($Q$5=43,L11,IF($Q$5=44,L11,IF($Q$5=45,K10,IF($Q$5=46,K10,IF($Q$5=47,K25,IF($Q$5=48,K25,IF($Q$5=49,P11,IF($Q$5=50,K25,IF($Q$5=51,K25,IF($Q$5=52,K25,IF($Q$5=53,K25,IF($Q$5=54,K25,0))))))))))))))))))</f>
        <v>0</v>
      </c>
      <c r="T23" s="153">
        <f>IF($Q$5=42,L12,IF($Q$5=46,L11,IF($Q$5=47,L11,IF($Q$5=48,L10,IF($Q$5=49,0,IF($Q$5=50,L10,IF($Q$5=51,L11,IF($Q$5=52,L10,IF($Q$5=53,L26,IF($Q$5=54,L26,0))))))))))</f>
        <v>0</v>
      </c>
      <c r="U23" s="157">
        <f>IF($Q$5=32,0,IF($Q$5=33,0,IF($Q$5=34,0,IF($Q$5=35,0,IF($Q$5=36,0,IF($Q$5=37,R23,IF($Q$5=38,R23,IF($Q$5=39,R23,IF($Q$5=40,R10,IF($Q$5=41,R10,IF($Q$5=42,R10,IF($Q$5=43,R24,IF($Q$5=44,R24,IF($Q$5=45,R24,IF($Q$5=46,R24,IF($Q$5=47,R24,IF($Q$5=48,R24,IF($Q$5=49,R24,IF($Q$5=50,R24,IF($Q$5=51,R24,IF($Q$5=52,R24,IF($Q$5=53,R24,IF($Q$5=54,O25,0)))))))))))))))))))))))</f>
        <v>0</v>
      </c>
      <c r="V23" s="148">
        <f>IF($Q$5=37,T12,IF($Q$5=38,T11,IF($Q$5=39,T12,IF($Q$5=40,T12,IF($Q$5=41,S11,IF($Q$5=42,S11,IF($Q$5=43,T12,IF($Q$5=44,S10,IF($Q$5=45,S10,IF($Q$5=46,S10,IF($Q$5=47,S25,IF($Q$5=48,S25,IF($Q$5=49,S11,IF($Q$5=50,S24,IF($Q$5=51,S24,IF($Q$5=52,S25,IF($Q$5=53,S25,IF($Q$5=54,S25,0))))))))))))))))))</f>
        <v>0</v>
      </c>
      <c r="W23" s="149">
        <f>IF($Q$5=42,T12,IF($Q$5=43,0,IF($Q$5=44,0,IF($Q$5=45,0,IF($Q$5=46,T11,IF($Q$5=47,T11,IF($Q$5=48,T10,IF($Q$5=49,0,IF($Q$5=50,T10,IF($Q$5=51,T24,IF($Q$5=52,T25,IF($Q$5=53,T26,IF($Q$5=54,T26,0)))))))))))))</f>
        <v>0</v>
      </c>
      <c r="X23" s="18"/>
      <c r="Y23" s="383"/>
      <c r="Z23" s="11" t="str">
        <f>+O13</f>
        <v>A4</v>
      </c>
      <c r="AA23" s="27">
        <v>10</v>
      </c>
      <c r="AB23" s="23">
        <f>IF(AA19+AA23=0,0,IF(AA19=AA23,2,IF(AA19&lt;AA23,3,1)))</f>
        <v>3</v>
      </c>
      <c r="AC23" s="12">
        <f>AA23-AA19</f>
        <v>5</v>
      </c>
      <c r="AD23" s="6"/>
      <c r="AE23" s="11" t="str">
        <f>+R13</f>
        <v>A5</v>
      </c>
      <c r="AF23" s="108">
        <v>12</v>
      </c>
      <c r="AG23" s="23">
        <f>IF(AF19+AF23=0,0,IF(AF19=AF23,2,IF(AF19&lt;AF23,3,1)))</f>
        <v>3</v>
      </c>
      <c r="AH23" s="12">
        <f>AF23-AF19</f>
        <v>7</v>
      </c>
      <c r="AI23" s="6"/>
      <c r="AJ23" s="11" t="str">
        <f>+U13</f>
        <v>A5</v>
      </c>
      <c r="AK23" s="29">
        <v>9</v>
      </c>
      <c r="AL23" s="23">
        <f>IF(AK19+AK23=0,0,IF(AK19=AK23,2,IF(AK19&lt;AK23,3,1)))</f>
        <v>1</v>
      </c>
      <c r="AM23" s="12">
        <f>AK23-AK19</f>
        <v>-5</v>
      </c>
      <c r="AN23" s="18"/>
      <c r="AO23" s="44">
        <v>15</v>
      </c>
      <c r="AP23" s="278" t="str">
        <f>+Inscrits!B17</f>
        <v>A15</v>
      </c>
      <c r="AQ23" s="247" t="str">
        <f t="shared" si="3"/>
        <v xml:space="preserve"> </v>
      </c>
      <c r="AR23" s="82" t="str">
        <f t="shared" si="4"/>
        <v xml:space="preserve"> </v>
      </c>
      <c r="AS23" s="184" t="str">
        <f t="shared" si="5"/>
        <v xml:space="preserve"> </v>
      </c>
      <c r="AT23" s="250" t="str">
        <f t="shared" si="6"/>
        <v xml:space="preserve"> </v>
      </c>
      <c r="AU23" s="82" t="str">
        <f t="shared" si="7"/>
        <v xml:space="preserve"> </v>
      </c>
      <c r="AV23" s="252" t="str">
        <f t="shared" si="8"/>
        <v xml:space="preserve"> </v>
      </c>
      <c r="AW23" s="247" t="str">
        <f t="shared" si="9"/>
        <v xml:space="preserve"> </v>
      </c>
      <c r="AX23" s="82" t="str">
        <f t="shared" si="10"/>
        <v xml:space="preserve"> </v>
      </c>
      <c r="AY23" s="252" t="str">
        <f t="shared" si="11"/>
        <v xml:space="preserve"> </v>
      </c>
      <c r="AZ23" s="247">
        <f t="shared" si="17"/>
        <v>0</v>
      </c>
      <c r="BA23" s="82">
        <f t="shared" si="12"/>
        <v>0</v>
      </c>
      <c r="BB23" s="252">
        <f t="shared" si="13"/>
        <v>0</v>
      </c>
      <c r="BC23" s="255">
        <f t="shared" si="14"/>
        <v>0</v>
      </c>
      <c r="BD23" s="7">
        <f t="shared" si="15"/>
        <v>0</v>
      </c>
      <c r="BE23" s="183">
        <f t="shared" si="16"/>
        <v>35.000000229999998</v>
      </c>
      <c r="BF23" s="82">
        <f>IF(AP23="","",SMALL(BE$9:BE$62,ROWS(AZ$9:AZ23)))</f>
        <v>3.9898001900000004</v>
      </c>
      <c r="BH23" s="82" t="str">
        <f>IF(OR(AP23="",AZ23=""),"",INDEX($AP$9:$AP$63,MATCH(BF23,$BE$9:BE$62,0)))</f>
        <v>A11</v>
      </c>
      <c r="BI23" s="7">
        <f t="shared" si="0"/>
        <v>7</v>
      </c>
      <c r="BJ23" s="7">
        <f t="shared" si="1"/>
        <v>1</v>
      </c>
      <c r="BK23" s="7">
        <f t="shared" si="2"/>
        <v>2</v>
      </c>
      <c r="BL23" s="17">
        <f>IF(BF23="","",IF(AND(BI22=BI23,BJ22=BJ23,BK22=BK23),BL22,$BL$9+14))</f>
        <v>14</v>
      </c>
      <c r="BM23" s="22"/>
      <c r="BN23" s="225"/>
    </row>
    <row r="24" spans="1:66" ht="21.6" thickBot="1" x14ac:dyDescent="0.35">
      <c r="A24" s="111">
        <v>15</v>
      </c>
      <c r="B24" s="330"/>
      <c r="C24" s="237">
        <f>IF($Q$5&gt;=43,15,0)</f>
        <v>0</v>
      </c>
      <c r="D24" s="330"/>
      <c r="E24" s="237">
        <f>IF($Q$5&gt;=44,15,0)</f>
        <v>0</v>
      </c>
      <c r="F24" s="333"/>
      <c r="G24" s="237">
        <f>IF($Q$5&gt;=45,15,0)</f>
        <v>0</v>
      </c>
      <c r="H24" s="18"/>
      <c r="I24" s="165">
        <v>15</v>
      </c>
      <c r="J24" s="172" t="str">
        <f>IF(ISNA(MATCH(I24,$C$10:$C$27,0)),"",INDEX(B$10:$B$27,MATCH(I24,$C$10:$C$27,0)))</f>
        <v/>
      </c>
      <c r="K24" s="117" t="str">
        <f>IF(ISNA(MATCH(I24,$E$10:$E$27,0)),"",INDEX($D$10:D$27,MATCH(I24,$E$10:$E$27,0)))</f>
        <v/>
      </c>
      <c r="L24" s="160" t="str">
        <f>IF(ISNA(MATCH(I24,$G$10:$G$27,0)),"",INDEX($F$10:F$27,MATCH(I24,$G$10:$G$27,0)))</f>
        <v/>
      </c>
      <c r="M24" s="130"/>
      <c r="N24" s="67">
        <v>8</v>
      </c>
      <c r="O24" s="127">
        <f>IF($Q$5=43,J24,IF($Q$5=44,J24,IF($Q$5=45,J24,IF($Q$5=46,J24,IF($Q$5=47,J24,IF($Q$5=48,J24,IF($Q$5=49,J24,IF($Q$5=50,J24,IF($Q$5=51,J24,IF($Q$5=52,J24,IF($Q$5=53,J24,IF($Q$5=54,J24,0))))))))))))</f>
        <v>0</v>
      </c>
      <c r="P24" s="122">
        <f>IF($Q$5=43,L23,IF($Q$5=44,L22,IF($Q$5=45,L23,IF($Q$5=46,K24,IF($Q$5=47,K24,IF($Q$5=48,K24,IF($Q$5=49,K24,IF($Q$5=50,K24,IF($Q$5=51,K24,IF($Q$5=52,K24,IF($Q$5=53,K24,IF($Q$5=54,K24,0))))))))))))</f>
        <v>0</v>
      </c>
      <c r="Q24" s="128">
        <f>IF($Q$5=43,0,IF($Q$5=44,0,IF($Q$5=45,0,IF($Q$5=46,0,IF($Q$5=47,L24,IF($Q$5=48,L24,IF($Q$5=49,0,IF($Q$5=50,0,IF($Q$5=51,L24,IF($Q$5=52,L24,IF($Q$5=53,L24,IF($Q$5=54,L24,0))))))))))))</f>
        <v>0</v>
      </c>
      <c r="R24" s="140">
        <f>IF($Q$5=43,J10,IF($Q$5=44,J10,IF($Q$5=45,J10,IF($Q$5=46,J25,IF($Q$5=47,J25,IF($Q$5=48,J25,IF($Q$5=49,J25,IF($Q$5=50,J25,IF($Q$5=51,J25,IF($Q$5=52,J25,IF($Q$5=53,J25,IF($Q$5=54,J25,0))))))))))))</f>
        <v>0</v>
      </c>
      <c r="S24" s="132">
        <f>IF($Q$5=43,L12,IF($Q$5=44,L12,IF($Q$5=45,L11,IF($Q$5=46,K11,IF($Q$5=47,K10,IF($Q$5=48,K10,IF($Q$5=49,K10,IF($Q$5=50,K10,IF($Q$5=51,K10,IF($Q$5=52,K26,IF($Q$5=53,K26,IF($Q$5=54,K26,0))))))))))))</f>
        <v>0</v>
      </c>
      <c r="T24" s="151">
        <f>IF($Q$5=47,L12,IF($Q$5=48,L11,IF($Q$5=49,0,IF($Q$5=50,0,IF($Q$5=51,L12,IF($Q$5=52,L11,IF($Q$5=53,L10,IF($Q$5=54,L27,0))))))))</f>
        <v>0</v>
      </c>
      <c r="U24" s="140">
        <f>IF($Q$5=42,0,IF($Q$5=43,R10,IF($Q$5=44,R10,IF($Q$5=45,R10,IF($Q$5=46,R25,IF($Q$5=47,R25,IF($Q$5=48,O10,IF($Q$5=49,R25,IF($Q$5=50,R25,IF($Q$5=51,R25,IF($Q$5=52,R25,IF($Q$5=53,O26,IF($Q$5=54,O26,0)))))))))))))</f>
        <v>0</v>
      </c>
      <c r="V24" s="138">
        <f>IF($Q$5=43,T10,IF($Q$5=44,T11,IF($Q$5=45,T11,IF($Q$5=46,S11,IF($Q$5=47,S10,IF($Q$5=48,S10,IF($Q$5=49,S10,IF($Q$5=50,S25,IF($Q$5=51,S25,IF($Q$5=52,S26,IF($Q$5=53,S26,IF($Q$5=54,S26,0))))))))))))</f>
        <v>0</v>
      </c>
      <c r="W24" s="145">
        <f>IF($Q$5=47,T12,IF($Q$5=48,T11,IF($Q$5=49,0,IF($Q$5=50,0,IF($Q$5=51,T10,IF($Q$5=52,T10,IF($Q$5=53,T10,IF($Q$5=54,T27,0))))))))</f>
        <v>0</v>
      </c>
      <c r="X24" s="18"/>
      <c r="Y24" s="383"/>
      <c r="Z24" s="11" t="str">
        <f>+P13</f>
        <v>B4</v>
      </c>
      <c r="AA24" s="57">
        <f>IF(ISTEXT(Z24),AA23,0)</f>
        <v>10</v>
      </c>
      <c r="AB24" s="14">
        <f>IF(ISTEXT(Z24),AB23,0)</f>
        <v>3</v>
      </c>
      <c r="AC24" s="15">
        <f>IF(ISTEXT(Z24),AC23,0)</f>
        <v>5</v>
      </c>
      <c r="AD24" s="6"/>
      <c r="AE24" s="11" t="str">
        <f>+S13</f>
        <v>B3</v>
      </c>
      <c r="AF24" s="14">
        <f>IF(ISTEXT(AE24),AF23,0)</f>
        <v>12</v>
      </c>
      <c r="AG24" s="14">
        <f>IF(ISTEXT(AE24),AG23,0)</f>
        <v>3</v>
      </c>
      <c r="AH24" s="15">
        <f>IF(ISTEXT(AE24),AH23,0)</f>
        <v>7</v>
      </c>
      <c r="AI24" s="6"/>
      <c r="AJ24" s="11" t="str">
        <f>+V13</f>
        <v>B7</v>
      </c>
      <c r="AK24" s="14">
        <f>IF(ISTEXT(AJ24),AK23,0)</f>
        <v>9</v>
      </c>
      <c r="AL24" s="14">
        <f>IF(ISTEXT(AJ24),AL23,0)</f>
        <v>1</v>
      </c>
      <c r="AM24" s="15">
        <f>IF(ISTEXT(AJ24),AM23,0)</f>
        <v>-5</v>
      </c>
      <c r="AN24" s="18"/>
      <c r="AO24" s="44">
        <v>16</v>
      </c>
      <c r="AP24" s="278" t="str">
        <f>+Inscrits!B18</f>
        <v>A16</v>
      </c>
      <c r="AQ24" s="247" t="str">
        <f t="shared" si="3"/>
        <v xml:space="preserve"> </v>
      </c>
      <c r="AR24" s="82" t="str">
        <f t="shared" si="4"/>
        <v xml:space="preserve"> </v>
      </c>
      <c r="AS24" s="184" t="str">
        <f t="shared" si="5"/>
        <v xml:space="preserve"> </v>
      </c>
      <c r="AT24" s="250" t="str">
        <f t="shared" si="6"/>
        <v xml:space="preserve"> </v>
      </c>
      <c r="AU24" s="82" t="str">
        <f t="shared" si="7"/>
        <v xml:space="preserve"> </v>
      </c>
      <c r="AV24" s="252" t="str">
        <f t="shared" si="8"/>
        <v xml:space="preserve"> </v>
      </c>
      <c r="AW24" s="247" t="str">
        <f t="shared" si="9"/>
        <v xml:space="preserve"> </v>
      </c>
      <c r="AX24" s="82" t="str">
        <f t="shared" si="10"/>
        <v xml:space="preserve"> </v>
      </c>
      <c r="AY24" s="252" t="str">
        <f t="shared" si="11"/>
        <v xml:space="preserve"> </v>
      </c>
      <c r="AZ24" s="247">
        <f t="shared" si="17"/>
        <v>0</v>
      </c>
      <c r="BA24" s="82">
        <f t="shared" si="12"/>
        <v>0</v>
      </c>
      <c r="BB24" s="252">
        <f t="shared" si="13"/>
        <v>0</v>
      </c>
      <c r="BC24" s="255">
        <f t="shared" si="14"/>
        <v>0</v>
      </c>
      <c r="BD24" s="7">
        <f t="shared" si="15"/>
        <v>0</v>
      </c>
      <c r="BE24" s="183">
        <f t="shared" si="16"/>
        <v>35.000000239999999</v>
      </c>
      <c r="BF24" s="82">
        <f>IF(AP24="","",SMALL(BE$9:BE$62,ROWS(AZ$9:AZ24)))</f>
        <v>3.9898003700000002</v>
      </c>
      <c r="BH24" s="82" t="str">
        <f>IF(OR(AP24="",AZ24=""),"",INDEX($AP$9:$AP$63,MATCH(BF24,$BE$9:BE$62,0)))</f>
        <v>B11</v>
      </c>
      <c r="BI24" s="7">
        <f t="shared" si="0"/>
        <v>7</v>
      </c>
      <c r="BJ24" s="7">
        <f t="shared" si="1"/>
        <v>1</v>
      </c>
      <c r="BK24" s="7">
        <f t="shared" si="2"/>
        <v>2</v>
      </c>
      <c r="BL24" s="17">
        <f>IF(BF24="","",IF(AND(BI23=BI24,BJ23=BJ24,BK23=BK24),BL23,$BL$9+15))</f>
        <v>14</v>
      </c>
      <c r="BM24" s="22"/>
      <c r="BN24" s="225"/>
    </row>
    <row r="25" spans="1:66" ht="21.6" thickBot="1" x14ac:dyDescent="0.35">
      <c r="A25" s="111">
        <v>16</v>
      </c>
      <c r="B25" s="330"/>
      <c r="C25" s="237">
        <f>IF($Q$5&gt;=46,16,0)</f>
        <v>0</v>
      </c>
      <c r="D25" s="330"/>
      <c r="E25" s="237">
        <f>IF($Q$5&gt;=47,16,0)</f>
        <v>0</v>
      </c>
      <c r="F25" s="333"/>
      <c r="G25" s="237">
        <f>IF($Q$5&gt;=48,16,0)</f>
        <v>0</v>
      </c>
      <c r="H25" s="18"/>
      <c r="I25" s="165">
        <v>16</v>
      </c>
      <c r="J25" s="172" t="str">
        <f>IF(ISNA(MATCH(I25,$C$10:$C$27,0)),"",INDEX(B$10:$B$27,MATCH(I25,$C$10:$C$27,0)))</f>
        <v/>
      </c>
      <c r="K25" s="117" t="str">
        <f>IF(ISNA(MATCH(I25,$E$10:$E$27,0)),"",INDEX($D$10:D$27,MATCH(I25,$E$10:$E$27,0)))</f>
        <v/>
      </c>
      <c r="L25" s="160" t="str">
        <f>IF(ISNA(MATCH(I25,$G$10:$G$27,0)),"",INDEX($F$10:F$27,MATCH(I25,$G$10:$G$27,0)))</f>
        <v/>
      </c>
      <c r="M25" s="130"/>
      <c r="N25" s="42" t="s">
        <v>5</v>
      </c>
      <c r="O25" s="121">
        <f>IF($Q$5=43,K23,IF($Q$5=44,K24,IF($Q$5=45,K24,IF($Q$5=46,J25,IF($Q$5=47,J25,IF($Q$5=48,J25,IF($Q$5=49,J25,IF($Q$5=50,J25,IF($Q$5=51,J25,IF($Q$5=52,J25,IF($Q$5=53,J25,IF($Q$5=54,J25,0))))))))))))</f>
        <v>0</v>
      </c>
      <c r="P25" s="126">
        <f>IF($Q$5=43,L21,IF($Q$5=44,L23,IF($Q$5=45,L24,IF($Q$5=46,L24,IF($Q$5=47,K25,IF($Q$5=48,K25,IF($Q$5=49,L25,IF($Q$5=50,K25,IF($Q$5=51,K25,IF($Q$5=52,K25,IF($Q$5=53,K25,IF($Q$5=54,K25,0))))))))))))</f>
        <v>0</v>
      </c>
      <c r="Q25" s="123">
        <f>IF($Q$5=48,L25,IF($Q$5=49,0,IF($Q$5=50,0,IF($Q$5=51,0,IF($Q$5=52,L25,IF($Q$5=53,L25,IF($Q$5=54,L25,0)))))))</f>
        <v>0</v>
      </c>
      <c r="R25" s="142">
        <f>IF($Q$5=43,O25,IF($Q$5=44,O25,IF($Q$5=45,O25,IF($Q$5=46,J10,IF($Q$5=47,J10,IF($Q$5=48,J10,IF($Q$5=49,J26,IF($Q$5=50,J26,IF($Q$5=51,J26,IF($Q$5=52,J26,IF($Q$5=53,J26,IF($Q$5=54,J26,0))))))))))))</f>
        <v>0</v>
      </c>
      <c r="S25" s="143">
        <f>IF($Q$5=43,L10,IF($Q$5=44,K11,IF($Q$5=45,L12,IF($Q$5=46,L12,IF($Q$5=47,K11,IF($Q$5=48,K11,IF($Q$5=49,P27,IF($Q$5=50,K11,IF($Q$5=51,K11,IF($Q$5=52,K10,IF($Q$5=53,K27,IF($Q$5=54,K27,0))))))))))))</f>
        <v>0</v>
      </c>
      <c r="T25" s="153">
        <f>IF($Q$5=48,L12,IF($Q$5=49,0,IF($Q$5=50,0,IF($Q$5=51,0,IF($Q$5=52,L12,IF($Q$5=53,L11,IF($Q$5=54,L10,0)))))))</f>
        <v>0</v>
      </c>
      <c r="U25" s="156">
        <f>IF($Q$5=43,R25,IF($Q$5=44,R25,IF($Q$5=45,R25,IF($Q$5=46,R10,IF($Q$5=47,R10,IF($Q$5=48,R10,IF($Q$5=49,R26,IF($Q$5=50,R26,IF($Q$5=51,R26,IF($Q$5=52,O27,IF($Q$5=53,R26,IF($Q$5=54,O27,0))))))))))))</f>
        <v>0</v>
      </c>
      <c r="V25" s="148">
        <f>IF($Q$5=43,T11,IF($Q$5=44,T12,IF($Q$5=45,T12,IF($Q$5=46,T12,IF($Q$5=47,S11,IF($Q$5=48,S11,IF($Q$5=49,S25,IF($Q$5=50,S10,IF($Q$5=51,S10,IF($Q$5=52,S10,IF($Q$5=53,S27,IF($Q$5=54,S27,0))))))))))))</f>
        <v>0</v>
      </c>
      <c r="W25" s="149">
        <f>IF($Q$5=48,T12,IF($Q$5=49,0,IF($Q$5=50,0,IF($Q$5=51,0,IF($Q$5=52,T11,IF($Q$5=53,T11,IF($Q$5=54,T10,0)))))))</f>
        <v>0</v>
      </c>
      <c r="X25" s="18"/>
      <c r="Y25" s="384"/>
      <c r="Z25" s="13" t="str">
        <f>+Q13</f>
        <v>C4</v>
      </c>
      <c r="AA25" s="57">
        <f>IF(ISTEXT(Z25),AA23,0)</f>
        <v>10</v>
      </c>
      <c r="AB25" s="14">
        <f>IF(ISTEXT(Z25),AB23,0)</f>
        <v>3</v>
      </c>
      <c r="AC25" s="15">
        <f>IF(ISTEXT(Z25),AC23,0)</f>
        <v>5</v>
      </c>
      <c r="AD25" s="6"/>
      <c r="AE25" s="13" t="str">
        <f>+T13</f>
        <v>C4</v>
      </c>
      <c r="AF25" s="14">
        <f>IF(ISTEXT(AE25),AF23,0)</f>
        <v>12</v>
      </c>
      <c r="AG25" s="14">
        <f>IF(ISTEXT(AE25),AG23,0)</f>
        <v>3</v>
      </c>
      <c r="AH25" s="15">
        <f>IF(ISTEXT(AE25),AH23,0)</f>
        <v>7</v>
      </c>
      <c r="AI25" s="6"/>
      <c r="AJ25" s="13" t="str">
        <f>+W13</f>
        <v>C7</v>
      </c>
      <c r="AK25" s="14">
        <f>IF(ISTEXT(AJ25),AK23,0)</f>
        <v>9</v>
      </c>
      <c r="AL25" s="14">
        <f>IF(ISTEXT(AJ25),AL23,0)</f>
        <v>1</v>
      </c>
      <c r="AM25" s="15">
        <f>IF(ISTEXT(AJ25),AM23,0)</f>
        <v>-5</v>
      </c>
      <c r="AN25" s="18"/>
      <c r="AO25" s="44">
        <v>17</v>
      </c>
      <c r="AP25" s="278" t="str">
        <f>+Inscrits!B19</f>
        <v>A17</v>
      </c>
      <c r="AQ25" s="247" t="str">
        <f t="shared" si="3"/>
        <v xml:space="preserve"> </v>
      </c>
      <c r="AR25" s="82" t="str">
        <f t="shared" si="4"/>
        <v xml:space="preserve"> </v>
      </c>
      <c r="AS25" s="184" t="str">
        <f t="shared" si="5"/>
        <v xml:space="preserve"> </v>
      </c>
      <c r="AT25" s="250" t="str">
        <f t="shared" si="6"/>
        <v xml:space="preserve"> </v>
      </c>
      <c r="AU25" s="82" t="str">
        <f t="shared" si="7"/>
        <v xml:space="preserve"> </v>
      </c>
      <c r="AV25" s="252" t="str">
        <f t="shared" si="8"/>
        <v xml:space="preserve"> </v>
      </c>
      <c r="AW25" s="247" t="str">
        <f t="shared" si="9"/>
        <v xml:space="preserve"> </v>
      </c>
      <c r="AX25" s="82" t="str">
        <f t="shared" si="10"/>
        <v xml:space="preserve"> </v>
      </c>
      <c r="AY25" s="252" t="str">
        <f t="shared" si="11"/>
        <v xml:space="preserve"> </v>
      </c>
      <c r="AZ25" s="247">
        <f t="shared" si="17"/>
        <v>0</v>
      </c>
      <c r="BA25" s="82">
        <f t="shared" si="12"/>
        <v>0</v>
      </c>
      <c r="BB25" s="252">
        <f t="shared" si="13"/>
        <v>0</v>
      </c>
      <c r="BC25" s="255">
        <f t="shared" si="14"/>
        <v>0</v>
      </c>
      <c r="BD25" s="7">
        <f t="shared" si="15"/>
        <v>0</v>
      </c>
      <c r="BE25" s="183">
        <f t="shared" si="16"/>
        <v>35.000000249999999</v>
      </c>
      <c r="BF25" s="82">
        <f>IF(AP25="","",SMALL(BE$9:BE$62,ROWS(AZ$9:AZ25)))</f>
        <v>3.9979004900000001</v>
      </c>
      <c r="BH25" s="82" t="str">
        <f>IF(OR(AP25="",AZ25=""),"",INDEX($AP$9:$AP$63,MATCH(BF25,$BE$9:BE$62,0)))</f>
        <v>C5</v>
      </c>
      <c r="BI25" s="7">
        <f t="shared" si="0"/>
        <v>7</v>
      </c>
      <c r="BJ25" s="7">
        <f t="shared" si="1"/>
        <v>0</v>
      </c>
      <c r="BK25" s="7">
        <f t="shared" si="2"/>
        <v>21</v>
      </c>
      <c r="BL25" s="17">
        <f>IF(BF25="","",IF(AND(BI24=BI25,BJ24=BJ25,BK24=BK25),BL24,$BL$9+16))</f>
        <v>17</v>
      </c>
      <c r="BM25" s="22"/>
      <c r="BN25" s="225"/>
    </row>
    <row r="26" spans="1:66" ht="21.6" thickBot="1" x14ac:dyDescent="0.35">
      <c r="A26" s="111">
        <v>17</v>
      </c>
      <c r="B26" s="330"/>
      <c r="C26" s="235">
        <f>IF($Q$5&gt;=49,17,0)</f>
        <v>0</v>
      </c>
      <c r="D26" s="330"/>
      <c r="E26" s="235">
        <f>IF($Q$5&gt;=50,17,0)</f>
        <v>0</v>
      </c>
      <c r="F26" s="333"/>
      <c r="G26" s="235">
        <f>IF($Q$5&gt;=51,17,0)</f>
        <v>0</v>
      </c>
      <c r="H26" s="114"/>
      <c r="I26" s="168">
        <v>17</v>
      </c>
      <c r="J26" s="173" t="str">
        <f>IF(ISNA(MATCH(I26,$C$10:$C$27,0)),"",INDEX(B$10:$B$27,MATCH(I26,$C$10:$C$27,0)))</f>
        <v/>
      </c>
      <c r="K26" s="169" t="str">
        <f>IF(ISNA(MATCH(I26,$E$10:$E$27,0)),"",INDEX($D$10:D$27,MATCH(I26,$E$10:$E$27,0)))</f>
        <v/>
      </c>
      <c r="L26" s="174" t="str">
        <f>IF(ISNA(MATCH(I26,$G$10:$G$27,0)),"",INDEX($F$10:F$27,MATCH(I26,$G$10:$G$27,0)))</f>
        <v/>
      </c>
      <c r="N26" s="67">
        <v>9</v>
      </c>
      <c r="O26" s="127">
        <f>IF($Q$5=49,J26,IF($Q$5=50,J26,IF($Q$5=51,J26,IF($Q$5=52,J26,IF($Q$5=53,J26,IF($Q$5=54,J26,0))))))</f>
        <v>0</v>
      </c>
      <c r="P26" s="122">
        <f>IF($Q$5=49,L24,IF($Q$5=50,L24,IF($Q$5=51,L25,IF($Q$5=52,K26,IF($Q$5=53,K26,IF($Q$5=54,K26,0))))))</f>
        <v>0</v>
      </c>
      <c r="Q26" s="128">
        <f>IF($Q$5=51,0,IF($Q$5=52,0,IF($Q$5=53,L26,IF($Q$5=54,L26,0))))</f>
        <v>0</v>
      </c>
      <c r="R26" s="140">
        <f>IF($Q$5=43,0,IF($Q$5=44,0,IF($Q$5=45,0,IF($Q$5=46,0,IF($Q$5=47,0,IF($Q$5=48,0,IF($Q$5=49,O10,IF($Q$5=50,O10,IF($Q$5=51,O10,IF($Q$5=52,O27,IF($Q$5=53,O27,IF($Q$5=54,O27,0))))))))))))</f>
        <v>0</v>
      </c>
      <c r="S26" s="132">
        <f>IF($Q$5=43,0,IF($Q$5=44,0,IF($Q$5=45,0,IF($Q$5=46,0,IF($Q$5=47,0,IF($Q$5=48,0,IF($Q$5=49,P26,IF($Q$5=50,Q11,IF($Q$5=51,P27,IF($Q$5=52,P11,IF($Q$5=53,P10,IF($Q$5=54,P10,0))))))))))))</f>
        <v>0</v>
      </c>
      <c r="T26" s="177">
        <f>IF($Q$5=53,Q12,IF($Q$5=54,Q11,0))</f>
        <v>0</v>
      </c>
      <c r="U26" s="180">
        <f>IF($Q$5=43,0,IF($Q$5=44,0,IF($Q$5=45,0,IF($Q$5=46,0,IF($Q$5=47,0,IF($Q$5=48,0,IF($Q$5=49,R10,IF($Q$5=50,R10,IF($Q$5=51,R10,IF($Q$5=52,R27,IF($Q$5=53,R27,IF($Q$5=54,R27,0))))))))))))</f>
        <v>0</v>
      </c>
      <c r="V26" s="138">
        <f>IF($Q$5=43,0,IF($Q$5=44,0,IF($Q$5=45,0,IF($Q$5=46,0,IF($Q$5=47,0,IF($Q$5=48,0,IF($Q$5=49,S27,IF($Q$5=50,T11,IF($Q$5=51,T11,IF($Q$5=52,S11,IF($Q$5=53,S10,IF($Q$5=54,S10,0))))))))))))</f>
        <v>0</v>
      </c>
      <c r="W26" s="145">
        <f>IF($Q$5=43,0,IF($Q$5=44,0,IF($Q$5=45,0,IF($Q$5=46,0,IF($Q$5=47,0,IF($Q$5=48,0,IF($Q$5=49,0,IF($Q$5=50,0,IF($Q$5=51,0,IF($Q$5=52,0,IF($Q$5=53,T12,IF($Q$5=54,T11,0))))))))))))</f>
        <v>0</v>
      </c>
      <c r="X26" s="18"/>
      <c r="Y26" s="20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18"/>
      <c r="AO26" s="44">
        <v>18</v>
      </c>
      <c r="AP26" s="278" t="str">
        <f>+Inscrits!B20</f>
        <v>A18</v>
      </c>
      <c r="AQ26" s="247" t="str">
        <f t="shared" si="3"/>
        <v xml:space="preserve"> </v>
      </c>
      <c r="AR26" s="82" t="str">
        <f t="shared" si="4"/>
        <v xml:space="preserve"> </v>
      </c>
      <c r="AS26" s="184" t="str">
        <f t="shared" si="5"/>
        <v xml:space="preserve"> </v>
      </c>
      <c r="AT26" s="250" t="str">
        <f t="shared" si="6"/>
        <v xml:space="preserve"> </v>
      </c>
      <c r="AU26" s="82" t="str">
        <f t="shared" si="7"/>
        <v xml:space="preserve"> </v>
      </c>
      <c r="AV26" s="252" t="str">
        <f t="shared" si="8"/>
        <v xml:space="preserve"> </v>
      </c>
      <c r="AW26" s="247" t="str">
        <f t="shared" si="9"/>
        <v xml:space="preserve"> </v>
      </c>
      <c r="AX26" s="82" t="str">
        <f t="shared" si="10"/>
        <v xml:space="preserve"> </v>
      </c>
      <c r="AY26" s="252" t="str">
        <f t="shared" si="11"/>
        <v xml:space="preserve"> </v>
      </c>
      <c r="AZ26" s="247">
        <f t="shared" si="17"/>
        <v>0</v>
      </c>
      <c r="BA26" s="82">
        <f t="shared" si="12"/>
        <v>0</v>
      </c>
      <c r="BB26" s="252">
        <f t="shared" si="13"/>
        <v>0</v>
      </c>
      <c r="BC26" s="255">
        <f t="shared" si="14"/>
        <v>0</v>
      </c>
      <c r="BD26" s="7">
        <f t="shared" si="15"/>
        <v>0</v>
      </c>
      <c r="BE26" s="183">
        <f t="shared" si="16"/>
        <v>35.00000026</v>
      </c>
      <c r="BF26" s="82">
        <f>IF(AP26="","",SMALL(BE$9:BE$62,ROWS(AZ$9:AZ26)))</f>
        <v>4.0080001200000002</v>
      </c>
      <c r="BH26" s="82" t="str">
        <f>IF(OR(AP26="",AZ26=""),"",INDEX($AP$9:$AP$63,MATCH(BF26,$BE$9:BE$62,0)))</f>
        <v>A4</v>
      </c>
      <c r="BI26" s="7">
        <f t="shared" si="0"/>
        <v>7</v>
      </c>
      <c r="BJ26" s="7">
        <f t="shared" si="1"/>
        <v>-1</v>
      </c>
      <c r="BK26" s="7">
        <f t="shared" si="2"/>
        <v>20</v>
      </c>
      <c r="BL26" s="17">
        <f>IF(BF26="","",IF(AND(BI25=BI26,BJ25=BJ26,BK25=BK26),BL25,$BL$9+17))</f>
        <v>18</v>
      </c>
      <c r="BM26" s="22"/>
      <c r="BN26" s="225"/>
    </row>
    <row r="27" spans="1:66" ht="21.6" thickBot="1" x14ac:dyDescent="0.35">
      <c r="A27" s="166">
        <v>18</v>
      </c>
      <c r="B27" s="331"/>
      <c r="C27" s="238">
        <f>IF($Q$5&gt;=52,18,0)</f>
        <v>0</v>
      </c>
      <c r="D27" s="331"/>
      <c r="E27" s="238">
        <f>IF($Q$5&gt;=53,18,0)</f>
        <v>0</v>
      </c>
      <c r="F27" s="334"/>
      <c r="G27" s="238">
        <f>IF($Q$5&gt;=54,18,0)</f>
        <v>0</v>
      </c>
      <c r="H27" s="114"/>
      <c r="I27" s="167">
        <v>18</v>
      </c>
      <c r="J27" s="175" t="str">
        <f>IF(ISNA(MATCH(I27,$C$10:$C$27,0)),"",INDEX(B$10:$B$27,MATCH(I27,$C$10:$C$27,0)))</f>
        <v/>
      </c>
      <c r="K27" s="161" t="str">
        <f>IF(ISNA(MATCH(I27,$E$10:$E$27,0)),"",INDEX($D$10:D$27,MATCH(I27,$E$10:$E$27,0)))</f>
        <v/>
      </c>
      <c r="L27" s="162" t="str">
        <f>IF(ISNA(MATCH(I27,$G$10:$G$27,0)),"",INDEX($F$10:F$27,MATCH(I27,$G$10:$G$27,0)))</f>
        <v/>
      </c>
      <c r="N27" s="42" t="s">
        <v>5</v>
      </c>
      <c r="O27" s="121">
        <f>IF($Q$5=49,K25,IF($Q$5=50,K26,IF($Q$5=51,K26,IF($Q$5=52,J27,IF($Q$5=53,J27,IF($Q$5=54,J27,0))))))</f>
        <v>0</v>
      </c>
      <c r="P27" s="126">
        <f>IF($Q$5=49,L23,IF($Q$5=50,L25,IF($Q$5=51,L26,IF($Q$5=52,L26,IF($Q$5=53,K27,IF($Q$5=54,K27,0))))))</f>
        <v>0</v>
      </c>
      <c r="Q27" s="176">
        <f>IF($Q$5=54,L27,0)</f>
        <v>0</v>
      </c>
      <c r="R27" s="178">
        <f>IF($Q$5=43,0,IF($Q$5=44,0,IF($Q$5=45,0,IF($Q$5=46,0,IF($Q$5=47,0,IF($Q$5=48,0,IF($Q$5=49,O27,IF($Q$5=50,O27,IF($Q$5=51,O27,IF($Q$5=52,O10,IF($Q$5=53,O10,IF($Q$5=54,O10,0))))))))))))</f>
        <v>0</v>
      </c>
      <c r="S27" s="126">
        <f>IF($Q$5=43,0,IF($Q$5=44,0,IF($Q$5=45,0,IF($Q$5=46,0,IF($Q$5=47,0,IF($Q$5=48,0,IF($Q$5=49,P25,IF($Q$5=50,Q12,IF($Q$5=51,P26,IF($Q$5=52,P27,IF($Q$5=53,P11,IF($Q$5=54,P11,0))))))))))))</f>
        <v>0</v>
      </c>
      <c r="T27" s="179">
        <f>IF($Q$5=54,Q12,0)</f>
        <v>0</v>
      </c>
      <c r="U27" s="181">
        <f>IF($Q$5=43,0,IF($Q$5=44,0,IF($Q$5=45,0,IF($Q$5=46,0,IF($Q$5=47,0,IF($Q$5=48,0,IF($Q$5=49,R27,IF($Q$5=50,R27,IF($Q$5=51,R27,IF($Q$5=52,R10,IF($Q$5=53,R10,IF($Q$5=54,R10,0))))))))))))</f>
        <v>0</v>
      </c>
      <c r="V27" s="148">
        <f>IF($Q$5=43,0,IF($Q$5=44,0,IF($Q$5=45,0,IF($Q$5=46,0,IF($Q$5=47,0,IF($Q$5=48,0,IF($Q$5=49,S26,IF($Q$5=50,T12,IF($Q$5=51,T12,IF($Q$5=52,T12,IF($Q$5=53,S11,IF($Q$5=54,S11,0))))))))))))</f>
        <v>0</v>
      </c>
      <c r="W27" s="149">
        <f>IF($Q$5=43,0,IF($Q$5=44,0,IF($Q$5=45,0,IF($Q$5=46,0,IF($Q$5=47,0,IF($Q$5=48,0,IF($Q$5=49,0,IF($Q$5=50,0,IF($Q$5=51,0,IF($Q$5=52,0,IF($Q$5=53,0,IF($Q$5=54,T12,0))))))))))))</f>
        <v>0</v>
      </c>
      <c r="X27" s="18"/>
      <c r="Y27" s="382">
        <v>3</v>
      </c>
      <c r="Z27" s="9" t="str">
        <f>+O14</f>
        <v>A5</v>
      </c>
      <c r="AA27" s="25">
        <v>2</v>
      </c>
      <c r="AB27" s="38">
        <f>IF(AA27+AA31=0,0,IF(AA27=AA31,2,IF(AA27&gt;AA31,3,1)))</f>
        <v>3</v>
      </c>
      <c r="AC27" s="10">
        <f>AA27-AA31</f>
        <v>2</v>
      </c>
      <c r="AD27" s="6"/>
      <c r="AE27" s="9" t="str">
        <f>+R14</f>
        <v>A6</v>
      </c>
      <c r="AF27" s="107">
        <v>5</v>
      </c>
      <c r="AG27" s="38">
        <f>IF(AF27+AF31=0,0,IF(AF27=AF31,2,IF(AF27&gt;AF31,3,1)))</f>
        <v>3</v>
      </c>
      <c r="AH27" s="10">
        <f>AF27-AF31</f>
        <v>5</v>
      </c>
      <c r="AI27" s="6"/>
      <c r="AJ27" s="9" t="str">
        <f>+U14</f>
        <v>A6</v>
      </c>
      <c r="AK27" s="28">
        <v>5</v>
      </c>
      <c r="AL27" s="38">
        <f>IF(AK27+AK31=0,0,IF(AK27=AK31,2,IF(AK27&gt;AK31,3,1)))</f>
        <v>3</v>
      </c>
      <c r="AM27" s="10">
        <f>AK27-AK31</f>
        <v>5</v>
      </c>
      <c r="AN27" s="18"/>
      <c r="AO27" s="44">
        <v>19</v>
      </c>
      <c r="AP27" s="279" t="str">
        <f>+Inscrits!D3</f>
        <v>B1</v>
      </c>
      <c r="AQ27" s="247">
        <f t="shared" si="3"/>
        <v>2</v>
      </c>
      <c r="AR27" s="82" t="str">
        <f t="shared" si="4"/>
        <v>0</v>
      </c>
      <c r="AS27" s="184">
        <f t="shared" si="5"/>
        <v>6</v>
      </c>
      <c r="AT27" s="250">
        <f t="shared" si="6"/>
        <v>3</v>
      </c>
      <c r="AU27" s="82">
        <f t="shared" si="7"/>
        <v>1</v>
      </c>
      <c r="AV27" s="252">
        <f t="shared" si="8"/>
        <v>1</v>
      </c>
      <c r="AW27" s="247">
        <f t="shared" si="9"/>
        <v>3</v>
      </c>
      <c r="AX27" s="82">
        <f t="shared" si="10"/>
        <v>1</v>
      </c>
      <c r="AY27" s="252">
        <f t="shared" si="11"/>
        <v>1</v>
      </c>
      <c r="AZ27" s="247">
        <f t="shared" si="17"/>
        <v>8</v>
      </c>
      <c r="BA27" s="82">
        <f t="shared" si="12"/>
        <v>2</v>
      </c>
      <c r="BB27" s="252">
        <f t="shared" si="13"/>
        <v>8</v>
      </c>
      <c r="BC27" s="255">
        <f t="shared" si="14"/>
        <v>0</v>
      </c>
      <c r="BD27" s="7">
        <f t="shared" si="15"/>
        <v>2</v>
      </c>
      <c r="BE27" s="183">
        <f t="shared" si="16"/>
        <v>1.97920027</v>
      </c>
      <c r="BF27" s="82">
        <f>IF(AP27="","",SMALL(BE$9:BE$62,ROWS(AZ$9:AZ27)))</f>
        <v>4.0298001499999998</v>
      </c>
      <c r="BH27" s="82" t="str">
        <f>IF(OR(AP27="",AZ27=""),"",INDEX($AP$9:$AP$63,MATCH(BF27,$BE$9:BE$62,0)))</f>
        <v>A7</v>
      </c>
      <c r="BI27" s="7">
        <f t="shared" si="0"/>
        <v>7</v>
      </c>
      <c r="BJ27" s="7">
        <f t="shared" si="1"/>
        <v>-3</v>
      </c>
      <c r="BK27" s="7">
        <f t="shared" si="2"/>
        <v>2</v>
      </c>
      <c r="BL27" s="17">
        <f>IF(BF27="","",IF(AND(BI26=BI27,BJ26=BJ27,BK26=BK27),BL26,$BL$9+18))</f>
        <v>19</v>
      </c>
      <c r="BM27" s="22"/>
      <c r="BN27" s="225"/>
    </row>
    <row r="28" spans="1:66" ht="16.2" thickBot="1" x14ac:dyDescent="0.3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0"/>
      <c r="P28" s="18"/>
      <c r="Q28" s="18"/>
      <c r="R28" s="18"/>
      <c r="S28" s="18"/>
      <c r="T28" s="18"/>
      <c r="U28" s="22"/>
      <c r="V28" s="18"/>
      <c r="W28" s="18"/>
      <c r="X28" s="18"/>
      <c r="Y28" s="383"/>
      <c r="Z28" s="11" t="str">
        <f>+P14</f>
        <v>B5</v>
      </c>
      <c r="AA28" s="14">
        <f>IF(ISTEXT(Z28),AA27,0)</f>
        <v>2</v>
      </c>
      <c r="AB28" s="14">
        <f>IF(ISTEXT(Z28),AB27,0)</f>
        <v>3</v>
      </c>
      <c r="AC28" s="15">
        <f>IF(ISTEXT(Z28),AC27,0)</f>
        <v>2</v>
      </c>
      <c r="AD28" s="6"/>
      <c r="AE28" s="11" t="str">
        <f>+S14</f>
        <v>B8</v>
      </c>
      <c r="AF28" s="14">
        <f>IF(ISTEXT(AE28),AF27,0)</f>
        <v>5</v>
      </c>
      <c r="AG28" s="48">
        <f>IF(ISTEXT(AE28),AG27,0)</f>
        <v>3</v>
      </c>
      <c r="AH28" s="15">
        <f>IF(ISTEXT(AE28),AH27,0)</f>
        <v>5</v>
      </c>
      <c r="AI28" s="6"/>
      <c r="AJ28" s="11" t="str">
        <f>+V14</f>
        <v>B9</v>
      </c>
      <c r="AK28" s="14">
        <f>IF(ISTEXT(AJ28),AK27,0)</f>
        <v>5</v>
      </c>
      <c r="AL28" s="48">
        <f>IF(ISTEXT(AJ28),AL27,0)</f>
        <v>3</v>
      </c>
      <c r="AM28" s="15">
        <f>IF(ISTEXT(AJ28),AM27,0)</f>
        <v>5</v>
      </c>
      <c r="AN28" s="18"/>
      <c r="AO28" s="44">
        <v>20</v>
      </c>
      <c r="AP28" s="279" t="str">
        <f>+Inscrits!D4</f>
        <v>B2</v>
      </c>
      <c r="AQ28" s="247">
        <f t="shared" si="3"/>
        <v>2</v>
      </c>
      <c r="AR28" s="82" t="str">
        <f t="shared" si="4"/>
        <v>0</v>
      </c>
      <c r="AS28" s="184">
        <f t="shared" si="5"/>
        <v>6</v>
      </c>
      <c r="AT28" s="250">
        <f t="shared" si="6"/>
        <v>1</v>
      </c>
      <c r="AU28" s="82">
        <f t="shared" si="7"/>
        <v>-7</v>
      </c>
      <c r="AV28" s="252">
        <f t="shared" si="8"/>
        <v>5</v>
      </c>
      <c r="AW28" s="247">
        <f t="shared" si="9"/>
        <v>1</v>
      </c>
      <c r="AX28" s="82">
        <f t="shared" si="10"/>
        <v>-1</v>
      </c>
      <c r="AY28" s="252" t="str">
        <f t="shared" si="11"/>
        <v>0</v>
      </c>
      <c r="AZ28" s="247">
        <f t="shared" si="17"/>
        <v>4</v>
      </c>
      <c r="BA28" s="82">
        <f t="shared" si="12"/>
        <v>-8</v>
      </c>
      <c r="BB28" s="252">
        <f t="shared" si="13"/>
        <v>11</v>
      </c>
      <c r="BC28" s="255">
        <f t="shared" si="14"/>
        <v>-8</v>
      </c>
      <c r="BD28" s="7">
        <f t="shared" si="15"/>
        <v>0</v>
      </c>
      <c r="BE28" s="183">
        <f t="shared" si="16"/>
        <v>29.078900279999996</v>
      </c>
      <c r="BF28" s="82">
        <f>IF(AP28="","",SMALL(BE$9:BE$62,ROWS(AZ$9:AZ28)))</f>
        <v>19.958000460000001</v>
      </c>
      <c r="BH28" s="82" t="str">
        <f>IF(OR(AP28="",AZ28=""),"",INDEX($AP$9:$AP$63,MATCH(BF28,$BE$9:BE$62,0)))</f>
        <v>C2</v>
      </c>
      <c r="BI28" s="7">
        <f t="shared" si="0"/>
        <v>6</v>
      </c>
      <c r="BJ28" s="7">
        <f t="shared" si="1"/>
        <v>4</v>
      </c>
      <c r="BK28" s="7">
        <f t="shared" si="2"/>
        <v>20</v>
      </c>
      <c r="BL28" s="17">
        <f>IF(BF28="","",IF(AND(BI27=BI28,BJ27=BJ28,BK27=BK28),BL27,$BL$9+19))</f>
        <v>20</v>
      </c>
      <c r="BM28" s="22"/>
      <c r="BN28" s="225"/>
    </row>
    <row r="29" spans="1:66" ht="15.6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P29" s="18"/>
      <c r="Q29" s="18"/>
      <c r="R29" s="18"/>
      <c r="S29" s="18"/>
      <c r="T29" s="18"/>
      <c r="U29" s="22"/>
      <c r="V29" s="18"/>
      <c r="W29" s="18"/>
      <c r="X29" s="18"/>
      <c r="Y29" s="383"/>
      <c r="Z29" s="11" t="str">
        <f>+Q14</f>
        <v>C5</v>
      </c>
      <c r="AA29" s="55">
        <f>IF(ISTEXT(Z29),AA27,0)</f>
        <v>2</v>
      </c>
      <c r="AB29" s="55">
        <f>IF(ISTEXT(Z29),AB27,0)</f>
        <v>3</v>
      </c>
      <c r="AC29" s="56">
        <f>IF(ISTEXT(Z29),AC27,0)</f>
        <v>2</v>
      </c>
      <c r="AD29" s="6"/>
      <c r="AE29" s="11" t="str">
        <f>+T14</f>
        <v>C7</v>
      </c>
      <c r="AF29" s="55">
        <f>IF(ISTEXT(AE29),AF27,0)</f>
        <v>5</v>
      </c>
      <c r="AG29" s="52">
        <f>IF(ISTEXT(AE29),AG27,0)</f>
        <v>3</v>
      </c>
      <c r="AH29" s="56">
        <f>IF(ISTEXT(AE29),AH27,0)</f>
        <v>5</v>
      </c>
      <c r="AI29" s="6"/>
      <c r="AJ29" s="11" t="str">
        <f>+W14</f>
        <v>C11</v>
      </c>
      <c r="AK29" s="55">
        <f>IF(ISTEXT(AJ29),AK27,0)</f>
        <v>5</v>
      </c>
      <c r="AL29" s="52">
        <f>IF(ISTEXT(AJ29),AL27,0)</f>
        <v>3</v>
      </c>
      <c r="AM29" s="56">
        <f>IF(ISTEXT(AJ29),AM27,0)</f>
        <v>5</v>
      </c>
      <c r="AN29" s="18"/>
      <c r="AO29" s="44">
        <v>21</v>
      </c>
      <c r="AP29" s="279" t="str">
        <f>+Inscrits!D5</f>
        <v>B3</v>
      </c>
      <c r="AQ29" s="247">
        <f t="shared" si="3"/>
        <v>1</v>
      </c>
      <c r="AR29" s="82">
        <f t="shared" si="4"/>
        <v>-5</v>
      </c>
      <c r="AS29" s="184">
        <f t="shared" si="5"/>
        <v>5</v>
      </c>
      <c r="AT29" s="250">
        <f t="shared" si="6"/>
        <v>3</v>
      </c>
      <c r="AU29" s="82">
        <f t="shared" si="7"/>
        <v>7</v>
      </c>
      <c r="AV29" s="252">
        <f t="shared" si="8"/>
        <v>12</v>
      </c>
      <c r="AW29" s="247">
        <f t="shared" si="9"/>
        <v>3</v>
      </c>
      <c r="AX29" s="82">
        <f t="shared" si="10"/>
        <v>1</v>
      </c>
      <c r="AY29" s="252">
        <f t="shared" si="11"/>
        <v>1</v>
      </c>
      <c r="AZ29" s="247">
        <f t="shared" si="17"/>
        <v>7</v>
      </c>
      <c r="BA29" s="82">
        <f t="shared" si="12"/>
        <v>3</v>
      </c>
      <c r="BB29" s="252">
        <f t="shared" si="13"/>
        <v>18</v>
      </c>
      <c r="BC29" s="255">
        <f t="shared" si="14"/>
        <v>0</v>
      </c>
      <c r="BD29" s="7">
        <f t="shared" si="15"/>
        <v>3</v>
      </c>
      <c r="BE29" s="183">
        <f t="shared" si="16"/>
        <v>3.9682002900000004</v>
      </c>
      <c r="BF29" s="82">
        <f>IF(AP29="","",SMALL(BE$9:BE$62,ROWS(AZ$9:AZ29)))</f>
        <v>21.008100300000002</v>
      </c>
      <c r="BH29" s="82" t="str">
        <f>IF(OR(AP29="",AZ29=""),"",INDEX($AP$9:$AP$63,MATCH(BF29,$BE$9:BE$62,0)))</f>
        <v>B4</v>
      </c>
      <c r="BI29" s="7">
        <f t="shared" si="0"/>
        <v>5</v>
      </c>
      <c r="BJ29" s="7">
        <f t="shared" si="1"/>
        <v>-1</v>
      </c>
      <c r="BK29" s="7">
        <f t="shared" si="2"/>
        <v>19</v>
      </c>
      <c r="BL29" s="17">
        <f>IF(BF29="","",IF(AND(BI28=BI29,BJ28=BJ29,BK28=BK29),BL28,$BL$9+20))</f>
        <v>21</v>
      </c>
      <c r="BM29" s="22"/>
      <c r="BN29" s="225"/>
    </row>
    <row r="30" spans="1:66" ht="15.6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P30" s="18"/>
      <c r="Q30" s="18"/>
      <c r="R30" s="18"/>
      <c r="S30" s="18"/>
      <c r="T30" s="18"/>
      <c r="U30" s="22"/>
      <c r="V30" s="18"/>
      <c r="W30" s="18"/>
      <c r="X30" s="18"/>
      <c r="Y30" s="383"/>
      <c r="Z30" s="24"/>
      <c r="AA30" s="16" t="s">
        <v>5</v>
      </c>
      <c r="AB30" s="16"/>
      <c r="AC30" s="17"/>
      <c r="AD30" s="1"/>
      <c r="AE30" s="24"/>
      <c r="AF30" s="16" t="s">
        <v>5</v>
      </c>
      <c r="AG30" s="16"/>
      <c r="AH30" s="17"/>
      <c r="AI30" s="1"/>
      <c r="AJ30" s="24"/>
      <c r="AK30" s="16" t="s">
        <v>5</v>
      </c>
      <c r="AL30" s="16"/>
      <c r="AM30" s="17"/>
      <c r="AN30" s="18"/>
      <c r="AO30" s="44">
        <v>22</v>
      </c>
      <c r="AP30" s="279" t="str">
        <f>+Inscrits!D6</f>
        <v>B4</v>
      </c>
      <c r="AQ30" s="247">
        <f t="shared" si="3"/>
        <v>3</v>
      </c>
      <c r="AR30" s="82">
        <f t="shared" si="4"/>
        <v>5</v>
      </c>
      <c r="AS30" s="184">
        <f t="shared" si="5"/>
        <v>10</v>
      </c>
      <c r="AT30" s="250">
        <f t="shared" si="6"/>
        <v>1</v>
      </c>
      <c r="AU30" s="82">
        <f t="shared" si="7"/>
        <v>-5</v>
      </c>
      <c r="AV30" s="252">
        <f t="shared" si="8"/>
        <v>5</v>
      </c>
      <c r="AW30" s="247">
        <f t="shared" si="9"/>
        <v>1</v>
      </c>
      <c r="AX30" s="82">
        <f t="shared" si="10"/>
        <v>-1</v>
      </c>
      <c r="AY30" s="252">
        <f t="shared" si="11"/>
        <v>4</v>
      </c>
      <c r="AZ30" s="247">
        <f t="shared" si="17"/>
        <v>5</v>
      </c>
      <c r="BA30" s="82">
        <f t="shared" si="12"/>
        <v>-1</v>
      </c>
      <c r="BB30" s="252">
        <f t="shared" si="13"/>
        <v>19</v>
      </c>
      <c r="BC30" s="255">
        <f t="shared" si="14"/>
        <v>-1</v>
      </c>
      <c r="BD30" s="7">
        <f t="shared" si="15"/>
        <v>0</v>
      </c>
      <c r="BE30" s="183">
        <f t="shared" si="16"/>
        <v>21.008100300000002</v>
      </c>
      <c r="BF30" s="82">
        <f>IF(AP30="","",SMALL(BE$9:BE$62,ROWS(AZ$9:AZ30)))</f>
        <v>21.009900170000002</v>
      </c>
      <c r="BH30" s="82" t="str">
        <f>IF(OR(AP30="",AZ30=""),"",INDEX($AP$9:$AP$63,MATCH(BF30,$BE$9:BE$62,0)))</f>
        <v>A9</v>
      </c>
      <c r="BI30" s="7">
        <f t="shared" si="0"/>
        <v>5</v>
      </c>
      <c r="BJ30" s="7">
        <f t="shared" si="1"/>
        <v>-1</v>
      </c>
      <c r="BK30" s="7">
        <f t="shared" si="2"/>
        <v>1</v>
      </c>
      <c r="BL30" s="17">
        <f>IF(BF30="","",IF(AND(BI29=BI30,BJ29=BJ30,BK29=BK30),BL29,$BL$9+21))</f>
        <v>22</v>
      </c>
      <c r="BM30" s="22"/>
      <c r="BN30" s="225"/>
    </row>
    <row r="31" spans="1:66" ht="15.6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P31" s="18"/>
      <c r="Q31" s="18"/>
      <c r="R31" s="18"/>
      <c r="S31" s="18"/>
      <c r="T31" s="18"/>
      <c r="U31" s="18"/>
      <c r="V31" s="18"/>
      <c r="W31" s="18"/>
      <c r="X31" s="18"/>
      <c r="Y31" s="383"/>
      <c r="Z31" s="11" t="str">
        <f>+O15</f>
        <v>A6</v>
      </c>
      <c r="AA31" s="27">
        <v>0</v>
      </c>
      <c r="AB31" s="23">
        <f>IF(AA27+AA31=0,0,IF(AA27=AA31,2,IF(AA27&lt;AA31,3,1)))</f>
        <v>1</v>
      </c>
      <c r="AC31" s="12">
        <f>AA31-AA27</f>
        <v>-2</v>
      </c>
      <c r="AD31" s="6"/>
      <c r="AE31" s="11" t="str">
        <f>+R15</f>
        <v>A7</v>
      </c>
      <c r="AF31" s="108">
        <v>0</v>
      </c>
      <c r="AG31" s="23">
        <f>IF(AF27+AF31=0,0,IF(AF27=AF31,2,IF(AF27&lt;AF31,3,1)))</f>
        <v>1</v>
      </c>
      <c r="AH31" s="12">
        <f>AF31-AF27</f>
        <v>-5</v>
      </c>
      <c r="AI31" s="6"/>
      <c r="AJ31" s="11" t="str">
        <f>+U15</f>
        <v>A8</v>
      </c>
      <c r="AK31" s="29">
        <v>0</v>
      </c>
      <c r="AL31" s="23">
        <f>IF(AK27+AK31=0,0,IF(AK27=AK31,2,IF(AK27&lt;AK31,3,1)))</f>
        <v>1</v>
      </c>
      <c r="AM31" s="12">
        <f>AK31-AK27</f>
        <v>-5</v>
      </c>
      <c r="AN31" s="18"/>
      <c r="AO31" s="44">
        <v>23</v>
      </c>
      <c r="AP31" s="279" t="str">
        <f>+Inscrits!D7</f>
        <v>B5</v>
      </c>
      <c r="AQ31" s="247">
        <f t="shared" si="3"/>
        <v>3</v>
      </c>
      <c r="AR31" s="82">
        <f t="shared" si="4"/>
        <v>2</v>
      </c>
      <c r="AS31" s="184">
        <f t="shared" si="5"/>
        <v>2</v>
      </c>
      <c r="AT31" s="250">
        <f t="shared" si="6"/>
        <v>3</v>
      </c>
      <c r="AU31" s="82">
        <f t="shared" si="7"/>
        <v>5</v>
      </c>
      <c r="AV31" s="252">
        <f t="shared" si="8"/>
        <v>10</v>
      </c>
      <c r="AW31" s="247">
        <f t="shared" si="9"/>
        <v>3</v>
      </c>
      <c r="AX31" s="82">
        <f t="shared" si="10"/>
        <v>1</v>
      </c>
      <c r="AY31" s="252">
        <f t="shared" si="11"/>
        <v>5</v>
      </c>
      <c r="AZ31" s="247">
        <f t="shared" si="17"/>
        <v>9</v>
      </c>
      <c r="BA31" s="82">
        <f t="shared" si="12"/>
        <v>8</v>
      </c>
      <c r="BB31" s="252">
        <f t="shared" si="13"/>
        <v>17</v>
      </c>
      <c r="BC31" s="255">
        <f t="shared" si="14"/>
        <v>0</v>
      </c>
      <c r="BD31" s="7">
        <f t="shared" si="15"/>
        <v>8</v>
      </c>
      <c r="BE31" s="183">
        <f t="shared" si="16"/>
        <v>0.91830031000000001</v>
      </c>
      <c r="BF31" s="82">
        <f>IF(AP31="","",SMALL(BE$9:BE$62,ROWS(AZ$9:AZ31)))</f>
        <v>21.009900200000001</v>
      </c>
      <c r="BH31" s="82" t="str">
        <f>IF(OR(AP31="",AZ31=""),"",INDEX($AP$9:$AP$63,MATCH(BF31,$BE$9:BE$62,0)))</f>
        <v>A12</v>
      </c>
      <c r="BI31" s="7">
        <f t="shared" si="0"/>
        <v>5</v>
      </c>
      <c r="BJ31" s="7">
        <f t="shared" si="1"/>
        <v>-1</v>
      </c>
      <c r="BK31" s="7">
        <f t="shared" si="2"/>
        <v>1</v>
      </c>
      <c r="BL31" s="17">
        <f>IF(BF31="","",IF(AND(BI30=BI31,BJ30=BJ31,BK30=BK31),BL30,$BL$9+22))</f>
        <v>22</v>
      </c>
      <c r="BM31" s="22"/>
      <c r="BN31" s="225"/>
    </row>
    <row r="32" spans="1:66" ht="16.2" thickBot="1" x14ac:dyDescent="0.3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P32" s="18"/>
      <c r="Q32" s="18"/>
      <c r="R32" s="18"/>
      <c r="S32" s="18"/>
      <c r="T32" s="18"/>
      <c r="U32" s="18"/>
      <c r="V32" s="18"/>
      <c r="W32" s="18"/>
      <c r="X32" s="18"/>
      <c r="Y32" s="383"/>
      <c r="Z32" s="11" t="str">
        <f>+P15</f>
        <v>B6</v>
      </c>
      <c r="AA32" s="14">
        <f>IF(ISTEXT(Z32),AA31,0)</f>
        <v>0</v>
      </c>
      <c r="AB32" s="14">
        <f>IF(ISTEXT(Z32),AB31,0)</f>
        <v>1</v>
      </c>
      <c r="AC32" s="15">
        <f>IF(ISTEXT(Z32),AC31,0)</f>
        <v>-2</v>
      </c>
      <c r="AD32" s="6"/>
      <c r="AE32" s="11" t="str">
        <f>+S15</f>
        <v>B9</v>
      </c>
      <c r="AF32" s="14">
        <f>IF(ISTEXT(AE32),AF31,0)</f>
        <v>0</v>
      </c>
      <c r="AG32" s="14">
        <f>IF(ISTEXT(AE32),AG31,0)</f>
        <v>1</v>
      </c>
      <c r="AH32" s="15">
        <f>IF(ISTEXT(AE32),AH31,0)</f>
        <v>-5</v>
      </c>
      <c r="AI32" s="6"/>
      <c r="AJ32" s="11" t="str">
        <f>+V15</f>
        <v>B10</v>
      </c>
      <c r="AK32" s="14">
        <f>IF(ISTEXT(AJ32),AK31,0)</f>
        <v>0</v>
      </c>
      <c r="AL32" s="14">
        <f>IF(ISTEXT(AJ32),AL31,0)</f>
        <v>1</v>
      </c>
      <c r="AM32" s="15">
        <f>IF(ISTEXT(AJ32),AM31,0)</f>
        <v>-5</v>
      </c>
      <c r="AN32" s="18"/>
      <c r="AO32" s="44">
        <v>24</v>
      </c>
      <c r="AP32" s="279" t="str">
        <f>+Inscrits!D8</f>
        <v>B6</v>
      </c>
      <c r="AQ32" s="247">
        <f t="shared" si="3"/>
        <v>1</v>
      </c>
      <c r="AR32" s="82">
        <f t="shared" si="4"/>
        <v>-2</v>
      </c>
      <c r="AS32" s="184" t="str">
        <f t="shared" si="5"/>
        <v>0</v>
      </c>
      <c r="AT32" s="250">
        <f t="shared" si="6"/>
        <v>3</v>
      </c>
      <c r="AU32" s="82">
        <f t="shared" si="7"/>
        <v>1</v>
      </c>
      <c r="AV32" s="252">
        <f t="shared" si="8"/>
        <v>1</v>
      </c>
      <c r="AW32" s="247">
        <f t="shared" si="9"/>
        <v>3</v>
      </c>
      <c r="AX32" s="82">
        <f t="shared" si="10"/>
        <v>5</v>
      </c>
      <c r="AY32" s="252">
        <f t="shared" si="11"/>
        <v>14</v>
      </c>
      <c r="AZ32" s="247">
        <f t="shared" si="17"/>
        <v>7</v>
      </c>
      <c r="BA32" s="82">
        <f t="shared" si="12"/>
        <v>4</v>
      </c>
      <c r="BB32" s="252">
        <f t="shared" si="13"/>
        <v>15</v>
      </c>
      <c r="BC32" s="255">
        <f t="shared" si="14"/>
        <v>0</v>
      </c>
      <c r="BD32" s="7">
        <f t="shared" si="15"/>
        <v>4</v>
      </c>
      <c r="BE32" s="183">
        <f t="shared" si="16"/>
        <v>3.9585003199999997</v>
      </c>
      <c r="BF32" s="82">
        <f>IF(AP32="","",SMALL(BE$9:BE$62,ROWS(AZ$9:AZ32)))</f>
        <v>21.009900530000003</v>
      </c>
      <c r="BH32" s="82" t="str">
        <f>IF(OR(AP32="",AZ32=""),"",INDEX($AP$9:$AP$63,MATCH(BF32,$BE$9:BE$62,0)))</f>
        <v>C9</v>
      </c>
      <c r="BI32" s="7">
        <f t="shared" si="0"/>
        <v>5</v>
      </c>
      <c r="BJ32" s="7">
        <f t="shared" si="1"/>
        <v>-1</v>
      </c>
      <c r="BK32" s="7">
        <f t="shared" si="2"/>
        <v>1</v>
      </c>
      <c r="BL32" s="17">
        <f>IF(BF32="","",IF(AND(BI31=BI32,BJ31=BJ32,BK31=BK32),BL31,$BL$9+23))</f>
        <v>22</v>
      </c>
      <c r="BM32" s="22"/>
      <c r="BN32" s="225"/>
    </row>
    <row r="33" spans="1:66" ht="16.2" thickBot="1" x14ac:dyDescent="0.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P33" s="18"/>
      <c r="Q33" s="18"/>
      <c r="R33" s="18"/>
      <c r="S33" s="18"/>
      <c r="T33" s="18"/>
      <c r="U33" s="18"/>
      <c r="V33" s="18"/>
      <c r="W33" s="18"/>
      <c r="X33" s="18"/>
      <c r="Y33" s="384"/>
      <c r="Z33" s="13" t="str">
        <f>+Q15</f>
        <v>C6</v>
      </c>
      <c r="AA33" s="14">
        <f>IF(ISTEXT(Z33),AA31,0)</f>
        <v>0</v>
      </c>
      <c r="AB33" s="14">
        <f>IF(ISTEXT(Z33),AB31,0)</f>
        <v>1</v>
      </c>
      <c r="AC33" s="15">
        <f>IF(ISTEXT(Z33),AC31,0)</f>
        <v>-2</v>
      </c>
      <c r="AD33" s="6"/>
      <c r="AE33" s="13" t="str">
        <f>+T15</f>
        <v>C6</v>
      </c>
      <c r="AF33" s="14">
        <f>IF(ISTEXT(AE33),AF31,0)</f>
        <v>0</v>
      </c>
      <c r="AG33" s="14">
        <f>IF(ISTEXT(AE33),AG31,0)</f>
        <v>1</v>
      </c>
      <c r="AH33" s="15">
        <f>IF(ISTEXT(AE33),AH31,0)</f>
        <v>-5</v>
      </c>
      <c r="AI33" s="6"/>
      <c r="AJ33" s="13" t="str">
        <f>+W15</f>
        <v>C4</v>
      </c>
      <c r="AK33" s="14">
        <f>IF(ISTEXT(AJ33),AK31,0)</f>
        <v>0</v>
      </c>
      <c r="AL33" s="14">
        <f>IF(ISTEXT(AJ33),AL31,0)</f>
        <v>1</v>
      </c>
      <c r="AM33" s="15">
        <f>IF(ISTEXT(AJ33),AM31,0)</f>
        <v>-5</v>
      </c>
      <c r="AN33" s="18"/>
      <c r="AO33" s="44">
        <v>25</v>
      </c>
      <c r="AP33" s="279" t="str">
        <f>+Inscrits!D9</f>
        <v>B7</v>
      </c>
      <c r="AQ33" s="247">
        <f t="shared" si="3"/>
        <v>3</v>
      </c>
      <c r="AR33" s="82">
        <f t="shared" si="4"/>
        <v>1</v>
      </c>
      <c r="AS33" s="184">
        <f t="shared" si="5"/>
        <v>1</v>
      </c>
      <c r="AT33" s="250">
        <f t="shared" si="6"/>
        <v>1</v>
      </c>
      <c r="AU33" s="82">
        <f t="shared" si="7"/>
        <v>-1</v>
      </c>
      <c r="AV33" s="252" t="str">
        <f t="shared" si="8"/>
        <v>0</v>
      </c>
      <c r="AW33" s="247">
        <f t="shared" si="9"/>
        <v>1</v>
      </c>
      <c r="AX33" s="82">
        <f t="shared" si="10"/>
        <v>-5</v>
      </c>
      <c r="AY33" s="252">
        <f t="shared" si="11"/>
        <v>9</v>
      </c>
      <c r="AZ33" s="247">
        <f t="shared" si="17"/>
        <v>5</v>
      </c>
      <c r="BA33" s="82">
        <f t="shared" si="12"/>
        <v>-5</v>
      </c>
      <c r="BB33" s="252">
        <f t="shared" si="13"/>
        <v>10</v>
      </c>
      <c r="BC33" s="255">
        <f t="shared" si="14"/>
        <v>-5</v>
      </c>
      <c r="BD33" s="7">
        <f t="shared" si="15"/>
        <v>0</v>
      </c>
      <c r="BE33" s="183">
        <f t="shared" si="16"/>
        <v>21.049000329999998</v>
      </c>
      <c r="BF33" s="82">
        <f>IF(AP33="","",SMALL(BE$9:BE$62,ROWS(AZ$9:AZ33)))</f>
        <v>21.049000329999998</v>
      </c>
      <c r="BH33" s="82" t="str">
        <f>IF(OR(AP33="",AZ33=""),"",INDEX($AP$9:$AP$63,MATCH(BF33,$BE$9:BE$62,0)))</f>
        <v>B7</v>
      </c>
      <c r="BI33" s="7">
        <f t="shared" si="0"/>
        <v>5</v>
      </c>
      <c r="BJ33" s="7">
        <f t="shared" si="1"/>
        <v>-5</v>
      </c>
      <c r="BK33" s="7">
        <f t="shared" si="2"/>
        <v>10</v>
      </c>
      <c r="BL33" s="17">
        <f>IF(BF33="","",IF(AND(BI32=BI33,BJ32=BJ33,BK32=BK33),BL32,$BL$9+24))</f>
        <v>25</v>
      </c>
      <c r="BM33" s="22"/>
      <c r="BN33" s="225"/>
    </row>
    <row r="34" spans="1:66" ht="16.2" thickBot="1" x14ac:dyDescent="0.3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P34" s="18"/>
      <c r="Q34" s="18"/>
      <c r="R34" s="18"/>
      <c r="S34" s="18"/>
      <c r="T34" s="18"/>
      <c r="U34" s="18"/>
      <c r="V34" s="18"/>
      <c r="W34" s="18"/>
      <c r="X34" s="18"/>
      <c r="Y34" s="20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18"/>
      <c r="AO34" s="44">
        <v>26</v>
      </c>
      <c r="AP34" s="279" t="str">
        <f>+Inscrits!D10</f>
        <v>B8</v>
      </c>
      <c r="AQ34" s="247">
        <f t="shared" si="3"/>
        <v>1</v>
      </c>
      <c r="AR34" s="82">
        <f t="shared" si="4"/>
        <v>-1</v>
      </c>
      <c r="AS34" s="184" t="str">
        <f t="shared" si="5"/>
        <v>0</v>
      </c>
      <c r="AT34" s="250">
        <f t="shared" si="6"/>
        <v>3</v>
      </c>
      <c r="AU34" s="82">
        <f t="shared" si="7"/>
        <v>5</v>
      </c>
      <c r="AV34" s="252">
        <f t="shared" si="8"/>
        <v>5</v>
      </c>
      <c r="AW34" s="247">
        <f t="shared" si="9"/>
        <v>3</v>
      </c>
      <c r="AX34" s="82">
        <f t="shared" si="10"/>
        <v>1</v>
      </c>
      <c r="AY34" s="252">
        <f t="shared" si="11"/>
        <v>1</v>
      </c>
      <c r="AZ34" s="247">
        <f t="shared" si="17"/>
        <v>7</v>
      </c>
      <c r="BA34" s="82">
        <f t="shared" si="12"/>
        <v>5</v>
      </c>
      <c r="BB34" s="252">
        <f t="shared" si="13"/>
        <v>6</v>
      </c>
      <c r="BC34" s="255">
        <f t="shared" si="14"/>
        <v>0</v>
      </c>
      <c r="BD34" s="7">
        <f t="shared" si="15"/>
        <v>5</v>
      </c>
      <c r="BE34" s="183">
        <f t="shared" si="16"/>
        <v>3.9494003400000004</v>
      </c>
      <c r="BF34" s="82">
        <f>IF(AP34="","",SMALL(BE$9:BE$62,ROWS(AZ$9:AZ34)))</f>
        <v>21.04990016</v>
      </c>
      <c r="BH34" s="82" t="str">
        <f>IF(OR(AP34="",AZ34=""),"",INDEX($AP$9:$AP$63,MATCH(BF34,$BE$9:BE$62,0)))</f>
        <v>A8</v>
      </c>
      <c r="BI34" s="7">
        <f t="shared" si="0"/>
        <v>5</v>
      </c>
      <c r="BJ34" s="7">
        <f t="shared" si="1"/>
        <v>-5</v>
      </c>
      <c r="BK34" s="7">
        <f t="shared" si="2"/>
        <v>1</v>
      </c>
      <c r="BL34" s="17">
        <f>IF(BF34="","",IF(AND(BI33=BI34,BJ33=BJ34,BK33=BK34),BL33,$BL$9+25))</f>
        <v>26</v>
      </c>
      <c r="BM34" s="22"/>
      <c r="BN34" s="225"/>
    </row>
    <row r="35" spans="1:66" ht="15.6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P35" s="18"/>
      <c r="Q35" s="18"/>
      <c r="R35" s="18"/>
      <c r="S35" s="18"/>
      <c r="T35" s="18"/>
      <c r="U35" s="18"/>
      <c r="V35" s="18"/>
      <c r="W35" s="18"/>
      <c r="X35" s="18"/>
      <c r="Y35" s="382">
        <v>4</v>
      </c>
      <c r="Z35" s="9" t="str">
        <f>+O16</f>
        <v>A7</v>
      </c>
      <c r="AA35" s="25">
        <v>1</v>
      </c>
      <c r="AB35" s="38">
        <f>IF(AA35+AA39=0,0,IF(AA35=AA39,2,IF(AA35&gt;AA39,3,1)))</f>
        <v>3</v>
      </c>
      <c r="AC35" s="10">
        <f>AA35-AA39</f>
        <v>1</v>
      </c>
      <c r="AD35" s="6"/>
      <c r="AE35" s="9" t="str">
        <f>+R16</f>
        <v>A8</v>
      </c>
      <c r="AF35" s="107">
        <v>1</v>
      </c>
      <c r="AG35" s="38">
        <f>IF(AF35+AF39=0,0,IF(AF35=AF39,2,IF(AF35&gt;AF39,3,1)))</f>
        <v>3</v>
      </c>
      <c r="AH35" s="10">
        <f>AF35-AF39</f>
        <v>1</v>
      </c>
      <c r="AI35" s="6"/>
      <c r="AJ35" s="9" t="str">
        <f>+U16</f>
        <v>A7</v>
      </c>
      <c r="AK35" s="28">
        <v>1</v>
      </c>
      <c r="AL35" s="38">
        <f>IF(AK35+AK39=0,0,IF(AK35=AK39,2,IF(AK35&gt;AK39,3,1)))</f>
        <v>3</v>
      </c>
      <c r="AM35" s="10">
        <f>AK35-AK39</f>
        <v>1</v>
      </c>
      <c r="AN35" s="18"/>
      <c r="AO35" s="44">
        <v>27</v>
      </c>
      <c r="AP35" s="279" t="str">
        <f>+Inscrits!D11</f>
        <v>B9</v>
      </c>
      <c r="AQ35" s="247">
        <f t="shared" si="3"/>
        <v>3</v>
      </c>
      <c r="AR35" s="82">
        <f t="shared" si="4"/>
        <v>1</v>
      </c>
      <c r="AS35" s="184">
        <f t="shared" si="5"/>
        <v>1</v>
      </c>
      <c r="AT35" s="250">
        <f t="shared" si="6"/>
        <v>1</v>
      </c>
      <c r="AU35" s="82">
        <f t="shared" si="7"/>
        <v>-5</v>
      </c>
      <c r="AV35" s="252" t="str">
        <f t="shared" si="8"/>
        <v>0</v>
      </c>
      <c r="AW35" s="247">
        <f t="shared" si="9"/>
        <v>3</v>
      </c>
      <c r="AX35" s="82">
        <f t="shared" si="10"/>
        <v>5</v>
      </c>
      <c r="AY35" s="252">
        <f t="shared" si="11"/>
        <v>5</v>
      </c>
      <c r="AZ35" s="247">
        <f t="shared" si="17"/>
        <v>7</v>
      </c>
      <c r="BA35" s="82">
        <f t="shared" si="12"/>
        <v>1</v>
      </c>
      <c r="BB35" s="252">
        <f t="shared" si="13"/>
        <v>6</v>
      </c>
      <c r="BC35" s="255">
        <f t="shared" si="14"/>
        <v>0</v>
      </c>
      <c r="BD35" s="7">
        <f t="shared" si="15"/>
        <v>1</v>
      </c>
      <c r="BE35" s="183">
        <f t="shared" si="16"/>
        <v>3.9894003500000004</v>
      </c>
      <c r="BF35" s="82">
        <f>IF(AP35="","",SMALL(BE$9:BE$62,ROWS(AZ$9:AZ35)))</f>
        <v>21.059900499999998</v>
      </c>
      <c r="BH35" s="82" t="str">
        <f>IF(OR(AP35="",AZ35=""),"",INDEX($AP$9:$AP$63,MATCH(BF35,$BE$9:BE$62,0)))</f>
        <v>C6</v>
      </c>
      <c r="BI35" s="7">
        <f t="shared" si="0"/>
        <v>5</v>
      </c>
      <c r="BJ35" s="7">
        <f t="shared" si="1"/>
        <v>-6</v>
      </c>
      <c r="BK35" s="7">
        <f t="shared" si="2"/>
        <v>1</v>
      </c>
      <c r="BL35" s="17">
        <f>IF(BF35="","",IF(AND(BI34=BI35,BJ34=BJ35,BK34=BK35),BL34,$BL$9+26))</f>
        <v>27</v>
      </c>
      <c r="BM35" s="22"/>
      <c r="BN35" s="225"/>
    </row>
    <row r="36" spans="1:66" ht="16.2" thickBot="1" x14ac:dyDescent="0.3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P36" s="18"/>
      <c r="Q36" s="18"/>
      <c r="R36" s="18"/>
      <c r="S36" s="18"/>
      <c r="T36" s="18"/>
      <c r="U36" s="18"/>
      <c r="V36" s="18"/>
      <c r="W36" s="18"/>
      <c r="X36" s="18"/>
      <c r="Y36" s="383"/>
      <c r="Z36" s="11" t="str">
        <f>+P16</f>
        <v>B7</v>
      </c>
      <c r="AA36" s="14">
        <f>IF(ISTEXT(Z36),AA35,0)</f>
        <v>1</v>
      </c>
      <c r="AB36" s="14">
        <f>IF(ISTEXT(Z36),AB35,0)</f>
        <v>3</v>
      </c>
      <c r="AC36" s="15">
        <f>IF(ISTEXT(Z36),AC35,0)</f>
        <v>1</v>
      </c>
      <c r="AD36" s="6"/>
      <c r="AE36" s="11" t="str">
        <f>+S16</f>
        <v>B6</v>
      </c>
      <c r="AF36" s="14">
        <f>IF(ISTEXT(AE36),AF35,0)</f>
        <v>1</v>
      </c>
      <c r="AG36" s="48">
        <f>IF(ISTEXT(AE36),AG35,0)</f>
        <v>3</v>
      </c>
      <c r="AH36" s="15">
        <f>IF(ISTEXT(AE36),AH35,0)</f>
        <v>1</v>
      </c>
      <c r="AI36" s="6"/>
      <c r="AJ36" s="11" t="str">
        <f>+V16</f>
        <v>B1</v>
      </c>
      <c r="AK36" s="14">
        <f>IF(ISTEXT(AJ36),AK35,0)</f>
        <v>1</v>
      </c>
      <c r="AL36" s="48">
        <f>IF(ISTEXT(AJ36),AL35,0)</f>
        <v>3</v>
      </c>
      <c r="AM36" s="15">
        <f>IF(ISTEXT(AJ36),AM35,0)</f>
        <v>1</v>
      </c>
      <c r="AN36" s="18"/>
      <c r="AO36" s="44">
        <v>28</v>
      </c>
      <c r="AP36" s="279" t="str">
        <f>+Inscrits!D12</f>
        <v>B10</v>
      </c>
      <c r="AQ36" s="247">
        <f t="shared" si="3"/>
        <v>1</v>
      </c>
      <c r="AR36" s="82">
        <f t="shared" si="4"/>
        <v>-1</v>
      </c>
      <c r="AS36" s="184" t="str">
        <f t="shared" si="5"/>
        <v>0</v>
      </c>
      <c r="AT36" s="250">
        <f t="shared" si="6"/>
        <v>1</v>
      </c>
      <c r="AU36" s="82">
        <f t="shared" si="7"/>
        <v>-1</v>
      </c>
      <c r="AV36" s="252" t="str">
        <f t="shared" si="8"/>
        <v>0</v>
      </c>
      <c r="AW36" s="247">
        <f t="shared" si="9"/>
        <v>1</v>
      </c>
      <c r="AX36" s="82">
        <f t="shared" si="10"/>
        <v>-5</v>
      </c>
      <c r="AY36" s="252" t="str">
        <f t="shared" si="11"/>
        <v>0</v>
      </c>
      <c r="AZ36" s="247">
        <f t="shared" si="17"/>
        <v>3</v>
      </c>
      <c r="BA36" s="82">
        <f t="shared" si="12"/>
        <v>-7</v>
      </c>
      <c r="BB36" s="252">
        <f t="shared" si="13"/>
        <v>0</v>
      </c>
      <c r="BC36" s="255">
        <f t="shared" si="14"/>
        <v>-7</v>
      </c>
      <c r="BD36" s="7">
        <f t="shared" si="15"/>
        <v>0</v>
      </c>
      <c r="BE36" s="183">
        <f t="shared" si="16"/>
        <v>32.070000360000002</v>
      </c>
      <c r="BF36" s="82">
        <f>IF(AP36="","",SMALL(BE$9:BE$62,ROWS(AZ$9:AZ36)))</f>
        <v>21.08850047</v>
      </c>
      <c r="BH36" s="82" t="str">
        <f>IF(OR(AP36="",AZ36=""),"",INDEX($AP$9:$AP$63,MATCH(BF36,$BE$9:BE$62,0)))</f>
        <v>C3</v>
      </c>
      <c r="BI36" s="7">
        <f t="shared" si="0"/>
        <v>5</v>
      </c>
      <c r="BJ36" s="7">
        <f t="shared" si="1"/>
        <v>-9</v>
      </c>
      <c r="BK36" s="7">
        <f t="shared" si="2"/>
        <v>15</v>
      </c>
      <c r="BL36" s="17">
        <f>IF(BF36="","",IF(AND(BI35=BI36,BJ35=BJ36,BK35=BK36),BL35,$BL$9+27))</f>
        <v>28</v>
      </c>
      <c r="BM36" s="22"/>
      <c r="BN36" s="225"/>
    </row>
    <row r="37" spans="1:66" ht="15.6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P37" s="18"/>
      <c r="Q37" s="18"/>
      <c r="R37" s="18"/>
      <c r="S37" s="18"/>
      <c r="T37" s="18"/>
      <c r="U37" s="18"/>
      <c r="V37" s="18"/>
      <c r="W37" s="18"/>
      <c r="X37" s="18"/>
      <c r="Y37" s="383"/>
      <c r="Z37" s="11" t="str">
        <f>+Q16</f>
        <v>C7</v>
      </c>
      <c r="AA37" s="55">
        <f>IF(ISTEXT(Z37),AA35,0)</f>
        <v>1</v>
      </c>
      <c r="AB37" s="55">
        <f>IF(ISTEXT(Z37),AB35,0)</f>
        <v>3</v>
      </c>
      <c r="AC37" s="56">
        <f>IF(ISTEXT(Z37),AC35,0)</f>
        <v>1</v>
      </c>
      <c r="AD37" s="6"/>
      <c r="AE37" s="11" t="str">
        <f>+T16</f>
        <v>C1</v>
      </c>
      <c r="AF37" s="55">
        <f>IF(ISTEXT(AE37),AF35,0)</f>
        <v>1</v>
      </c>
      <c r="AG37" s="52">
        <f>IF(ISTEXT(AE37),AG35,0)</f>
        <v>3</v>
      </c>
      <c r="AH37" s="56">
        <f>IF(ISTEXT(AE37),AH35,0)</f>
        <v>1</v>
      </c>
      <c r="AI37" s="6"/>
      <c r="AJ37" s="11" t="str">
        <f>+W16</f>
        <v>C1</v>
      </c>
      <c r="AK37" s="55">
        <f>IF(ISTEXT(AJ37),AK35,0)</f>
        <v>1</v>
      </c>
      <c r="AL37" s="52">
        <f>IF(ISTEXT(AJ37),AL35,0)</f>
        <v>3</v>
      </c>
      <c r="AM37" s="56">
        <f>IF(ISTEXT(AJ37),AM35,0)</f>
        <v>1</v>
      </c>
      <c r="AN37" s="18"/>
      <c r="AO37" s="44">
        <v>29</v>
      </c>
      <c r="AP37" s="279" t="str">
        <f>+Inscrits!D13</f>
        <v>B11</v>
      </c>
      <c r="AQ37" s="247">
        <f t="shared" si="3"/>
        <v>3</v>
      </c>
      <c r="AR37" s="82">
        <f t="shared" si="4"/>
        <v>1</v>
      </c>
      <c r="AS37" s="184">
        <f t="shared" si="5"/>
        <v>1</v>
      </c>
      <c r="AT37" s="250">
        <f t="shared" si="6"/>
        <v>3</v>
      </c>
      <c r="AU37" s="82">
        <f t="shared" si="7"/>
        <v>1</v>
      </c>
      <c r="AV37" s="252">
        <f t="shared" si="8"/>
        <v>1</v>
      </c>
      <c r="AW37" s="247">
        <f t="shared" si="9"/>
        <v>1</v>
      </c>
      <c r="AX37" s="82">
        <f t="shared" si="10"/>
        <v>-1</v>
      </c>
      <c r="AY37" s="252" t="str">
        <f t="shared" si="11"/>
        <v>0</v>
      </c>
      <c r="AZ37" s="247">
        <f t="shared" si="17"/>
        <v>7</v>
      </c>
      <c r="BA37" s="82">
        <f t="shared" si="12"/>
        <v>1</v>
      </c>
      <c r="BB37" s="252">
        <f t="shared" si="13"/>
        <v>2</v>
      </c>
      <c r="BC37" s="255">
        <f t="shared" si="14"/>
        <v>0</v>
      </c>
      <c r="BD37" s="7">
        <f t="shared" si="15"/>
        <v>1</v>
      </c>
      <c r="BE37" s="183">
        <f t="shared" si="16"/>
        <v>3.9898003700000002</v>
      </c>
      <c r="BF37" s="82">
        <f>IF(AP37="","",SMALL(BE$9:BE$62,ROWS(AZ$9:AZ37)))</f>
        <v>29.019000089999999</v>
      </c>
      <c r="BH37" s="82" t="str">
        <f>IF(OR(AP37="",AZ37=""),"",INDEX($AP$9:$AP$63,MATCH(BF37,$BE$9:BE$62,0)))</f>
        <v>A1</v>
      </c>
      <c r="BI37" s="7">
        <f t="shared" si="0"/>
        <v>4</v>
      </c>
      <c r="BJ37" s="7">
        <f t="shared" si="1"/>
        <v>-2</v>
      </c>
      <c r="BK37" s="7">
        <f t="shared" si="2"/>
        <v>10</v>
      </c>
      <c r="BL37" s="17">
        <f>IF(BF37="","",IF(AND(BI36=BI37,BJ36=BJ37,BK36=BK37),BL36,$BL$9+28))</f>
        <v>29</v>
      </c>
      <c r="BM37" s="22"/>
      <c r="BN37" s="225"/>
    </row>
    <row r="38" spans="1:66" ht="15.6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P38" s="18"/>
      <c r="Q38" s="18"/>
      <c r="R38" s="18"/>
      <c r="S38" s="18"/>
      <c r="T38" s="18"/>
      <c r="U38" s="18"/>
      <c r="V38" s="18"/>
      <c r="W38" s="18"/>
      <c r="X38" s="18"/>
      <c r="Y38" s="383"/>
      <c r="Z38" s="24"/>
      <c r="AA38" s="16" t="s">
        <v>5</v>
      </c>
      <c r="AB38" s="16"/>
      <c r="AC38" s="17"/>
      <c r="AD38" s="1"/>
      <c r="AE38" s="24"/>
      <c r="AF38" s="16" t="s">
        <v>5</v>
      </c>
      <c r="AG38" s="16"/>
      <c r="AH38" s="17"/>
      <c r="AI38" s="1"/>
      <c r="AJ38" s="24"/>
      <c r="AK38" s="16" t="s">
        <v>5</v>
      </c>
      <c r="AL38" s="16"/>
      <c r="AM38" s="17"/>
      <c r="AN38" s="18"/>
      <c r="AO38" s="44">
        <v>30</v>
      </c>
      <c r="AP38" s="279" t="str">
        <f>+Inscrits!D14</f>
        <v>B12</v>
      </c>
      <c r="AQ38" s="247" t="str">
        <f t="shared" si="3"/>
        <v xml:space="preserve"> </v>
      </c>
      <c r="AR38" s="82" t="str">
        <f t="shared" si="4"/>
        <v xml:space="preserve"> </v>
      </c>
      <c r="AS38" s="184" t="str">
        <f t="shared" si="5"/>
        <v xml:space="preserve"> </v>
      </c>
      <c r="AT38" s="250" t="str">
        <f t="shared" si="6"/>
        <v xml:space="preserve"> </v>
      </c>
      <c r="AU38" s="82" t="str">
        <f t="shared" si="7"/>
        <v xml:space="preserve"> </v>
      </c>
      <c r="AV38" s="252" t="str">
        <f t="shared" si="8"/>
        <v xml:space="preserve"> </v>
      </c>
      <c r="AW38" s="247" t="str">
        <f t="shared" si="9"/>
        <v xml:space="preserve"> </v>
      </c>
      <c r="AX38" s="82" t="str">
        <f t="shared" si="10"/>
        <v xml:space="preserve"> </v>
      </c>
      <c r="AY38" s="252" t="str">
        <f t="shared" si="11"/>
        <v xml:space="preserve"> </v>
      </c>
      <c r="AZ38" s="247">
        <f t="shared" si="17"/>
        <v>0</v>
      </c>
      <c r="BA38" s="82">
        <f t="shared" si="12"/>
        <v>0</v>
      </c>
      <c r="BB38" s="252">
        <f t="shared" si="13"/>
        <v>0</v>
      </c>
      <c r="BC38" s="255">
        <f t="shared" si="14"/>
        <v>0</v>
      </c>
      <c r="BD38" s="7">
        <f t="shared" si="15"/>
        <v>0</v>
      </c>
      <c r="BE38" s="183">
        <f t="shared" si="16"/>
        <v>35.000000380000003</v>
      </c>
      <c r="BF38" s="82">
        <f>IF(AP38="","",SMALL(BE$9:BE$62,ROWS(AZ$9:AZ38)))</f>
        <v>29.058900099999999</v>
      </c>
      <c r="BH38" s="82" t="str">
        <f>IF(OR(AP38="",AZ38=""),"",INDEX($AP$9:$AP$63,MATCH(BF38,$BE$9:BE$62,0)))</f>
        <v>A2</v>
      </c>
      <c r="BI38" s="7">
        <f t="shared" si="0"/>
        <v>4</v>
      </c>
      <c r="BJ38" s="7">
        <f t="shared" si="1"/>
        <v>-6</v>
      </c>
      <c r="BK38" s="7">
        <f t="shared" si="2"/>
        <v>11</v>
      </c>
      <c r="BL38" s="17">
        <f>IF(BF38="","",IF(AND(BI37=BI38,BJ37=BJ38,BK37=BK38),BL37,$BL$9+29))</f>
        <v>30</v>
      </c>
      <c r="BM38" s="22"/>
      <c r="BN38" s="225"/>
    </row>
    <row r="39" spans="1:66" ht="15.6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P39" s="18"/>
      <c r="Q39" s="18"/>
      <c r="R39" s="18"/>
      <c r="S39" s="18"/>
      <c r="T39" s="18"/>
      <c r="U39" s="18"/>
      <c r="V39" s="18"/>
      <c r="W39" s="18"/>
      <c r="X39" s="18"/>
      <c r="Y39" s="383"/>
      <c r="Z39" s="11" t="str">
        <f>+O17</f>
        <v>A8</v>
      </c>
      <c r="AA39" s="27">
        <v>0</v>
      </c>
      <c r="AB39" s="23">
        <f>IF(AA35+AA39=0,0,IF(AA35=AA39,2,IF(AA35&lt;AA39,3,1)))</f>
        <v>1</v>
      </c>
      <c r="AC39" s="12">
        <f>AA39-AA35</f>
        <v>-1</v>
      </c>
      <c r="AD39" s="6"/>
      <c r="AE39" s="11" t="str">
        <f>+R17</f>
        <v>A9</v>
      </c>
      <c r="AF39" s="108">
        <v>0</v>
      </c>
      <c r="AG39" s="23">
        <f>IF(AF35+AF39=0,0,IF(AF35=AF39,2,IF(AF35&lt;AF39,3,1)))</f>
        <v>1</v>
      </c>
      <c r="AH39" s="12">
        <f>AF39-AF35</f>
        <v>-1</v>
      </c>
      <c r="AI39" s="6"/>
      <c r="AJ39" s="11" t="str">
        <f>+U17</f>
        <v>A9</v>
      </c>
      <c r="AK39" s="29">
        <v>0</v>
      </c>
      <c r="AL39" s="23">
        <f>IF(AK35+AK39=0,0,IF(AK35=AK39,2,IF(AK35&lt;AK39,3,1)))</f>
        <v>1</v>
      </c>
      <c r="AM39" s="12">
        <f>AK39-AK35</f>
        <v>-1</v>
      </c>
      <c r="AN39" s="18"/>
      <c r="AO39" s="44">
        <v>31</v>
      </c>
      <c r="AP39" s="279" t="str">
        <f>+Inscrits!D15</f>
        <v>B13</v>
      </c>
      <c r="AQ39" s="247" t="str">
        <f t="shared" si="3"/>
        <v xml:space="preserve"> </v>
      </c>
      <c r="AR39" s="82" t="str">
        <f t="shared" si="4"/>
        <v xml:space="preserve"> </v>
      </c>
      <c r="AS39" s="184" t="str">
        <f t="shared" si="5"/>
        <v xml:space="preserve"> </v>
      </c>
      <c r="AT39" s="250" t="str">
        <f t="shared" si="6"/>
        <v xml:space="preserve"> </v>
      </c>
      <c r="AU39" s="82" t="str">
        <f t="shared" si="7"/>
        <v xml:space="preserve"> </v>
      </c>
      <c r="AV39" s="252" t="str">
        <f t="shared" si="8"/>
        <v xml:space="preserve"> </v>
      </c>
      <c r="AW39" s="247" t="str">
        <f t="shared" si="9"/>
        <v xml:space="preserve"> </v>
      </c>
      <c r="AX39" s="82" t="str">
        <f t="shared" si="10"/>
        <v xml:space="preserve"> </v>
      </c>
      <c r="AY39" s="252" t="str">
        <f t="shared" si="11"/>
        <v xml:space="preserve"> </v>
      </c>
      <c r="AZ39" s="247">
        <f t="shared" si="17"/>
        <v>0</v>
      </c>
      <c r="BA39" s="82">
        <f t="shared" si="12"/>
        <v>0</v>
      </c>
      <c r="BB39" s="252">
        <f t="shared" si="13"/>
        <v>0</v>
      </c>
      <c r="BC39" s="255">
        <f t="shared" si="14"/>
        <v>0</v>
      </c>
      <c r="BD39" s="7">
        <f t="shared" si="15"/>
        <v>0</v>
      </c>
      <c r="BE39" s="183">
        <f t="shared" si="16"/>
        <v>35.000000389999997</v>
      </c>
      <c r="BF39" s="82">
        <f>IF(AP39="","",SMALL(BE$9:BE$62,ROWS(AZ$9:AZ39)))</f>
        <v>29.078900279999996</v>
      </c>
      <c r="BH39" s="82" t="str">
        <f>IF(OR(AP39="",AZ39=""),"",INDEX($AP$9:$AP$63,MATCH(BF39,$BE$9:BE$62,0)))</f>
        <v>B2</v>
      </c>
      <c r="BI39" s="7">
        <f t="shared" si="0"/>
        <v>4</v>
      </c>
      <c r="BJ39" s="7">
        <f t="shared" si="1"/>
        <v>-8</v>
      </c>
      <c r="BK39" s="7">
        <f t="shared" si="2"/>
        <v>11</v>
      </c>
      <c r="BL39" s="17">
        <f>IF(BF39="","",IF(AND(BI38=BI39,BJ38=BJ39,BK38=BK39),BL38,$BL$9+30))</f>
        <v>31</v>
      </c>
      <c r="BM39" s="22"/>
      <c r="BN39" s="225"/>
    </row>
    <row r="40" spans="1:66" ht="16.2" thickBot="1" x14ac:dyDescent="0.3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P40" s="18"/>
      <c r="Q40" s="18"/>
      <c r="R40" s="18"/>
      <c r="S40" s="18"/>
      <c r="T40" s="18"/>
      <c r="U40" s="18"/>
      <c r="V40" s="18"/>
      <c r="W40" s="18"/>
      <c r="X40" s="18"/>
      <c r="Y40" s="383"/>
      <c r="Z40" s="11" t="str">
        <f>+P17</f>
        <v>B8</v>
      </c>
      <c r="AA40" s="14">
        <f>IF(ISTEXT(Z40),AA39,0)</f>
        <v>0</v>
      </c>
      <c r="AB40" s="14">
        <f>IF(ISTEXT(Z40),AB39,0)</f>
        <v>1</v>
      </c>
      <c r="AC40" s="15">
        <f>IF(ISTEXT(Z40),AC39,0)</f>
        <v>-1</v>
      </c>
      <c r="AD40" s="6"/>
      <c r="AE40" s="11" t="str">
        <f>+S17</f>
        <v>B7</v>
      </c>
      <c r="AF40" s="14">
        <f>IF(ISTEXT(AE40),AF39,0)</f>
        <v>0</v>
      </c>
      <c r="AG40" s="14">
        <f>IF(ISTEXT(AE40),AG39,0)</f>
        <v>1</v>
      </c>
      <c r="AH40" s="15">
        <f>IF(ISTEXT(AE40),AH39,0)</f>
        <v>-1</v>
      </c>
      <c r="AI40" s="6"/>
      <c r="AJ40" s="11" t="str">
        <f>+V17</f>
        <v>B2</v>
      </c>
      <c r="AK40" s="14">
        <f>IF(ISTEXT(AJ40),AK39,0)</f>
        <v>0</v>
      </c>
      <c r="AL40" s="14">
        <f>IF(ISTEXT(AJ40),AL39,0)</f>
        <v>1</v>
      </c>
      <c r="AM40" s="15">
        <f>IF(ISTEXT(AJ40),AM39,0)</f>
        <v>-1</v>
      </c>
      <c r="AN40" s="18"/>
      <c r="AO40" s="44">
        <v>32</v>
      </c>
      <c r="AP40" s="279" t="str">
        <f>+Inscrits!D16</f>
        <v>B14</v>
      </c>
      <c r="AQ40" s="247" t="str">
        <f t="shared" si="3"/>
        <v xml:space="preserve"> </v>
      </c>
      <c r="AR40" s="82" t="str">
        <f t="shared" si="4"/>
        <v xml:space="preserve"> </v>
      </c>
      <c r="AS40" s="184" t="str">
        <f t="shared" si="5"/>
        <v xml:space="preserve"> </v>
      </c>
      <c r="AT40" s="250" t="str">
        <f t="shared" si="6"/>
        <v xml:space="preserve"> </v>
      </c>
      <c r="AU40" s="82" t="str">
        <f t="shared" si="7"/>
        <v xml:space="preserve"> </v>
      </c>
      <c r="AV40" s="252" t="str">
        <f t="shared" si="8"/>
        <v xml:space="preserve"> </v>
      </c>
      <c r="AW40" s="247" t="str">
        <f t="shared" si="9"/>
        <v xml:space="preserve"> </v>
      </c>
      <c r="AX40" s="82" t="str">
        <f t="shared" si="10"/>
        <v xml:space="preserve"> </v>
      </c>
      <c r="AY40" s="252" t="str">
        <f t="shared" si="11"/>
        <v xml:space="preserve"> </v>
      </c>
      <c r="AZ40" s="247">
        <f t="shared" si="17"/>
        <v>0</v>
      </c>
      <c r="BA40" s="82">
        <f t="shared" si="12"/>
        <v>0</v>
      </c>
      <c r="BB40" s="252">
        <f t="shared" si="13"/>
        <v>0</v>
      </c>
      <c r="BC40" s="255">
        <f t="shared" si="14"/>
        <v>0</v>
      </c>
      <c r="BD40" s="7">
        <f t="shared" si="15"/>
        <v>0</v>
      </c>
      <c r="BE40" s="183">
        <f t="shared" si="16"/>
        <v>35.000000399999998</v>
      </c>
      <c r="BF40" s="82">
        <f>IF(AP40="","",SMALL(BE$9:BE$62,ROWS(AZ$9:AZ40)))</f>
        <v>32.030000520000002</v>
      </c>
      <c r="BH40" s="82" t="str">
        <f>IF(OR(AP40="",AZ40=""),"",INDEX($AP$9:$AP$63,MATCH(BF40,$BE$9:BE$62,0)))</f>
        <v>C8</v>
      </c>
      <c r="BI40" s="7">
        <f t="shared" si="0"/>
        <v>3</v>
      </c>
      <c r="BJ40" s="7">
        <f t="shared" si="1"/>
        <v>-3</v>
      </c>
      <c r="BK40" s="7">
        <f t="shared" si="2"/>
        <v>0</v>
      </c>
      <c r="BL40" s="17">
        <f>IF(BF40="","",IF(AND(BI39=BI40,BJ39=BJ40,BK39=BK40),BL39,$BL$9+31))</f>
        <v>32</v>
      </c>
      <c r="BM40" s="22"/>
      <c r="BN40" s="225"/>
    </row>
    <row r="41" spans="1:66" ht="16.2" thickBot="1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P41" s="18"/>
      <c r="Q41" s="18"/>
      <c r="R41" s="18"/>
      <c r="S41" s="18"/>
      <c r="T41" s="18"/>
      <c r="U41" s="18"/>
      <c r="V41" s="18"/>
      <c r="W41" s="18"/>
      <c r="X41" s="18"/>
      <c r="Y41" s="384"/>
      <c r="Z41" s="13" t="str">
        <f>+Q17</f>
        <v>C8</v>
      </c>
      <c r="AA41" s="14">
        <f>IF(ISTEXT(Z41),AA39,0)</f>
        <v>0</v>
      </c>
      <c r="AB41" s="14">
        <f>IF(ISTEXT(Z41),AB39,0)</f>
        <v>1</v>
      </c>
      <c r="AC41" s="15">
        <f>IF(ISTEXT(Z41),AC39,0)</f>
        <v>-1</v>
      </c>
      <c r="AD41" s="6"/>
      <c r="AE41" s="13" t="str">
        <f>+T17</f>
        <v>C8</v>
      </c>
      <c r="AF41" s="14">
        <f>IF(ISTEXT(AE41),AF39,0)</f>
        <v>0</v>
      </c>
      <c r="AG41" s="14">
        <f>IF(ISTEXT(AE41),AG39,0)</f>
        <v>1</v>
      </c>
      <c r="AH41" s="15">
        <f>IF(ISTEXT(AE41),AH39,0)</f>
        <v>-1</v>
      </c>
      <c r="AI41" s="6"/>
      <c r="AJ41" s="13" t="str">
        <f>+W17</f>
        <v>C8</v>
      </c>
      <c r="AK41" s="14">
        <f>IF(ISTEXT(AJ41),AK39,0)</f>
        <v>0</v>
      </c>
      <c r="AL41" s="14">
        <f>IF(ISTEXT(AJ41),AL39,0)</f>
        <v>1</v>
      </c>
      <c r="AM41" s="15">
        <f>IF(ISTEXT(AJ41),AM39,0)</f>
        <v>-1</v>
      </c>
      <c r="AN41" s="18"/>
      <c r="AO41" s="44">
        <v>33</v>
      </c>
      <c r="AP41" s="279" t="str">
        <f>+Inscrits!D17</f>
        <v>B15</v>
      </c>
      <c r="AQ41" s="247" t="str">
        <f t="shared" si="3"/>
        <v xml:space="preserve"> </v>
      </c>
      <c r="AR41" s="82" t="str">
        <f t="shared" si="4"/>
        <v xml:space="preserve"> </v>
      </c>
      <c r="AS41" s="184" t="str">
        <f t="shared" si="5"/>
        <v xml:space="preserve"> </v>
      </c>
      <c r="AT41" s="250" t="str">
        <f t="shared" si="6"/>
        <v xml:space="preserve"> </v>
      </c>
      <c r="AU41" s="82" t="str">
        <f t="shared" si="7"/>
        <v xml:space="preserve"> </v>
      </c>
      <c r="AV41" s="252" t="str">
        <f t="shared" si="8"/>
        <v xml:space="preserve"> </v>
      </c>
      <c r="AW41" s="247" t="str">
        <f t="shared" si="9"/>
        <v xml:space="preserve"> </v>
      </c>
      <c r="AX41" s="82" t="str">
        <f t="shared" si="10"/>
        <v xml:space="preserve"> </v>
      </c>
      <c r="AY41" s="252" t="str">
        <f t="shared" si="11"/>
        <v xml:space="preserve"> </v>
      </c>
      <c r="AZ41" s="247">
        <f t="shared" si="17"/>
        <v>0</v>
      </c>
      <c r="BA41" s="82">
        <f t="shared" si="12"/>
        <v>0</v>
      </c>
      <c r="BB41" s="252">
        <f t="shared" si="13"/>
        <v>0</v>
      </c>
      <c r="BC41" s="255">
        <f t="shared" si="14"/>
        <v>0</v>
      </c>
      <c r="BD41" s="7">
        <f t="shared" si="15"/>
        <v>0</v>
      </c>
      <c r="BE41" s="183">
        <f t="shared" si="16"/>
        <v>35.000000409999998</v>
      </c>
      <c r="BF41" s="82">
        <f>IF(AP41="","",SMALL(BE$9:BE$62,ROWS(AZ$9:AZ41)))</f>
        <v>32.030000540000003</v>
      </c>
      <c r="BH41" s="82" t="str">
        <f>IF(OR(AP41="",AZ41=""),"",INDEX($AP$9:$AP$63,MATCH(BF41,$BE$9:BE$62,0)))</f>
        <v>C10</v>
      </c>
      <c r="BI41" s="7">
        <f t="shared" ref="BI41:BI62" si="18">IF(AP41="","",INDEX($AZ$9:$AZ$63,MATCH(BF41,$BE$9:$BE$62,0)))</f>
        <v>3</v>
      </c>
      <c r="BJ41" s="7">
        <f t="shared" ref="BJ41:BJ62" si="19">IF(AP41="","",INDEX($BA$9:$BA$63,MATCH(BF41,$BE$9:$BE$62,0)))</f>
        <v>-3</v>
      </c>
      <c r="BK41" s="7">
        <f t="shared" ref="BK41:BK62" si="20">IF(AP41="","",INDEX($BB$9:$BB$63,MATCH(BF41,$BE$9:$BE$62,0)))</f>
        <v>0</v>
      </c>
      <c r="BL41" s="17">
        <f>IF(BF41="","",IF(AND(BI40=BI41,BJ40=BJ41,BK40=BK41),BL40,$BL$9+32))</f>
        <v>32</v>
      </c>
      <c r="BM41" s="22"/>
      <c r="BN41" s="225"/>
    </row>
    <row r="42" spans="1:66" ht="16.2" thickBot="1" x14ac:dyDescent="0.3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P42" s="18"/>
      <c r="Q42" s="18"/>
      <c r="R42" s="18"/>
      <c r="S42" s="18"/>
      <c r="T42" s="18"/>
      <c r="U42" s="18"/>
      <c r="V42" s="18"/>
      <c r="W42" s="18"/>
      <c r="X42" s="18"/>
      <c r="Y42" s="20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18"/>
      <c r="AO42" s="44">
        <v>34</v>
      </c>
      <c r="AP42" s="279" t="str">
        <f>+Inscrits!D18</f>
        <v>B16</v>
      </c>
      <c r="AQ42" s="247" t="str">
        <f t="shared" si="3"/>
        <v xml:space="preserve"> </v>
      </c>
      <c r="AR42" s="82" t="str">
        <f t="shared" si="4"/>
        <v xml:space="preserve"> </v>
      </c>
      <c r="AS42" s="184" t="str">
        <f t="shared" si="5"/>
        <v xml:space="preserve"> </v>
      </c>
      <c r="AT42" s="250" t="str">
        <f t="shared" si="6"/>
        <v xml:space="preserve"> </v>
      </c>
      <c r="AU42" s="82" t="str">
        <f t="shared" si="7"/>
        <v xml:space="preserve"> </v>
      </c>
      <c r="AV42" s="252" t="str">
        <f t="shared" si="8"/>
        <v xml:space="preserve"> </v>
      </c>
      <c r="AW42" s="247" t="str">
        <f t="shared" si="9"/>
        <v xml:space="preserve"> </v>
      </c>
      <c r="AX42" s="82" t="str">
        <f t="shared" si="10"/>
        <v xml:space="preserve"> </v>
      </c>
      <c r="AY42" s="252" t="str">
        <f t="shared" si="11"/>
        <v xml:space="preserve"> </v>
      </c>
      <c r="AZ42" s="247">
        <f t="shared" si="17"/>
        <v>0</v>
      </c>
      <c r="BA42" s="82">
        <f t="shared" si="12"/>
        <v>0</v>
      </c>
      <c r="BB42" s="252">
        <f t="shared" si="13"/>
        <v>0</v>
      </c>
      <c r="BC42" s="255">
        <f t="shared" si="14"/>
        <v>0</v>
      </c>
      <c r="BD42" s="7">
        <f t="shared" si="15"/>
        <v>0</v>
      </c>
      <c r="BE42" s="183">
        <f t="shared" si="16"/>
        <v>35.000000419999999</v>
      </c>
      <c r="BF42" s="82">
        <f>IF(AP42="","",SMALL(BE$9:BE$62,ROWS(AZ$9:AZ42)))</f>
        <v>32.070000360000002</v>
      </c>
      <c r="BH42" s="82" t="str">
        <f>IF(OR(AP42="",AZ42=""),"",INDEX($AP$9:$AP$63,MATCH(BF42,$BE$9:BE$62,0)))</f>
        <v>B10</v>
      </c>
      <c r="BI42" s="7">
        <f t="shared" si="18"/>
        <v>3</v>
      </c>
      <c r="BJ42" s="7">
        <f t="shared" si="19"/>
        <v>-7</v>
      </c>
      <c r="BK42" s="7">
        <f t="shared" si="20"/>
        <v>0</v>
      </c>
      <c r="BL42" s="17">
        <f>IF(BF42="","",IF(AND(BI41=BI42,BJ41=BJ42,BK41=BK42),BL41,$BL$9+33))</f>
        <v>34</v>
      </c>
      <c r="BM42" s="22"/>
      <c r="BN42" s="225"/>
    </row>
    <row r="43" spans="1:66" ht="15.6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P43" s="18"/>
      <c r="Q43" s="18"/>
      <c r="R43" s="18"/>
      <c r="S43" s="18"/>
      <c r="T43" s="18"/>
      <c r="U43" s="18"/>
      <c r="V43" s="18"/>
      <c r="W43" s="18"/>
      <c r="X43" s="18"/>
      <c r="Y43" s="382">
        <v>5</v>
      </c>
      <c r="Z43" s="9" t="str">
        <f>+O18</f>
        <v>A9</v>
      </c>
      <c r="AA43" s="25">
        <v>1</v>
      </c>
      <c r="AB43" s="38">
        <f>IF(AA43+AA47=0,0,IF(AA43=AA47,2,IF(AA43&gt;AA47,3,1)))</f>
        <v>3</v>
      </c>
      <c r="AC43" s="10">
        <f>AA43-AA47</f>
        <v>1</v>
      </c>
      <c r="AD43" s="6"/>
      <c r="AE43" s="9" t="str">
        <f>+R18</f>
        <v>A10</v>
      </c>
      <c r="AF43" s="107">
        <v>1</v>
      </c>
      <c r="AG43" s="38">
        <f>IF(AF43+AF47=0,0,IF(AF43=AF47,2,IF(AF43&gt;AF47,3,1)))</f>
        <v>3</v>
      </c>
      <c r="AH43" s="10">
        <f>AF43-AF47</f>
        <v>1</v>
      </c>
      <c r="AI43" s="6"/>
      <c r="AJ43" s="9" t="str">
        <f>+U18</f>
        <v>A11</v>
      </c>
      <c r="AK43" s="28">
        <v>1</v>
      </c>
      <c r="AL43" s="38">
        <f>IF(AK43+AK47=0,0,IF(AK43=AK47,2,IF(AK43&gt;AK47,3,1)))</f>
        <v>3</v>
      </c>
      <c r="AM43" s="10">
        <f>AK43-AK47</f>
        <v>1</v>
      </c>
      <c r="AN43" s="18"/>
      <c r="AO43" s="44">
        <v>35</v>
      </c>
      <c r="AP43" s="279" t="str">
        <f>+Inscrits!D19</f>
        <v>B17</v>
      </c>
      <c r="AQ43" s="247" t="str">
        <f t="shared" si="3"/>
        <v xml:space="preserve"> </v>
      </c>
      <c r="AR43" s="82" t="str">
        <f t="shared" si="4"/>
        <v xml:space="preserve"> </v>
      </c>
      <c r="AS43" s="184" t="str">
        <f t="shared" si="5"/>
        <v xml:space="preserve"> </v>
      </c>
      <c r="AT43" s="250" t="str">
        <f t="shared" si="6"/>
        <v xml:space="preserve"> </v>
      </c>
      <c r="AU43" s="82" t="str">
        <f t="shared" si="7"/>
        <v xml:space="preserve"> </v>
      </c>
      <c r="AV43" s="252" t="str">
        <f t="shared" si="8"/>
        <v xml:space="preserve"> </v>
      </c>
      <c r="AW43" s="247" t="str">
        <f t="shared" si="9"/>
        <v xml:space="preserve"> </v>
      </c>
      <c r="AX43" s="82" t="str">
        <f t="shared" si="10"/>
        <v xml:space="preserve"> </v>
      </c>
      <c r="AY43" s="252" t="str">
        <f t="shared" si="11"/>
        <v xml:space="preserve"> </v>
      </c>
      <c r="AZ43" s="247">
        <f t="shared" si="17"/>
        <v>0</v>
      </c>
      <c r="BA43" s="82">
        <f t="shared" si="12"/>
        <v>0</v>
      </c>
      <c r="BB43" s="252">
        <f t="shared" si="13"/>
        <v>0</v>
      </c>
      <c r="BC43" s="255">
        <f t="shared" si="14"/>
        <v>0</v>
      </c>
      <c r="BD43" s="7">
        <f t="shared" si="15"/>
        <v>0</v>
      </c>
      <c r="BE43" s="183">
        <f t="shared" si="16"/>
        <v>35.00000043</v>
      </c>
      <c r="BF43" s="82">
        <f>IF(AP43="","",SMALL(BE$9:BE$62,ROWS(AZ$9:AZ43)))</f>
        <v>35.000000210000003</v>
      </c>
      <c r="BH43" s="82" t="str">
        <f>IF(OR(AP43="",AZ43=""),"",INDEX($AP$9:$AP$63,MATCH(BF43,$BE$9:BE$62,0)))</f>
        <v>A13</v>
      </c>
      <c r="BI43" s="7">
        <f t="shared" si="18"/>
        <v>0</v>
      </c>
      <c r="BJ43" s="7">
        <f t="shared" si="19"/>
        <v>0</v>
      </c>
      <c r="BK43" s="7">
        <f t="shared" si="20"/>
        <v>0</v>
      </c>
      <c r="BL43" s="17">
        <f>IF(BF43="","",IF(AND(BI42=BI43,BJ42=BJ43,BK42=BK43),BL42,$BL$9+34))</f>
        <v>35</v>
      </c>
      <c r="BM43" s="22"/>
      <c r="BN43" s="225"/>
    </row>
    <row r="44" spans="1:66" ht="16.2" thickBot="1" x14ac:dyDescent="0.3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P44" s="18"/>
      <c r="Q44" s="18"/>
      <c r="R44" s="18"/>
      <c r="S44" s="18"/>
      <c r="T44" s="18"/>
      <c r="U44" s="18"/>
      <c r="V44" s="18"/>
      <c r="W44" s="18"/>
      <c r="X44" s="18"/>
      <c r="Y44" s="383"/>
      <c r="Z44" s="11" t="str">
        <f>+P18</f>
        <v>B9</v>
      </c>
      <c r="AA44" s="14">
        <f>IF(ISTEXT(Z44),AA43,0)</f>
        <v>1</v>
      </c>
      <c r="AB44" s="14">
        <f>IF(ISTEXT(Z44),AB43,0)</f>
        <v>3</v>
      </c>
      <c r="AC44" s="15">
        <f>IF(ISTEXT(Z44),AC43,0)</f>
        <v>1</v>
      </c>
      <c r="AD44" s="6"/>
      <c r="AE44" s="11" t="str">
        <f>+S18</f>
        <v>B1</v>
      </c>
      <c r="AF44" s="14">
        <f>IF(ISTEXT(AE44),AF43,0)</f>
        <v>1</v>
      </c>
      <c r="AG44" s="48">
        <f>IF(ISTEXT(AE44),AG43,0)</f>
        <v>3</v>
      </c>
      <c r="AH44" s="15">
        <f>IF(ISTEXT(AE44),AH43,0)</f>
        <v>1</v>
      </c>
      <c r="AI44" s="6"/>
      <c r="AJ44" s="11" t="str">
        <f>+V18</f>
        <v>B3</v>
      </c>
      <c r="AK44" s="14">
        <f>IF(ISTEXT(AJ44),AK43,0)</f>
        <v>1</v>
      </c>
      <c r="AL44" s="48">
        <f>IF(ISTEXT(AJ44),AL43,0)</f>
        <v>3</v>
      </c>
      <c r="AM44" s="15">
        <f>IF(ISTEXT(AJ44),AM43,0)</f>
        <v>1</v>
      </c>
      <c r="AN44" s="18"/>
      <c r="AO44" s="44">
        <v>36</v>
      </c>
      <c r="AP44" s="279" t="str">
        <f>+Inscrits!D20</f>
        <v>B18</v>
      </c>
      <c r="AQ44" s="247" t="str">
        <f t="shared" si="3"/>
        <v xml:space="preserve"> </v>
      </c>
      <c r="AR44" s="82" t="str">
        <f t="shared" si="4"/>
        <v xml:space="preserve"> </v>
      </c>
      <c r="AS44" s="184" t="str">
        <f t="shared" si="5"/>
        <v xml:space="preserve"> </v>
      </c>
      <c r="AT44" s="250" t="str">
        <f t="shared" si="6"/>
        <v xml:space="preserve"> </v>
      </c>
      <c r="AU44" s="82" t="str">
        <f t="shared" si="7"/>
        <v xml:space="preserve"> </v>
      </c>
      <c r="AV44" s="252" t="str">
        <f t="shared" si="8"/>
        <v xml:space="preserve"> </v>
      </c>
      <c r="AW44" s="247" t="str">
        <f t="shared" si="9"/>
        <v xml:space="preserve"> </v>
      </c>
      <c r="AX44" s="82" t="str">
        <f t="shared" si="10"/>
        <v xml:space="preserve"> </v>
      </c>
      <c r="AY44" s="252" t="str">
        <f t="shared" si="11"/>
        <v xml:space="preserve"> </v>
      </c>
      <c r="AZ44" s="247">
        <f t="shared" si="17"/>
        <v>0</v>
      </c>
      <c r="BA44" s="82">
        <f t="shared" si="12"/>
        <v>0</v>
      </c>
      <c r="BB44" s="252">
        <f t="shared" si="13"/>
        <v>0</v>
      </c>
      <c r="BC44" s="255">
        <f t="shared" si="14"/>
        <v>0</v>
      </c>
      <c r="BD44" s="7">
        <f t="shared" si="15"/>
        <v>0</v>
      </c>
      <c r="BE44" s="183">
        <f t="shared" si="16"/>
        <v>35.000000440000001</v>
      </c>
      <c r="BF44" s="82">
        <f>IF(AP44="","",SMALL(BE$9:BE$62,ROWS(AZ$9:AZ44)))</f>
        <v>35.000000219999997</v>
      </c>
      <c r="BH44" s="82" t="str">
        <f>IF(OR(AP44="",AZ44=""),"",INDEX($AP$9:$AP$63,MATCH(BF44,$BE$9:BE$62,0)))</f>
        <v>A14</v>
      </c>
      <c r="BI44" s="7">
        <f t="shared" si="18"/>
        <v>0</v>
      </c>
      <c r="BJ44" s="7">
        <f t="shared" si="19"/>
        <v>0</v>
      </c>
      <c r="BK44" s="7">
        <f t="shared" si="20"/>
        <v>0</v>
      </c>
      <c r="BL44" s="17">
        <f>IF(BF44="","",IF(AND(BI43=BI44,BJ43=BJ44,BK43=BK44),BL43,$BL$9+35))</f>
        <v>35</v>
      </c>
      <c r="BM44" s="22"/>
      <c r="BN44" s="225"/>
    </row>
    <row r="45" spans="1:66" ht="15.6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P45" s="18"/>
      <c r="Q45" s="18"/>
      <c r="R45" s="18"/>
      <c r="S45" s="18"/>
      <c r="T45" s="18"/>
      <c r="U45" s="18"/>
      <c r="V45" s="18"/>
      <c r="W45" s="18"/>
      <c r="X45" s="18"/>
      <c r="Y45" s="383"/>
      <c r="Z45" s="11" t="str">
        <f>+Q18</f>
        <v>C9</v>
      </c>
      <c r="AA45" s="55">
        <f>IF(ISTEXT(Z45),AA43,0)</f>
        <v>1</v>
      </c>
      <c r="AB45" s="55">
        <f>IF(ISTEXT(Z45),AB43,0)</f>
        <v>3</v>
      </c>
      <c r="AC45" s="56">
        <f>IF(ISTEXT(Z45),AC43,0)</f>
        <v>1</v>
      </c>
      <c r="AD45" s="6"/>
      <c r="AE45" s="11" t="str">
        <f>+T18</f>
        <v>C11</v>
      </c>
      <c r="AF45" s="55">
        <f>IF(ISTEXT(AE45),AF43,0)</f>
        <v>1</v>
      </c>
      <c r="AG45" s="52">
        <f>IF(ISTEXT(AE45),AG43,0)</f>
        <v>3</v>
      </c>
      <c r="AH45" s="56">
        <f>IF(ISTEXT(AE45),AH43,0)</f>
        <v>1</v>
      </c>
      <c r="AI45" s="6"/>
      <c r="AJ45" s="11" t="str">
        <f>+W18</f>
        <v>C6</v>
      </c>
      <c r="AK45" s="55">
        <f>IF(ISTEXT(AJ45),AK43,0)</f>
        <v>1</v>
      </c>
      <c r="AL45" s="52">
        <f>IF(ISTEXT(AJ45),AL43,0)</f>
        <v>3</v>
      </c>
      <c r="AM45" s="56">
        <f>IF(ISTEXT(AJ45),AM43,0)</f>
        <v>1</v>
      </c>
      <c r="AN45" s="18"/>
      <c r="AO45" s="44">
        <v>37</v>
      </c>
      <c r="AP45" s="5" t="str">
        <f>+Inscrits!F3</f>
        <v>C1</v>
      </c>
      <c r="AQ45" s="247">
        <f t="shared" si="3"/>
        <v>2</v>
      </c>
      <c r="AR45" s="82" t="str">
        <f t="shared" si="4"/>
        <v>0</v>
      </c>
      <c r="AS45" s="184">
        <f t="shared" si="5"/>
        <v>6</v>
      </c>
      <c r="AT45" s="250">
        <f t="shared" si="6"/>
        <v>3</v>
      </c>
      <c r="AU45" s="82">
        <f t="shared" si="7"/>
        <v>1</v>
      </c>
      <c r="AV45" s="252">
        <f t="shared" si="8"/>
        <v>1</v>
      </c>
      <c r="AW45" s="247">
        <f t="shared" si="9"/>
        <v>3</v>
      </c>
      <c r="AX45" s="82">
        <f t="shared" si="10"/>
        <v>1</v>
      </c>
      <c r="AY45" s="252">
        <f t="shared" si="11"/>
        <v>1</v>
      </c>
      <c r="AZ45" s="247">
        <f t="shared" si="17"/>
        <v>8</v>
      </c>
      <c r="BA45" s="82">
        <f t="shared" si="12"/>
        <v>2</v>
      </c>
      <c r="BB45" s="252">
        <f t="shared" si="13"/>
        <v>8</v>
      </c>
      <c r="BC45" s="255">
        <f t="shared" si="14"/>
        <v>0</v>
      </c>
      <c r="BD45" s="7">
        <f t="shared" si="15"/>
        <v>2</v>
      </c>
      <c r="BE45" s="183">
        <f t="shared" si="16"/>
        <v>1.97920045</v>
      </c>
      <c r="BF45" s="82">
        <f>IF(AP45="","",SMALL(BE$9:BE$62,ROWS(AZ$9:AZ45)))</f>
        <v>35.000000229999998</v>
      </c>
      <c r="BH45" s="82" t="str">
        <f>IF(OR(AP45="",AZ45=""),"",INDEX($AP$9:$AP$63,MATCH(BF45,$BE$9:BE$62,0)))</f>
        <v>A15</v>
      </c>
      <c r="BI45" s="7">
        <f t="shared" si="18"/>
        <v>0</v>
      </c>
      <c r="BJ45" s="7">
        <f t="shared" si="19"/>
        <v>0</v>
      </c>
      <c r="BK45" s="7">
        <f t="shared" si="20"/>
        <v>0</v>
      </c>
      <c r="BL45" s="17">
        <f>IF(BF45="","",IF(AND(BI44=BI45,BJ44=BJ45,BK44=BK45),BL44,$BL$9+36))</f>
        <v>35</v>
      </c>
      <c r="BM45" s="22"/>
      <c r="BN45" s="225"/>
    </row>
    <row r="46" spans="1:66" ht="15.6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P46" s="18"/>
      <c r="Q46" s="18"/>
      <c r="R46" s="18"/>
      <c r="S46" s="18"/>
      <c r="T46" s="18"/>
      <c r="U46" s="18"/>
      <c r="V46" s="18"/>
      <c r="W46" s="18"/>
      <c r="X46" s="18"/>
      <c r="Y46" s="383"/>
      <c r="Z46" s="24"/>
      <c r="AA46" s="16" t="s">
        <v>5</v>
      </c>
      <c r="AB46" s="16"/>
      <c r="AC46" s="17"/>
      <c r="AD46" s="1"/>
      <c r="AE46" s="24"/>
      <c r="AF46" s="16" t="s">
        <v>5</v>
      </c>
      <c r="AG46" s="16"/>
      <c r="AH46" s="17"/>
      <c r="AI46" s="1"/>
      <c r="AJ46" s="24"/>
      <c r="AK46" s="16" t="s">
        <v>5</v>
      </c>
      <c r="AL46" s="16"/>
      <c r="AM46" s="17"/>
      <c r="AN46" s="18"/>
      <c r="AO46" s="44">
        <v>38</v>
      </c>
      <c r="AP46" s="5" t="str">
        <f>+Inscrits!F4</f>
        <v>C2</v>
      </c>
      <c r="AQ46" s="247">
        <f t="shared" si="3"/>
        <v>2</v>
      </c>
      <c r="AR46" s="82" t="str">
        <f t="shared" si="4"/>
        <v>0</v>
      </c>
      <c r="AS46" s="184">
        <f t="shared" si="5"/>
        <v>6</v>
      </c>
      <c r="AT46" s="250">
        <f t="shared" si="6"/>
        <v>3</v>
      </c>
      <c r="AU46" s="82">
        <f t="shared" si="7"/>
        <v>5</v>
      </c>
      <c r="AV46" s="252">
        <f t="shared" si="8"/>
        <v>10</v>
      </c>
      <c r="AW46" s="247">
        <f t="shared" si="9"/>
        <v>1</v>
      </c>
      <c r="AX46" s="82">
        <f t="shared" si="10"/>
        <v>-1</v>
      </c>
      <c r="AY46" s="252">
        <f t="shared" si="11"/>
        <v>4</v>
      </c>
      <c r="AZ46" s="247">
        <f t="shared" si="17"/>
        <v>6</v>
      </c>
      <c r="BA46" s="82">
        <f t="shared" si="12"/>
        <v>4</v>
      </c>
      <c r="BB46" s="252">
        <f t="shared" si="13"/>
        <v>20</v>
      </c>
      <c r="BC46" s="255">
        <f t="shared" si="14"/>
        <v>0</v>
      </c>
      <c r="BD46" s="7">
        <f t="shared" si="15"/>
        <v>4</v>
      </c>
      <c r="BE46" s="183">
        <f t="shared" si="16"/>
        <v>19.958000460000001</v>
      </c>
      <c r="BF46" s="82">
        <f>IF(AP46="","",SMALL(BE$9:BE$62,ROWS(AZ$9:AZ46)))</f>
        <v>35.000000239999999</v>
      </c>
      <c r="BH46" s="82" t="str">
        <f>IF(OR(AP46="",AZ46=""),"",INDEX($AP$9:$AP$63,MATCH(BF46,$BE$9:BE$62,0)))</f>
        <v>A16</v>
      </c>
      <c r="BI46" s="7">
        <f t="shared" si="18"/>
        <v>0</v>
      </c>
      <c r="BJ46" s="7">
        <f t="shared" si="19"/>
        <v>0</v>
      </c>
      <c r="BK46" s="7">
        <f t="shared" si="20"/>
        <v>0</v>
      </c>
      <c r="BL46" s="17">
        <f>IF(BF46="","",IF(AND(BI45=BI46,BJ45=BJ46,BK45=BK46),BL45,$BL$9+37))</f>
        <v>35</v>
      </c>
      <c r="BM46" s="22"/>
      <c r="BN46" s="225"/>
    </row>
    <row r="47" spans="1:66" ht="15.6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P47" s="18"/>
      <c r="Q47" s="18"/>
      <c r="R47" s="18"/>
      <c r="S47" s="18"/>
      <c r="T47" s="18"/>
      <c r="U47" s="18"/>
      <c r="V47" s="18"/>
      <c r="W47" s="18"/>
      <c r="X47" s="18"/>
      <c r="Y47" s="383"/>
      <c r="Z47" s="11" t="str">
        <f>+O19</f>
        <v>A10</v>
      </c>
      <c r="AA47" s="27">
        <v>0</v>
      </c>
      <c r="AB47" s="23">
        <f>IF(AA43+AA47=0,0,IF(AA43=AA47,2,IF(AA43&lt;AA47,3,1)))</f>
        <v>1</v>
      </c>
      <c r="AC47" s="12">
        <f>AA47-AA43</f>
        <v>-1</v>
      </c>
      <c r="AD47" s="6"/>
      <c r="AE47" s="11" t="str">
        <f>+R19</f>
        <v>A11</v>
      </c>
      <c r="AF47" s="108">
        <v>0</v>
      </c>
      <c r="AG47" s="23">
        <f>IF(AF43+AF47=0,0,IF(AF43=AF47,2,IF(AF43&lt;AF47,3,1)))</f>
        <v>1</v>
      </c>
      <c r="AH47" s="12">
        <f>AF47-AF43</f>
        <v>-1</v>
      </c>
      <c r="AI47" s="6"/>
      <c r="AJ47" s="11" t="str">
        <f>+U19</f>
        <v>A2</v>
      </c>
      <c r="AK47" s="29">
        <v>0</v>
      </c>
      <c r="AL47" s="23">
        <f>IF(AK43+AK47=0,0,IF(AK43=AK47,2,IF(AK43&lt;AK47,3,1)))</f>
        <v>1</v>
      </c>
      <c r="AM47" s="12">
        <f>AK47-AK43</f>
        <v>-1</v>
      </c>
      <c r="AN47" s="18"/>
      <c r="AO47" s="44">
        <v>39</v>
      </c>
      <c r="AP47" s="5" t="str">
        <f>+Inscrits!F5</f>
        <v>C3</v>
      </c>
      <c r="AQ47" s="247">
        <f t="shared" si="3"/>
        <v>1</v>
      </c>
      <c r="AR47" s="82">
        <f t="shared" si="4"/>
        <v>-5</v>
      </c>
      <c r="AS47" s="184">
        <f t="shared" si="5"/>
        <v>5</v>
      </c>
      <c r="AT47" s="250">
        <f t="shared" si="6"/>
        <v>1</v>
      </c>
      <c r="AU47" s="82">
        <f t="shared" si="7"/>
        <v>-5</v>
      </c>
      <c r="AV47" s="252">
        <f t="shared" si="8"/>
        <v>5</v>
      </c>
      <c r="AW47" s="247">
        <f t="shared" si="9"/>
        <v>3</v>
      </c>
      <c r="AX47" s="82">
        <f t="shared" si="10"/>
        <v>1</v>
      </c>
      <c r="AY47" s="252">
        <f t="shared" si="11"/>
        <v>5</v>
      </c>
      <c r="AZ47" s="247">
        <f t="shared" si="17"/>
        <v>5</v>
      </c>
      <c r="BA47" s="82">
        <f t="shared" si="12"/>
        <v>-9</v>
      </c>
      <c r="BB47" s="252">
        <f t="shared" si="13"/>
        <v>15</v>
      </c>
      <c r="BC47" s="255">
        <f t="shared" si="14"/>
        <v>-9</v>
      </c>
      <c r="BD47" s="7">
        <f t="shared" si="15"/>
        <v>0</v>
      </c>
      <c r="BE47" s="183">
        <f t="shared" si="16"/>
        <v>21.08850047</v>
      </c>
      <c r="BF47" s="82">
        <f>IF(AP47="","",SMALL(BE$9:BE$62,ROWS(AZ$9:AZ47)))</f>
        <v>35.000000249999999</v>
      </c>
      <c r="BH47" s="82" t="str">
        <f>IF(OR(AP47="",AZ47=""),"",INDEX($AP$9:$AP$63,MATCH(BF47,$BE$9:BE$62,0)))</f>
        <v>A17</v>
      </c>
      <c r="BI47" s="7">
        <f t="shared" si="18"/>
        <v>0</v>
      </c>
      <c r="BJ47" s="7">
        <f t="shared" si="19"/>
        <v>0</v>
      </c>
      <c r="BK47" s="7">
        <f t="shared" si="20"/>
        <v>0</v>
      </c>
      <c r="BL47" s="17">
        <f>IF(BF47="","",IF(AND(BI46=BI47,BJ46=BJ47,BK46=BK47),BL46,$BL$9+38))</f>
        <v>35</v>
      </c>
      <c r="BM47" s="22"/>
      <c r="BN47" s="225"/>
    </row>
    <row r="48" spans="1:66" ht="16.2" thickBot="1" x14ac:dyDescent="0.3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P48" s="18"/>
      <c r="Q48" s="18"/>
      <c r="R48" s="18"/>
      <c r="S48" s="18"/>
      <c r="T48" s="18"/>
      <c r="U48" s="18"/>
      <c r="V48" s="18"/>
      <c r="W48" s="18"/>
      <c r="X48" s="18"/>
      <c r="Y48" s="383"/>
      <c r="Z48" s="11" t="str">
        <f>+P19</f>
        <v>B10</v>
      </c>
      <c r="AA48" s="14">
        <f>IF(ISTEXT(Z48),AA47,0)</f>
        <v>0</v>
      </c>
      <c r="AB48" s="14">
        <f>IF(ISTEXT(Z48),AB47,0)</f>
        <v>1</v>
      </c>
      <c r="AC48" s="15">
        <f>IF(ISTEXT(Z48),AC47,0)</f>
        <v>-1</v>
      </c>
      <c r="AD48" s="6"/>
      <c r="AE48" s="11" t="str">
        <f>+S19</f>
        <v>B10</v>
      </c>
      <c r="AF48" s="14">
        <f>IF(ISTEXT(AE48),AF47,0)</f>
        <v>0</v>
      </c>
      <c r="AG48" s="14">
        <f>IF(ISTEXT(AE48),AG47,0)</f>
        <v>1</v>
      </c>
      <c r="AH48" s="15">
        <f>IF(ISTEXT(AE48),AH47,0)</f>
        <v>-1</v>
      </c>
      <c r="AI48" s="6"/>
      <c r="AJ48" s="11" t="str">
        <f>+V19</f>
        <v>B11</v>
      </c>
      <c r="AK48" s="14">
        <f>IF(ISTEXT(AJ48),AK47,0)</f>
        <v>0</v>
      </c>
      <c r="AL48" s="14">
        <f>IF(ISTEXT(AJ48),AL47,0)</f>
        <v>1</v>
      </c>
      <c r="AM48" s="15">
        <f>IF(ISTEXT(AJ48),AM47,0)</f>
        <v>-1</v>
      </c>
      <c r="AN48" s="18"/>
      <c r="AO48" s="44">
        <v>40</v>
      </c>
      <c r="AP48" s="5" t="str">
        <f>+Inscrits!F6</f>
        <v>C4</v>
      </c>
      <c r="AQ48" s="247">
        <f t="shared" si="3"/>
        <v>3</v>
      </c>
      <c r="AR48" s="82">
        <f t="shared" si="4"/>
        <v>5</v>
      </c>
      <c r="AS48" s="184">
        <f t="shared" si="5"/>
        <v>10</v>
      </c>
      <c r="AT48" s="250">
        <f t="shared" si="6"/>
        <v>3</v>
      </c>
      <c r="AU48" s="82">
        <f t="shared" si="7"/>
        <v>7</v>
      </c>
      <c r="AV48" s="252">
        <f t="shared" si="8"/>
        <v>12</v>
      </c>
      <c r="AW48" s="247">
        <f t="shared" si="9"/>
        <v>1</v>
      </c>
      <c r="AX48" s="82">
        <f t="shared" si="10"/>
        <v>-5</v>
      </c>
      <c r="AY48" s="252" t="str">
        <f t="shared" si="11"/>
        <v>0</v>
      </c>
      <c r="AZ48" s="247">
        <f t="shared" si="17"/>
        <v>7</v>
      </c>
      <c r="BA48" s="82">
        <f t="shared" si="12"/>
        <v>7</v>
      </c>
      <c r="BB48" s="252">
        <f t="shared" si="13"/>
        <v>22</v>
      </c>
      <c r="BC48" s="255">
        <f t="shared" si="14"/>
        <v>0</v>
      </c>
      <c r="BD48" s="7">
        <f t="shared" si="15"/>
        <v>7</v>
      </c>
      <c r="BE48" s="183">
        <f t="shared" si="16"/>
        <v>3.9278004800000001</v>
      </c>
      <c r="BF48" s="82">
        <f>IF(AP48="","",SMALL(BE$9:BE$62,ROWS(AZ$9:AZ48)))</f>
        <v>35.00000026</v>
      </c>
      <c r="BH48" s="82" t="str">
        <f>IF(OR(AP48="",AZ48=""),"",INDEX($AP$9:$AP$63,MATCH(BF48,$BE$9:BE$62,0)))</f>
        <v>A18</v>
      </c>
      <c r="BI48" s="7">
        <f t="shared" si="18"/>
        <v>0</v>
      </c>
      <c r="BJ48" s="7">
        <f t="shared" si="19"/>
        <v>0</v>
      </c>
      <c r="BK48" s="7">
        <f t="shared" si="20"/>
        <v>0</v>
      </c>
      <c r="BL48" s="17">
        <f>IF(BF48="","",IF(AND(BI47=BI48,BJ47=BJ48,BK47=BK48),BL47,$BL$9+39))</f>
        <v>35</v>
      </c>
      <c r="BM48" s="22"/>
      <c r="BN48" s="225"/>
    </row>
    <row r="49" spans="1:66" ht="16.2" thickBot="1" x14ac:dyDescent="0.3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P49" s="18"/>
      <c r="Q49" s="18"/>
      <c r="R49" s="18"/>
      <c r="S49" s="18"/>
      <c r="T49" s="18"/>
      <c r="U49" s="18"/>
      <c r="V49" s="18"/>
      <c r="W49" s="18"/>
      <c r="X49" s="18"/>
      <c r="Y49" s="384"/>
      <c r="Z49" s="13" t="str">
        <f>+Q19</f>
        <v>C10</v>
      </c>
      <c r="AA49" s="14">
        <f>IF(ISTEXT(Z49),AA47,0)</f>
        <v>0</v>
      </c>
      <c r="AB49" s="14">
        <f>IF(ISTEXT(Z49),AB47,0)</f>
        <v>1</v>
      </c>
      <c r="AC49" s="15">
        <f>IF(ISTEXT(Z49),AC47,0)</f>
        <v>-1</v>
      </c>
      <c r="AD49" s="6"/>
      <c r="AE49" s="13" t="str">
        <f>+T19</f>
        <v>C9</v>
      </c>
      <c r="AF49" s="14">
        <f>IF(ISTEXT(AE49),AF47,0)</f>
        <v>0</v>
      </c>
      <c r="AG49" s="14">
        <f>IF(ISTEXT(AE49),AG47,0)</f>
        <v>1</v>
      </c>
      <c r="AH49" s="15">
        <f>IF(ISTEXT(AE49),AH47,0)</f>
        <v>-1</v>
      </c>
      <c r="AI49" s="6"/>
      <c r="AJ49" s="13" t="str">
        <f>+W19</f>
        <v>C10</v>
      </c>
      <c r="AK49" s="14">
        <f>IF(ISTEXT(AJ49),AK47,0)</f>
        <v>0</v>
      </c>
      <c r="AL49" s="14">
        <f>IF(ISTEXT(AJ49),AL47,0)</f>
        <v>1</v>
      </c>
      <c r="AM49" s="15">
        <f>IF(ISTEXT(AJ49),AM47,0)</f>
        <v>-1</v>
      </c>
      <c r="AN49" s="18"/>
      <c r="AO49" s="44">
        <v>41</v>
      </c>
      <c r="AP49" s="5" t="str">
        <f>+Inscrits!F7</f>
        <v>C5</v>
      </c>
      <c r="AQ49" s="247">
        <f t="shared" si="3"/>
        <v>3</v>
      </c>
      <c r="AR49" s="82">
        <f t="shared" si="4"/>
        <v>2</v>
      </c>
      <c r="AS49" s="184">
        <f t="shared" si="5"/>
        <v>2</v>
      </c>
      <c r="AT49" s="250">
        <f t="shared" si="6"/>
        <v>1</v>
      </c>
      <c r="AU49" s="82">
        <f t="shared" si="7"/>
        <v>-7</v>
      </c>
      <c r="AV49" s="252">
        <f t="shared" si="8"/>
        <v>5</v>
      </c>
      <c r="AW49" s="247">
        <f t="shared" si="9"/>
        <v>3</v>
      </c>
      <c r="AX49" s="82">
        <f t="shared" si="10"/>
        <v>5</v>
      </c>
      <c r="AY49" s="252">
        <f t="shared" si="11"/>
        <v>14</v>
      </c>
      <c r="AZ49" s="247">
        <f t="shared" si="17"/>
        <v>7</v>
      </c>
      <c r="BA49" s="82">
        <f t="shared" si="12"/>
        <v>0</v>
      </c>
      <c r="BB49" s="252">
        <f t="shared" si="13"/>
        <v>21</v>
      </c>
      <c r="BC49" s="255">
        <f t="shared" si="14"/>
        <v>0</v>
      </c>
      <c r="BD49" s="7">
        <f t="shared" si="15"/>
        <v>0</v>
      </c>
      <c r="BE49" s="183">
        <f t="shared" si="16"/>
        <v>3.9979004900000001</v>
      </c>
      <c r="BF49" s="82">
        <f>IF(AP49="","",SMALL(BE$9:BE$62,ROWS(AZ$9:AZ49)))</f>
        <v>35.000000380000003</v>
      </c>
      <c r="BH49" s="82" t="str">
        <f>IF(OR(AP49="",AZ49=""),"",INDEX($AP$9:$AP$63,MATCH(BF49,$BE$9:BE$62,0)))</f>
        <v>B12</v>
      </c>
      <c r="BI49" s="7">
        <f t="shared" si="18"/>
        <v>0</v>
      </c>
      <c r="BJ49" s="7">
        <f t="shared" si="19"/>
        <v>0</v>
      </c>
      <c r="BK49" s="7">
        <f t="shared" si="20"/>
        <v>0</v>
      </c>
      <c r="BL49" s="17">
        <f>IF(BF49="","",IF(AND(BI48=BI49,BJ48=BJ49,BK48=BK49),BL48,$BL$9+40))</f>
        <v>35</v>
      </c>
      <c r="BM49" s="22"/>
      <c r="BN49" s="225"/>
    </row>
    <row r="50" spans="1:66" ht="16.2" thickBot="1" x14ac:dyDescent="0.3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P50" s="18"/>
      <c r="Q50" s="18"/>
      <c r="R50" s="18"/>
      <c r="S50" s="18"/>
      <c r="T50" s="18"/>
      <c r="U50" s="18"/>
      <c r="V50" s="18"/>
      <c r="W50" s="18"/>
      <c r="X50" s="18"/>
      <c r="Y50" s="20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18"/>
      <c r="AO50" s="44">
        <v>42</v>
      </c>
      <c r="AP50" s="5" t="str">
        <f>+Inscrits!F8</f>
        <v>C6</v>
      </c>
      <c r="AQ50" s="247">
        <f t="shared" si="3"/>
        <v>1</v>
      </c>
      <c r="AR50" s="82">
        <f t="shared" si="4"/>
        <v>-2</v>
      </c>
      <c r="AS50" s="184" t="str">
        <f t="shared" si="5"/>
        <v>0</v>
      </c>
      <c r="AT50" s="250">
        <f t="shared" si="6"/>
        <v>1</v>
      </c>
      <c r="AU50" s="82">
        <f t="shared" si="7"/>
        <v>-5</v>
      </c>
      <c r="AV50" s="252" t="str">
        <f t="shared" si="8"/>
        <v>0</v>
      </c>
      <c r="AW50" s="247">
        <f t="shared" si="9"/>
        <v>3</v>
      </c>
      <c r="AX50" s="82">
        <f t="shared" si="10"/>
        <v>1</v>
      </c>
      <c r="AY50" s="252">
        <f t="shared" si="11"/>
        <v>1</v>
      </c>
      <c r="AZ50" s="247">
        <f t="shared" si="17"/>
        <v>5</v>
      </c>
      <c r="BA50" s="82">
        <f t="shared" si="12"/>
        <v>-6</v>
      </c>
      <c r="BB50" s="252">
        <f t="shared" si="13"/>
        <v>1</v>
      </c>
      <c r="BC50" s="255">
        <f t="shared" si="14"/>
        <v>-6</v>
      </c>
      <c r="BD50" s="7">
        <f t="shared" si="15"/>
        <v>0</v>
      </c>
      <c r="BE50" s="183">
        <f t="shared" si="16"/>
        <v>21.059900499999998</v>
      </c>
      <c r="BF50" s="82">
        <f>IF(AP50="","",SMALL(BE$9:BE$62,ROWS(AZ$9:AZ50)))</f>
        <v>35.000000389999997</v>
      </c>
      <c r="BH50" s="82" t="str">
        <f>IF(OR(AP50="",AZ50=""),"",INDEX($AP$9:$AP$63,MATCH(BF50,$BE$9:BE$62,0)))</f>
        <v>B13</v>
      </c>
      <c r="BI50" s="7">
        <f t="shared" si="18"/>
        <v>0</v>
      </c>
      <c r="BJ50" s="7">
        <f t="shared" si="19"/>
        <v>0</v>
      </c>
      <c r="BK50" s="7">
        <f t="shared" si="20"/>
        <v>0</v>
      </c>
      <c r="BL50" s="17">
        <f>IF(BF50="","",IF(AND(BI49=BI50,BJ49=BJ50,BK49=BK50),BL49,$BL$9+41))</f>
        <v>35</v>
      </c>
      <c r="BM50" s="22"/>
      <c r="BN50" s="225"/>
    </row>
    <row r="51" spans="1:66" ht="15.6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P51" s="18"/>
      <c r="Q51" s="18"/>
      <c r="R51" s="18"/>
      <c r="S51" s="18"/>
      <c r="T51" s="18"/>
      <c r="U51" s="18"/>
      <c r="V51" s="18"/>
      <c r="W51" s="18"/>
      <c r="X51" s="18"/>
      <c r="Y51" s="382">
        <v>6</v>
      </c>
      <c r="Z51" s="9" t="str">
        <f>+O20</f>
        <v>A11</v>
      </c>
      <c r="AA51" s="25">
        <v>1</v>
      </c>
      <c r="AB51" s="38">
        <f>IF(AA51+AA55=0,0,IF(AA51=AA55,2,IF(AA51&gt;AA55,3,1)))</f>
        <v>3</v>
      </c>
      <c r="AC51" s="10">
        <f>AA51-AA55</f>
        <v>1</v>
      </c>
      <c r="AD51" s="6"/>
      <c r="AE51" s="9" t="str">
        <f>+R20</f>
        <v>A12</v>
      </c>
      <c r="AF51" s="107">
        <v>1</v>
      </c>
      <c r="AG51" s="38">
        <f>IF(AF51+AF55=0,0,IF(AF51=AF55,2,IF(AF51&gt;AF55,3,1)))</f>
        <v>3</v>
      </c>
      <c r="AH51" s="10">
        <f>AF51-AF55</f>
        <v>1</v>
      </c>
      <c r="AI51" s="6"/>
      <c r="AJ51" s="9" t="str">
        <f>+U20</f>
        <v>A10</v>
      </c>
      <c r="AK51" s="28">
        <v>1</v>
      </c>
      <c r="AL51" s="38">
        <f>IF(AK51+AK55=0,0,IF(AK51=AK55,2,IF(AK51&gt;AK55,3,1)))</f>
        <v>3</v>
      </c>
      <c r="AM51" s="10">
        <f>AK51-AK55</f>
        <v>1</v>
      </c>
      <c r="AN51" s="18"/>
      <c r="AO51" s="44">
        <v>43</v>
      </c>
      <c r="AP51" s="5" t="str">
        <f>+Inscrits!F9</f>
        <v>C7</v>
      </c>
      <c r="AQ51" s="247">
        <f t="shared" si="3"/>
        <v>3</v>
      </c>
      <c r="AR51" s="82">
        <f t="shared" si="4"/>
        <v>1</v>
      </c>
      <c r="AS51" s="184">
        <f t="shared" si="5"/>
        <v>1</v>
      </c>
      <c r="AT51" s="250">
        <f t="shared" si="6"/>
        <v>3</v>
      </c>
      <c r="AU51" s="82">
        <f t="shared" si="7"/>
        <v>5</v>
      </c>
      <c r="AV51" s="252">
        <f t="shared" si="8"/>
        <v>5</v>
      </c>
      <c r="AW51" s="247">
        <f t="shared" si="9"/>
        <v>1</v>
      </c>
      <c r="AX51" s="82">
        <f t="shared" si="10"/>
        <v>-5</v>
      </c>
      <c r="AY51" s="252">
        <f t="shared" si="11"/>
        <v>9</v>
      </c>
      <c r="AZ51" s="247">
        <f t="shared" si="17"/>
        <v>7</v>
      </c>
      <c r="BA51" s="82">
        <f t="shared" si="12"/>
        <v>1</v>
      </c>
      <c r="BB51" s="252">
        <f t="shared" si="13"/>
        <v>15</v>
      </c>
      <c r="BC51" s="255">
        <f t="shared" si="14"/>
        <v>0</v>
      </c>
      <c r="BD51" s="7">
        <f t="shared" si="15"/>
        <v>1</v>
      </c>
      <c r="BE51" s="183">
        <f t="shared" si="16"/>
        <v>3.9885005100000002</v>
      </c>
      <c r="BF51" s="82">
        <f>IF(AP51="","",SMALL(BE$9:BE$62,ROWS(AZ$9:AZ51)))</f>
        <v>35.000000399999998</v>
      </c>
      <c r="BH51" s="82" t="str">
        <f>IF(OR(AP51="",AZ51=""),"",INDEX($AP$9:$AP$63,MATCH(BF51,$BE$9:BE$62,0)))</f>
        <v>B14</v>
      </c>
      <c r="BI51" s="7">
        <f t="shared" si="18"/>
        <v>0</v>
      </c>
      <c r="BJ51" s="7">
        <f t="shared" si="19"/>
        <v>0</v>
      </c>
      <c r="BK51" s="7">
        <f t="shared" si="20"/>
        <v>0</v>
      </c>
      <c r="BL51" s="17">
        <f>IF(BF51="","",IF(AND(BI50=BI51,BJ50=BJ51,BK50=BK51),BL50,$BL$9+42))</f>
        <v>35</v>
      </c>
      <c r="BM51" s="22"/>
      <c r="BN51" s="225"/>
    </row>
    <row r="52" spans="1:66" ht="16.2" thickBot="1" x14ac:dyDescent="0.3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P52" s="18"/>
      <c r="Q52" s="18"/>
      <c r="R52" s="18"/>
      <c r="S52" s="18"/>
      <c r="T52" s="18"/>
      <c r="U52" s="18"/>
      <c r="V52" s="18"/>
      <c r="W52" s="18"/>
      <c r="X52" s="18"/>
      <c r="Y52" s="383"/>
      <c r="Z52" s="11" t="str">
        <f>+P20</f>
        <v>B11</v>
      </c>
      <c r="AA52" s="14">
        <f>IF(ISTEXT(Z52),AA51,0)</f>
        <v>1</v>
      </c>
      <c r="AB52" s="14">
        <f>IF(ISTEXT(Z52),AB51,0)</f>
        <v>3</v>
      </c>
      <c r="AC52" s="15">
        <f>IF(ISTEXT(Z52),AC51,0)</f>
        <v>1</v>
      </c>
      <c r="AD52" s="6"/>
      <c r="AE52" s="11" t="str">
        <f>+S20</f>
        <v>B11</v>
      </c>
      <c r="AF52" s="14">
        <f>IF(ISTEXT(AE52),AF51,0)</f>
        <v>1</v>
      </c>
      <c r="AG52" s="48">
        <f>IF(ISTEXT(AE52),AG51,0)</f>
        <v>3</v>
      </c>
      <c r="AH52" s="15">
        <f>IF(ISTEXT(AE52),AH51,0)</f>
        <v>1</v>
      </c>
      <c r="AI52" s="6"/>
      <c r="AJ52" s="11" t="str">
        <f>+V20</f>
        <v>B8</v>
      </c>
      <c r="AK52" s="14">
        <f>IF(ISTEXT(AJ52),AK51,0)</f>
        <v>1</v>
      </c>
      <c r="AL52" s="48">
        <f>IF(ISTEXT(AJ52),AL51,0)</f>
        <v>3</v>
      </c>
      <c r="AM52" s="15">
        <f>IF(ISTEXT(AJ52),AM51,0)</f>
        <v>1</v>
      </c>
      <c r="AN52" s="18"/>
      <c r="AO52" s="44">
        <v>44</v>
      </c>
      <c r="AP52" s="5" t="str">
        <f>+Inscrits!F10</f>
        <v>C8</v>
      </c>
      <c r="AQ52" s="247">
        <f t="shared" si="3"/>
        <v>1</v>
      </c>
      <c r="AR52" s="82">
        <f t="shared" si="4"/>
        <v>-1</v>
      </c>
      <c r="AS52" s="184" t="str">
        <f t="shared" si="5"/>
        <v>0</v>
      </c>
      <c r="AT52" s="250">
        <f t="shared" si="6"/>
        <v>1</v>
      </c>
      <c r="AU52" s="82">
        <f t="shared" si="7"/>
        <v>-1</v>
      </c>
      <c r="AV52" s="252" t="str">
        <f t="shared" si="8"/>
        <v>0</v>
      </c>
      <c r="AW52" s="247">
        <f t="shared" si="9"/>
        <v>1</v>
      </c>
      <c r="AX52" s="82">
        <f t="shared" si="10"/>
        <v>-1</v>
      </c>
      <c r="AY52" s="252" t="str">
        <f t="shared" si="11"/>
        <v>0</v>
      </c>
      <c r="AZ52" s="247">
        <f t="shared" si="17"/>
        <v>3</v>
      </c>
      <c r="BA52" s="82">
        <f t="shared" si="12"/>
        <v>-3</v>
      </c>
      <c r="BB52" s="252">
        <f t="shared" si="13"/>
        <v>0</v>
      </c>
      <c r="BC52" s="255">
        <f t="shared" si="14"/>
        <v>-3</v>
      </c>
      <c r="BD52" s="7">
        <f t="shared" si="15"/>
        <v>0</v>
      </c>
      <c r="BE52" s="183">
        <f t="shared" si="16"/>
        <v>32.030000520000002</v>
      </c>
      <c r="BF52" s="82">
        <f>IF(AP52="","",SMALL(BE$9:BE$62,ROWS(AZ$9:AZ52)))</f>
        <v>35.000000409999998</v>
      </c>
      <c r="BH52" s="82" t="str">
        <f>IF(OR(AP52="",AZ52=""),"",INDEX($AP$9:$AP$63,MATCH(BF52,$BE$9:BE$62,0)))</f>
        <v>B15</v>
      </c>
      <c r="BI52" s="7">
        <f t="shared" si="18"/>
        <v>0</v>
      </c>
      <c r="BJ52" s="7">
        <f t="shared" si="19"/>
        <v>0</v>
      </c>
      <c r="BK52" s="7">
        <f t="shared" si="20"/>
        <v>0</v>
      </c>
      <c r="BL52" s="17">
        <f>IF(BF52="","",IF(AND(BI51=BI52,BJ51=BJ52,BK51=BK52),BL51,$BL$9+43))</f>
        <v>35</v>
      </c>
      <c r="BM52" s="22"/>
      <c r="BN52" s="225"/>
    </row>
    <row r="53" spans="1:66" ht="15.6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P53" s="18"/>
      <c r="Q53" s="18"/>
      <c r="R53" s="18"/>
      <c r="S53" s="18"/>
      <c r="T53" s="18"/>
      <c r="U53" s="18"/>
      <c r="V53" s="18"/>
      <c r="W53" s="18"/>
      <c r="X53" s="18"/>
      <c r="Y53" s="383"/>
      <c r="Z53" s="11">
        <f>+Q20</f>
        <v>0</v>
      </c>
      <c r="AA53" s="55">
        <f>IF(ISTEXT(Z53),AA51,0)</f>
        <v>0</v>
      </c>
      <c r="AB53" s="55">
        <f>IF(ISTEXT(Z53),AB51,0)</f>
        <v>0</v>
      </c>
      <c r="AC53" s="56">
        <f>IF(ISTEXT(Z53),AC51,0)</f>
        <v>0</v>
      </c>
      <c r="AD53" s="6"/>
      <c r="AE53" s="11">
        <f>+T20</f>
        <v>0</v>
      </c>
      <c r="AF53" s="55">
        <f>IF(ISTEXT(AE53),AF51,0)</f>
        <v>0</v>
      </c>
      <c r="AG53" s="52">
        <f>IF(ISTEXT(AE53),AG51,0)</f>
        <v>0</v>
      </c>
      <c r="AH53" s="56">
        <f>IF(ISTEXT(AE53),AH51,0)</f>
        <v>0</v>
      </c>
      <c r="AI53" s="6"/>
      <c r="AJ53" s="11">
        <f>+W20</f>
        <v>0</v>
      </c>
      <c r="AK53" s="55">
        <f>IF(ISTEXT(AJ53),AK51,0)</f>
        <v>0</v>
      </c>
      <c r="AL53" s="52">
        <f>IF(ISTEXT(AJ53),AL51,0)</f>
        <v>0</v>
      </c>
      <c r="AM53" s="56">
        <f>IF(ISTEXT(AJ53),AM51,0)</f>
        <v>0</v>
      </c>
      <c r="AN53" s="18"/>
      <c r="AO53" s="44">
        <v>45</v>
      </c>
      <c r="AP53" s="5" t="str">
        <f>+Inscrits!F11</f>
        <v>C9</v>
      </c>
      <c r="AQ53" s="247">
        <f t="shared" si="3"/>
        <v>3</v>
      </c>
      <c r="AR53" s="82">
        <f t="shared" si="4"/>
        <v>1</v>
      </c>
      <c r="AS53" s="184">
        <f t="shared" si="5"/>
        <v>1</v>
      </c>
      <c r="AT53" s="250">
        <f t="shared" si="6"/>
        <v>1</v>
      </c>
      <c r="AU53" s="82">
        <f t="shared" si="7"/>
        <v>-1</v>
      </c>
      <c r="AV53" s="252" t="str">
        <f t="shared" si="8"/>
        <v>0</v>
      </c>
      <c r="AW53" s="247">
        <f t="shared" si="9"/>
        <v>1</v>
      </c>
      <c r="AX53" s="82">
        <f t="shared" si="10"/>
        <v>-1</v>
      </c>
      <c r="AY53" s="252" t="str">
        <f t="shared" si="11"/>
        <v>0</v>
      </c>
      <c r="AZ53" s="247">
        <f t="shared" si="17"/>
        <v>5</v>
      </c>
      <c r="BA53" s="82">
        <f t="shared" si="12"/>
        <v>-1</v>
      </c>
      <c r="BB53" s="252">
        <f t="shared" si="13"/>
        <v>1</v>
      </c>
      <c r="BC53" s="255">
        <f t="shared" si="14"/>
        <v>-1</v>
      </c>
      <c r="BD53" s="7">
        <f t="shared" si="15"/>
        <v>0</v>
      </c>
      <c r="BE53" s="183">
        <f t="shared" si="16"/>
        <v>21.009900530000003</v>
      </c>
      <c r="BF53" s="82">
        <f>IF(AP53="","",SMALL(BE$9:BE$62,ROWS(AZ$9:AZ53)))</f>
        <v>35.000000419999999</v>
      </c>
      <c r="BH53" s="82" t="str">
        <f>IF(OR(AP53="",AZ53=""),"",INDEX($AP$9:$AP$63,MATCH(BF53,$BE$9:BE$62,0)))</f>
        <v>B16</v>
      </c>
      <c r="BI53" s="7">
        <f t="shared" si="18"/>
        <v>0</v>
      </c>
      <c r="BJ53" s="7">
        <f t="shared" si="19"/>
        <v>0</v>
      </c>
      <c r="BK53" s="7">
        <f t="shared" si="20"/>
        <v>0</v>
      </c>
      <c r="BL53" s="17">
        <f>IF(BF53="","",IF(AND(BI52=BI53,BJ52=BJ53,BK52=BK53),BL52,$BL$9+44))</f>
        <v>35</v>
      </c>
      <c r="BM53" s="22"/>
      <c r="BN53" s="225"/>
    </row>
    <row r="54" spans="1:66" ht="15.6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P54" s="18"/>
      <c r="Q54" s="18"/>
      <c r="R54" s="18"/>
      <c r="S54" s="18"/>
      <c r="T54" s="18"/>
      <c r="U54" s="18"/>
      <c r="V54" s="18"/>
      <c r="W54" s="18"/>
      <c r="X54" s="18"/>
      <c r="Y54" s="383"/>
      <c r="Z54" s="24"/>
      <c r="AA54" s="16" t="s">
        <v>5</v>
      </c>
      <c r="AB54" s="16"/>
      <c r="AC54" s="17"/>
      <c r="AD54" s="1"/>
      <c r="AE54" s="24"/>
      <c r="AF54" s="16" t="s">
        <v>5</v>
      </c>
      <c r="AG54" s="16"/>
      <c r="AH54" s="17"/>
      <c r="AI54" s="1"/>
      <c r="AJ54" s="24"/>
      <c r="AK54" s="16" t="s">
        <v>5</v>
      </c>
      <c r="AL54" s="16"/>
      <c r="AM54" s="17"/>
      <c r="AN54" s="18"/>
      <c r="AO54" s="44">
        <v>46</v>
      </c>
      <c r="AP54" s="5" t="str">
        <f>+Inscrits!F12</f>
        <v>C10</v>
      </c>
      <c r="AQ54" s="247">
        <f t="shared" si="3"/>
        <v>1</v>
      </c>
      <c r="AR54" s="82">
        <f t="shared" si="4"/>
        <v>-1</v>
      </c>
      <c r="AS54" s="184" t="str">
        <f t="shared" si="5"/>
        <v>0</v>
      </c>
      <c r="AT54" s="250">
        <f t="shared" si="6"/>
        <v>1</v>
      </c>
      <c r="AU54" s="82">
        <f t="shared" si="7"/>
        <v>-1</v>
      </c>
      <c r="AV54" s="252" t="str">
        <f t="shared" si="8"/>
        <v>0</v>
      </c>
      <c r="AW54" s="247">
        <f t="shared" si="9"/>
        <v>1</v>
      </c>
      <c r="AX54" s="82">
        <f t="shared" si="10"/>
        <v>-1</v>
      </c>
      <c r="AY54" s="252" t="str">
        <f t="shared" si="11"/>
        <v>0</v>
      </c>
      <c r="AZ54" s="247">
        <f t="shared" si="17"/>
        <v>3</v>
      </c>
      <c r="BA54" s="82">
        <f t="shared" si="12"/>
        <v>-3</v>
      </c>
      <c r="BB54" s="252">
        <f t="shared" si="13"/>
        <v>0</v>
      </c>
      <c r="BC54" s="255">
        <f t="shared" si="14"/>
        <v>-3</v>
      </c>
      <c r="BD54" s="7">
        <f t="shared" si="15"/>
        <v>0</v>
      </c>
      <c r="BE54" s="183">
        <f t="shared" si="16"/>
        <v>32.030000540000003</v>
      </c>
      <c r="BF54" s="82">
        <f>IF(AP54="","",SMALL(BE$9:BE$62,ROWS(AZ$9:AZ54)))</f>
        <v>35.00000043</v>
      </c>
      <c r="BH54" s="82" t="str">
        <f>IF(OR(AP54="",AZ54=""),"",INDEX($AP$9:$AP$63,MATCH(BF54,$BE$9:BE$62,0)))</f>
        <v>B17</v>
      </c>
      <c r="BI54" s="7">
        <f t="shared" si="18"/>
        <v>0</v>
      </c>
      <c r="BJ54" s="7">
        <f t="shared" si="19"/>
        <v>0</v>
      </c>
      <c r="BK54" s="7">
        <f t="shared" si="20"/>
        <v>0</v>
      </c>
      <c r="BL54" s="17">
        <f>IF(BF54="","",IF(AND(BI53=BI54,BJ53=BJ54,BK53=BK54),BL53,$BL$9+45))</f>
        <v>35</v>
      </c>
      <c r="BM54" s="22"/>
      <c r="BN54" s="225"/>
    </row>
    <row r="55" spans="1:66" ht="15.6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P55" s="18"/>
      <c r="Q55" s="18"/>
      <c r="R55" s="18"/>
      <c r="S55" s="18"/>
      <c r="T55" s="18"/>
      <c r="U55" s="18"/>
      <c r="V55" s="18"/>
      <c r="W55" s="18"/>
      <c r="X55" s="18"/>
      <c r="Y55" s="383"/>
      <c r="Z55" s="11" t="str">
        <f>+O21</f>
        <v>A12</v>
      </c>
      <c r="AA55" s="27">
        <v>0</v>
      </c>
      <c r="AB55" s="23">
        <f>IF(AA51+AA55=0,0,IF(AA51=AA55,2,IF(AA51&lt;AA55,3,1)))</f>
        <v>1</v>
      </c>
      <c r="AC55" s="12">
        <f>AA55-AA51</f>
        <v>-1</v>
      </c>
      <c r="AD55" s="6"/>
      <c r="AE55" s="11" t="str">
        <f>+R21</f>
        <v>A1</v>
      </c>
      <c r="AF55" s="108">
        <v>0</v>
      </c>
      <c r="AG55" s="23">
        <f>IF(AF51+AF55=0,0,IF(AF51=AF55,2,IF(AF51&lt;AF55,3,1)))</f>
        <v>1</v>
      </c>
      <c r="AH55" s="12">
        <f>AF55-AF51</f>
        <v>-1</v>
      </c>
      <c r="AI55" s="6"/>
      <c r="AJ55" s="11" t="str">
        <f>+U21</f>
        <v>A12</v>
      </c>
      <c r="AK55" s="29">
        <v>0</v>
      </c>
      <c r="AL55" s="23">
        <f>IF(AK51+AK55=0,0,IF(AK51=AK55,2,IF(AK51&lt;AK55,3,1)))</f>
        <v>1</v>
      </c>
      <c r="AM55" s="12">
        <f>AK55-AK51</f>
        <v>-1</v>
      </c>
      <c r="AN55" s="18"/>
      <c r="AO55" s="44">
        <v>47</v>
      </c>
      <c r="AP55" s="5" t="str">
        <f>+Inscrits!F13</f>
        <v>C11</v>
      </c>
      <c r="AQ55" s="247">
        <f t="shared" si="3"/>
        <v>1</v>
      </c>
      <c r="AR55" s="82">
        <f t="shared" si="4"/>
        <v>-1</v>
      </c>
      <c r="AS55" s="184" t="str">
        <f t="shared" si="5"/>
        <v>0</v>
      </c>
      <c r="AT55" s="250">
        <f t="shared" si="6"/>
        <v>3</v>
      </c>
      <c r="AU55" s="82">
        <f t="shared" si="7"/>
        <v>1</v>
      </c>
      <c r="AV55" s="252">
        <f t="shared" si="8"/>
        <v>1</v>
      </c>
      <c r="AW55" s="247">
        <f t="shared" si="9"/>
        <v>3</v>
      </c>
      <c r="AX55" s="82">
        <f t="shared" si="10"/>
        <v>5</v>
      </c>
      <c r="AY55" s="252">
        <f t="shared" si="11"/>
        <v>5</v>
      </c>
      <c r="AZ55" s="247">
        <f t="shared" si="17"/>
        <v>7</v>
      </c>
      <c r="BA55" s="82">
        <f t="shared" si="12"/>
        <v>5</v>
      </c>
      <c r="BB55" s="252">
        <f t="shared" si="13"/>
        <v>6</v>
      </c>
      <c r="BC55" s="255">
        <f t="shared" si="14"/>
        <v>0</v>
      </c>
      <c r="BD55" s="7">
        <f t="shared" si="15"/>
        <v>5</v>
      </c>
      <c r="BE55" s="183">
        <f t="shared" si="16"/>
        <v>3.9494005500000005</v>
      </c>
      <c r="BF55" s="82">
        <f>IF(AP55="","",SMALL(BE$9:BE$62,ROWS(AZ$9:AZ55)))</f>
        <v>35.000000440000001</v>
      </c>
      <c r="BH55" s="82" t="str">
        <f>IF(OR(AP55="",AZ55=""),"",INDEX($AP$9:$AP$63,MATCH(BF55,$BE$9:BE$62,0)))</f>
        <v>B18</v>
      </c>
      <c r="BI55" s="7">
        <f t="shared" si="18"/>
        <v>0</v>
      </c>
      <c r="BJ55" s="7">
        <f t="shared" si="19"/>
        <v>0</v>
      </c>
      <c r="BK55" s="7">
        <f t="shared" si="20"/>
        <v>0</v>
      </c>
      <c r="BL55" s="17">
        <f>IF(BF55="","",IF(AND(BI54=BI55,BJ54=BJ55,BK54=BK55),BL54,$BL$9+46))</f>
        <v>35</v>
      </c>
      <c r="BM55" s="22"/>
      <c r="BN55" s="225"/>
    </row>
    <row r="56" spans="1:66" ht="16.2" thickBot="1" x14ac:dyDescent="0.35">
      <c r="A56" s="20"/>
      <c r="B56" s="18"/>
      <c r="C56" s="18"/>
      <c r="D56" s="18"/>
      <c r="E56" s="18"/>
      <c r="F56" s="18"/>
      <c r="G56" s="18"/>
      <c r="H56" s="18"/>
      <c r="I56" s="20"/>
      <c r="J56" s="20"/>
      <c r="K56" s="20"/>
      <c r="L56" s="20"/>
      <c r="P56" s="18"/>
      <c r="Q56" s="20"/>
      <c r="R56" s="22"/>
      <c r="S56" s="18"/>
      <c r="T56" s="18"/>
      <c r="U56" s="18"/>
      <c r="V56" s="18"/>
      <c r="W56" s="18"/>
      <c r="X56" s="18"/>
      <c r="Y56" s="383"/>
      <c r="Z56" s="11" t="str">
        <f>+P21</f>
        <v>C11</v>
      </c>
      <c r="AA56" s="14">
        <f>IF(ISTEXT(Z56),AA55,0)</f>
        <v>0</v>
      </c>
      <c r="AB56" s="14">
        <f>IF(ISTEXT(Z56),AB55,0)</f>
        <v>1</v>
      </c>
      <c r="AC56" s="15">
        <f>IF(ISTEXT(Z56),AC55,0)</f>
        <v>-1</v>
      </c>
      <c r="AD56" s="6"/>
      <c r="AE56" s="11" t="str">
        <f>+S21</f>
        <v>C10</v>
      </c>
      <c r="AF56" s="14">
        <f>IF(ISTEXT(AE56),AF55,0)</f>
        <v>0</v>
      </c>
      <c r="AG56" s="14">
        <f>IF(ISTEXT(AE56),AG55,0)</f>
        <v>1</v>
      </c>
      <c r="AH56" s="15">
        <f>IF(ISTEXT(AE56),AH55,0)</f>
        <v>-1</v>
      </c>
      <c r="AI56" s="6"/>
      <c r="AJ56" s="11" t="str">
        <f>+V21</f>
        <v>C9</v>
      </c>
      <c r="AK56" s="14">
        <f>IF(ISTEXT(AJ56),AK55,0)</f>
        <v>0</v>
      </c>
      <c r="AL56" s="14">
        <f>IF(ISTEXT(AJ56),AL55,0)</f>
        <v>1</v>
      </c>
      <c r="AM56" s="15">
        <f>IF(ISTEXT(AJ56),AM55,0)</f>
        <v>-1</v>
      </c>
      <c r="AN56" s="18"/>
      <c r="AO56" s="44">
        <v>48</v>
      </c>
      <c r="AP56" s="5" t="str">
        <f>+Inscrits!F14</f>
        <v>C12</v>
      </c>
      <c r="AQ56" s="247" t="str">
        <f t="shared" si="3"/>
        <v xml:space="preserve"> </v>
      </c>
      <c r="AR56" s="82" t="str">
        <f t="shared" si="4"/>
        <v xml:space="preserve"> </v>
      </c>
      <c r="AS56" s="184" t="str">
        <f t="shared" si="5"/>
        <v xml:space="preserve"> </v>
      </c>
      <c r="AT56" s="250" t="str">
        <f t="shared" si="6"/>
        <v xml:space="preserve"> </v>
      </c>
      <c r="AU56" s="82" t="str">
        <f t="shared" si="7"/>
        <v xml:space="preserve"> </v>
      </c>
      <c r="AV56" s="252" t="str">
        <f t="shared" si="8"/>
        <v xml:space="preserve"> </v>
      </c>
      <c r="AW56" s="247" t="str">
        <f t="shared" si="9"/>
        <v xml:space="preserve"> </v>
      </c>
      <c r="AX56" s="82" t="str">
        <f t="shared" si="10"/>
        <v xml:space="preserve"> </v>
      </c>
      <c r="AY56" s="252" t="str">
        <f t="shared" si="11"/>
        <v xml:space="preserve"> </v>
      </c>
      <c r="AZ56" s="247">
        <f t="shared" si="17"/>
        <v>0</v>
      </c>
      <c r="BA56" s="82">
        <f t="shared" si="12"/>
        <v>0</v>
      </c>
      <c r="BB56" s="252">
        <f t="shared" si="13"/>
        <v>0</v>
      </c>
      <c r="BC56" s="255">
        <f t="shared" si="14"/>
        <v>0</v>
      </c>
      <c r="BD56" s="7">
        <f t="shared" si="15"/>
        <v>0</v>
      </c>
      <c r="BE56" s="183">
        <f t="shared" si="16"/>
        <v>35.000000559999997</v>
      </c>
      <c r="BF56" s="82">
        <f>IF(AP56="","",SMALL(BE$9:BE$62,ROWS(AZ$9:AZ56)))</f>
        <v>35.000000559999997</v>
      </c>
      <c r="BH56" s="82" t="str">
        <f>IF(OR(AP56="",AZ56=""),"",INDEX($AP$9:$AP$63,MATCH(BF56,$BE$9:BE$62,0)))</f>
        <v>C12</v>
      </c>
      <c r="BI56" s="7">
        <f t="shared" si="18"/>
        <v>0</v>
      </c>
      <c r="BJ56" s="7">
        <f t="shared" si="19"/>
        <v>0</v>
      </c>
      <c r="BK56" s="7">
        <f t="shared" si="20"/>
        <v>0</v>
      </c>
      <c r="BL56" s="17">
        <f>IF(BF56="","",IF(AND(BI55=BI56,BJ55=BJ56,BK55=BK56),BL55,$BL$9+47))</f>
        <v>35</v>
      </c>
      <c r="BM56" s="22"/>
      <c r="BN56" s="225"/>
    </row>
    <row r="57" spans="1:66" ht="16.2" thickBot="1" x14ac:dyDescent="0.35">
      <c r="A57" s="20"/>
      <c r="B57" s="18"/>
      <c r="C57" s="18"/>
      <c r="D57" s="18"/>
      <c r="E57" s="18"/>
      <c r="F57" s="18"/>
      <c r="G57" s="18"/>
      <c r="H57" s="18"/>
      <c r="I57" s="20"/>
      <c r="J57" s="20"/>
      <c r="K57" s="20"/>
      <c r="L57" s="20"/>
      <c r="P57" s="18"/>
      <c r="Q57" s="20"/>
      <c r="R57" s="22"/>
      <c r="S57" s="18"/>
      <c r="T57" s="18"/>
      <c r="U57" s="18"/>
      <c r="V57" s="18"/>
      <c r="W57" s="18"/>
      <c r="X57" s="18"/>
      <c r="Y57" s="384"/>
      <c r="Z57" s="13">
        <f>+Q21</f>
        <v>0</v>
      </c>
      <c r="AA57" s="14">
        <f>IF(ISTEXT(Z57),AA55,0)</f>
        <v>0</v>
      </c>
      <c r="AB57" s="14">
        <f>IF(ISTEXT(Z57),AB55,0)</f>
        <v>0</v>
      </c>
      <c r="AC57" s="15">
        <f>IF(ISTEXT(Z57),AC55,0)</f>
        <v>0</v>
      </c>
      <c r="AD57" s="6"/>
      <c r="AE57" s="13">
        <f>+T21</f>
        <v>0</v>
      </c>
      <c r="AF57" s="14">
        <f>IF(ISTEXT(AE57),AF55,0)</f>
        <v>0</v>
      </c>
      <c r="AG57" s="14">
        <f>IF(ISTEXT(AE57),AG55,0)</f>
        <v>0</v>
      </c>
      <c r="AH57" s="15">
        <f>IF(ISTEXT(AE57),AH55,0)</f>
        <v>0</v>
      </c>
      <c r="AI57" s="6"/>
      <c r="AJ57" s="13">
        <f>+W21</f>
        <v>0</v>
      </c>
      <c r="AK57" s="14">
        <f>IF(ISTEXT(AJ57),AK55,0)</f>
        <v>0</v>
      </c>
      <c r="AL57" s="14">
        <f>IF(ISTEXT(AJ57),AL55,0)</f>
        <v>0</v>
      </c>
      <c r="AM57" s="15">
        <f>IF(ISTEXT(AJ57),AM55,0)</f>
        <v>0</v>
      </c>
      <c r="AN57" s="18"/>
      <c r="AO57" s="44">
        <v>49</v>
      </c>
      <c r="AP57" s="5" t="str">
        <f>+Inscrits!F15</f>
        <v>C13</v>
      </c>
      <c r="AQ57" s="247" t="str">
        <f t="shared" si="3"/>
        <v xml:space="preserve"> </v>
      </c>
      <c r="AR57" s="82" t="str">
        <f t="shared" si="4"/>
        <v xml:space="preserve"> </v>
      </c>
      <c r="AS57" s="184" t="str">
        <f t="shared" si="5"/>
        <v xml:space="preserve"> </v>
      </c>
      <c r="AT57" s="250" t="str">
        <f t="shared" si="6"/>
        <v xml:space="preserve"> </v>
      </c>
      <c r="AU57" s="82" t="str">
        <f t="shared" si="7"/>
        <v xml:space="preserve"> </v>
      </c>
      <c r="AV57" s="252" t="str">
        <f t="shared" si="8"/>
        <v xml:space="preserve"> </v>
      </c>
      <c r="AW57" s="247" t="str">
        <f t="shared" si="9"/>
        <v xml:space="preserve"> </v>
      </c>
      <c r="AX57" s="82" t="str">
        <f t="shared" si="10"/>
        <v xml:space="preserve"> </v>
      </c>
      <c r="AY57" s="252" t="str">
        <f t="shared" si="11"/>
        <v xml:space="preserve"> </v>
      </c>
      <c r="AZ57" s="247">
        <f t="shared" si="17"/>
        <v>0</v>
      </c>
      <c r="BA57" s="82">
        <f t="shared" si="12"/>
        <v>0</v>
      </c>
      <c r="BB57" s="252">
        <f t="shared" si="13"/>
        <v>0</v>
      </c>
      <c r="BC57" s="255">
        <f t="shared" si="14"/>
        <v>0</v>
      </c>
      <c r="BD57" s="7">
        <f t="shared" si="15"/>
        <v>0</v>
      </c>
      <c r="BE57" s="183">
        <f t="shared" si="16"/>
        <v>35.000000569999997</v>
      </c>
      <c r="BF57" s="82">
        <f>IF(AP57="","",SMALL(BE$9:BE$62,ROWS(AZ$9:AZ57)))</f>
        <v>35.000000569999997</v>
      </c>
      <c r="BH57" s="82" t="str">
        <f>IF(OR(AP57="",AZ57=""),"",INDEX($AP$9:$AP$63,MATCH(BF57,$BE$9:BE$62,0)))</f>
        <v>C13</v>
      </c>
      <c r="BI57" s="7">
        <f t="shared" si="18"/>
        <v>0</v>
      </c>
      <c r="BJ57" s="7">
        <f t="shared" si="19"/>
        <v>0</v>
      </c>
      <c r="BK57" s="7">
        <f t="shared" si="20"/>
        <v>0</v>
      </c>
      <c r="BL57" s="17">
        <f>IF(BF57="","",IF(AND(BI56=BI57,BJ56=BJ57,BK56=BK57),BL56,$BL$9+48))</f>
        <v>35</v>
      </c>
      <c r="BM57" s="22"/>
      <c r="BN57" s="225"/>
    </row>
    <row r="58" spans="1:66" ht="16.2" thickBot="1" x14ac:dyDescent="0.35">
      <c r="A58" s="20"/>
      <c r="B58" s="18"/>
      <c r="C58" s="18"/>
      <c r="D58" s="18"/>
      <c r="E58" s="18"/>
      <c r="F58" s="20"/>
      <c r="G58" s="20"/>
      <c r="H58" s="18"/>
      <c r="I58" s="20"/>
      <c r="J58" s="20"/>
      <c r="K58" s="20"/>
      <c r="L58" s="20"/>
      <c r="P58" s="18"/>
      <c r="Q58" s="20"/>
      <c r="R58" s="22"/>
      <c r="S58" s="18"/>
      <c r="T58" s="18"/>
      <c r="U58" s="18"/>
      <c r="V58" s="18"/>
      <c r="W58" s="18"/>
      <c r="X58" s="18"/>
      <c r="Y58" s="20"/>
      <c r="Z58" s="58"/>
      <c r="AA58" s="58"/>
      <c r="AB58" s="58"/>
      <c r="AC58" s="58"/>
      <c r="AD58" s="59"/>
      <c r="AE58" s="59"/>
      <c r="AF58" s="59"/>
      <c r="AG58" s="58"/>
      <c r="AH58" s="58"/>
      <c r="AI58" s="59"/>
      <c r="AJ58" s="59"/>
      <c r="AK58" s="58"/>
      <c r="AL58" s="58"/>
      <c r="AM58" s="58"/>
      <c r="AN58" s="18"/>
      <c r="AO58" s="44">
        <v>50</v>
      </c>
      <c r="AP58" s="5" t="str">
        <f>+Inscrits!F16</f>
        <v>C14</v>
      </c>
      <c r="AQ58" s="247" t="str">
        <f t="shared" si="3"/>
        <v xml:space="preserve"> </v>
      </c>
      <c r="AR58" s="82" t="str">
        <f t="shared" si="4"/>
        <v xml:space="preserve"> </v>
      </c>
      <c r="AS58" s="184" t="str">
        <f t="shared" si="5"/>
        <v xml:space="preserve"> </v>
      </c>
      <c r="AT58" s="250" t="str">
        <f t="shared" si="6"/>
        <v xml:space="preserve"> </v>
      </c>
      <c r="AU58" s="82" t="str">
        <f t="shared" si="7"/>
        <v xml:space="preserve"> </v>
      </c>
      <c r="AV58" s="252" t="str">
        <f t="shared" si="8"/>
        <v xml:space="preserve"> </v>
      </c>
      <c r="AW58" s="247" t="str">
        <f t="shared" si="9"/>
        <v xml:space="preserve"> </v>
      </c>
      <c r="AX58" s="82" t="str">
        <f t="shared" si="10"/>
        <v xml:space="preserve"> </v>
      </c>
      <c r="AY58" s="252" t="str">
        <f t="shared" si="11"/>
        <v xml:space="preserve"> </v>
      </c>
      <c r="AZ58" s="247">
        <f t="shared" si="17"/>
        <v>0</v>
      </c>
      <c r="BA58" s="82">
        <f t="shared" si="12"/>
        <v>0</v>
      </c>
      <c r="BB58" s="252">
        <f t="shared" si="13"/>
        <v>0</v>
      </c>
      <c r="BC58" s="255">
        <f t="shared" si="14"/>
        <v>0</v>
      </c>
      <c r="BD58" s="7">
        <f t="shared" si="15"/>
        <v>0</v>
      </c>
      <c r="BE58" s="183">
        <f t="shared" si="16"/>
        <v>35.000000579999998</v>
      </c>
      <c r="BF58" s="82">
        <f>IF(AP58="","",SMALL(BE$9:BE$62,ROWS(AZ$9:AZ58)))</f>
        <v>35.000000579999998</v>
      </c>
      <c r="BH58" s="82" t="str">
        <f>IF(OR(AP58="",AZ58=""),"",INDEX($AP$9:$AP$63,MATCH(BF58,$BE$9:BE$62,0)))</f>
        <v>C14</v>
      </c>
      <c r="BI58" s="7">
        <f t="shared" si="18"/>
        <v>0</v>
      </c>
      <c r="BJ58" s="7">
        <f t="shared" si="19"/>
        <v>0</v>
      </c>
      <c r="BK58" s="7">
        <f t="shared" si="20"/>
        <v>0</v>
      </c>
      <c r="BL58" s="17">
        <f>IF(BF58="","",IF(AND(BI57=BI58,BJ57=BJ58,BK57=BK58),BL57,$BL$9+49))</f>
        <v>35</v>
      </c>
      <c r="BM58" s="22"/>
      <c r="BN58" s="225"/>
    </row>
    <row r="59" spans="1:66" ht="15.6" x14ac:dyDescent="0.3">
      <c r="A59" s="20"/>
      <c r="B59" s="18"/>
      <c r="C59" s="18"/>
      <c r="D59" s="18"/>
      <c r="E59" s="18"/>
      <c r="F59" s="20"/>
      <c r="G59" s="20"/>
      <c r="H59" s="18"/>
      <c r="I59" s="20"/>
      <c r="J59" s="20"/>
      <c r="K59" s="20"/>
      <c r="L59" s="20"/>
      <c r="P59" s="18"/>
      <c r="Q59" s="20"/>
      <c r="R59" s="22"/>
      <c r="S59" s="18"/>
      <c r="T59" s="18"/>
      <c r="U59" s="18"/>
      <c r="V59" s="18"/>
      <c r="W59" s="18"/>
      <c r="X59" s="18"/>
      <c r="Y59" s="382">
        <v>7</v>
      </c>
      <c r="Z59" s="9">
        <f>+O22</f>
        <v>0</v>
      </c>
      <c r="AA59" s="25">
        <v>0</v>
      </c>
      <c r="AB59" s="38">
        <f>IF(AA59+AA63=0,0,IF(AA59=AA63,2,IF(AA59&gt;AA63,3,1)))</f>
        <v>0</v>
      </c>
      <c r="AC59" s="10">
        <f>AA59-AA63</f>
        <v>0</v>
      </c>
      <c r="AD59" s="6"/>
      <c r="AE59" s="9">
        <f>+R22</f>
        <v>0</v>
      </c>
      <c r="AF59" s="107">
        <v>0</v>
      </c>
      <c r="AG59" s="38">
        <f>IF(AF59+AF63=0,0,IF(AF59=AF63,2,IF(AF59&gt;AF63,3,1)))</f>
        <v>0</v>
      </c>
      <c r="AH59" s="10">
        <f>AF59-AF63</f>
        <v>0</v>
      </c>
      <c r="AI59" s="6"/>
      <c r="AJ59" s="9">
        <f>+U22</f>
        <v>0</v>
      </c>
      <c r="AK59" s="28">
        <v>0</v>
      </c>
      <c r="AL59" s="38">
        <f>IF(AK59+AK63=0,0,IF(AK59=AK63,2,IF(AK59&gt;AK63,3,1)))</f>
        <v>0</v>
      </c>
      <c r="AM59" s="10">
        <f>AK59-AK63</f>
        <v>0</v>
      </c>
      <c r="AN59" s="18"/>
      <c r="AO59" s="44">
        <v>51</v>
      </c>
      <c r="AP59" s="5" t="str">
        <f>+Inscrits!F17</f>
        <v>C15</v>
      </c>
      <c r="AQ59" s="247" t="str">
        <f t="shared" si="3"/>
        <v xml:space="preserve"> </v>
      </c>
      <c r="AR59" s="82" t="str">
        <f t="shared" si="4"/>
        <v xml:space="preserve"> </v>
      </c>
      <c r="AS59" s="184" t="str">
        <f t="shared" si="5"/>
        <v xml:space="preserve"> </v>
      </c>
      <c r="AT59" s="250" t="str">
        <f t="shared" si="6"/>
        <v xml:space="preserve"> </v>
      </c>
      <c r="AU59" s="82" t="str">
        <f t="shared" si="7"/>
        <v xml:space="preserve"> </v>
      </c>
      <c r="AV59" s="252" t="str">
        <f t="shared" si="8"/>
        <v xml:space="preserve"> </v>
      </c>
      <c r="AW59" s="247" t="str">
        <f t="shared" si="9"/>
        <v xml:space="preserve"> </v>
      </c>
      <c r="AX59" s="82" t="str">
        <f t="shared" si="10"/>
        <v xml:space="preserve"> </v>
      </c>
      <c r="AY59" s="252" t="str">
        <f t="shared" si="11"/>
        <v xml:space="preserve"> </v>
      </c>
      <c r="AZ59" s="247">
        <f t="shared" si="17"/>
        <v>0</v>
      </c>
      <c r="BA59" s="82">
        <f t="shared" si="12"/>
        <v>0</v>
      </c>
      <c r="BB59" s="252">
        <f t="shared" si="13"/>
        <v>0</v>
      </c>
      <c r="BC59" s="255">
        <f t="shared" si="14"/>
        <v>0</v>
      </c>
      <c r="BD59" s="7">
        <f t="shared" si="15"/>
        <v>0</v>
      </c>
      <c r="BE59" s="183">
        <f t="shared" si="16"/>
        <v>35.000000589999999</v>
      </c>
      <c r="BF59" s="82">
        <f>IF(AP59="","",SMALL(BE$9:BE$62,ROWS(AZ$9:AZ59)))</f>
        <v>35.000000589999999</v>
      </c>
      <c r="BH59" s="82" t="str">
        <f>IF(OR(AP59="",AZ59=""),"",INDEX($AP$9:$AP$63,MATCH(BF59,$BE$9:BE$62,0)))</f>
        <v>C15</v>
      </c>
      <c r="BI59" s="7">
        <f t="shared" si="18"/>
        <v>0</v>
      </c>
      <c r="BJ59" s="7">
        <f t="shared" si="19"/>
        <v>0</v>
      </c>
      <c r="BK59" s="7">
        <f t="shared" si="20"/>
        <v>0</v>
      </c>
      <c r="BL59" s="17">
        <f>IF(BF59="","",IF(AND(BI58=BI59,BJ58=BJ59,BK58=BK59),BL58,$BL$9+50))</f>
        <v>35</v>
      </c>
      <c r="BM59" s="22"/>
      <c r="BN59" s="225"/>
    </row>
    <row r="60" spans="1:66" ht="16.2" thickBot="1" x14ac:dyDescent="0.35">
      <c r="A60" s="20"/>
      <c r="B60" s="22"/>
      <c r="C60" s="22"/>
      <c r="D60" s="20"/>
      <c r="E60" s="20"/>
      <c r="F60" s="20"/>
      <c r="G60" s="20"/>
      <c r="H60" s="18"/>
      <c r="I60" s="20"/>
      <c r="J60" s="20"/>
      <c r="K60" s="20"/>
      <c r="L60" s="20"/>
      <c r="P60" s="18"/>
      <c r="Q60" s="20"/>
      <c r="R60" s="22"/>
      <c r="S60" s="22"/>
      <c r="T60" s="22"/>
      <c r="U60" s="18"/>
      <c r="V60" s="18"/>
      <c r="W60" s="18"/>
      <c r="X60" s="18"/>
      <c r="Y60" s="383"/>
      <c r="Z60" s="11">
        <f>+P22</f>
        <v>0</v>
      </c>
      <c r="AA60" s="14">
        <f>IF(ISTEXT(Z60),AA59,0)</f>
        <v>0</v>
      </c>
      <c r="AB60" s="14">
        <f>IF(ISTEXT(Z60),AB59,0)</f>
        <v>0</v>
      </c>
      <c r="AC60" s="15">
        <f>IF(ISTEXT(Z60),AC59,0)</f>
        <v>0</v>
      </c>
      <c r="AD60" s="6"/>
      <c r="AE60" s="11">
        <f>+S22</f>
        <v>0</v>
      </c>
      <c r="AF60" s="14">
        <f>IF(ISTEXT(AE60),AF59,0)</f>
        <v>0</v>
      </c>
      <c r="AG60" s="48">
        <f>IF(ISTEXT(AE60),AG59,0)</f>
        <v>0</v>
      </c>
      <c r="AH60" s="15">
        <f>IF(ISTEXT(AE60),AH59,0)</f>
        <v>0</v>
      </c>
      <c r="AI60" s="6"/>
      <c r="AJ60" s="11">
        <f>+V22</f>
        <v>0</v>
      </c>
      <c r="AK60" s="14">
        <f>IF(ISTEXT(AJ60),AK59,0)</f>
        <v>0</v>
      </c>
      <c r="AL60" s="48">
        <f>IF(ISTEXT(AJ60),AL59,0)</f>
        <v>0</v>
      </c>
      <c r="AM60" s="15">
        <f>IF(ISTEXT(AJ60),AM59,0)</f>
        <v>0</v>
      </c>
      <c r="AN60" s="18"/>
      <c r="AO60" s="44">
        <v>52</v>
      </c>
      <c r="AP60" s="5" t="str">
        <f>+Inscrits!F18</f>
        <v>C16</v>
      </c>
      <c r="AQ60" s="247" t="str">
        <f t="shared" si="3"/>
        <v xml:space="preserve"> </v>
      </c>
      <c r="AR60" s="82" t="str">
        <f t="shared" si="4"/>
        <v xml:space="preserve"> </v>
      </c>
      <c r="AS60" s="184" t="str">
        <f t="shared" si="5"/>
        <v xml:space="preserve"> </v>
      </c>
      <c r="AT60" s="250" t="str">
        <f t="shared" si="6"/>
        <v xml:space="preserve"> </v>
      </c>
      <c r="AU60" s="82" t="str">
        <f t="shared" si="7"/>
        <v xml:space="preserve"> </v>
      </c>
      <c r="AV60" s="252" t="str">
        <f t="shared" si="8"/>
        <v xml:space="preserve"> </v>
      </c>
      <c r="AW60" s="247" t="str">
        <f t="shared" si="9"/>
        <v xml:space="preserve"> </v>
      </c>
      <c r="AX60" s="82" t="str">
        <f t="shared" si="10"/>
        <v xml:space="preserve"> </v>
      </c>
      <c r="AY60" s="252" t="str">
        <f t="shared" si="11"/>
        <v xml:space="preserve"> </v>
      </c>
      <c r="AZ60" s="247">
        <f t="shared" si="17"/>
        <v>0</v>
      </c>
      <c r="BA60" s="82">
        <f t="shared" si="12"/>
        <v>0</v>
      </c>
      <c r="BB60" s="252">
        <f t="shared" si="13"/>
        <v>0</v>
      </c>
      <c r="BC60" s="255">
        <f t="shared" si="14"/>
        <v>0</v>
      </c>
      <c r="BD60" s="7">
        <f t="shared" si="15"/>
        <v>0</v>
      </c>
      <c r="BE60" s="183">
        <f t="shared" si="16"/>
        <v>35.0000006</v>
      </c>
      <c r="BF60" s="82">
        <f>IF(AP60="","",SMALL(BE$9:BE$62,ROWS(AZ$9:AZ60)))</f>
        <v>35.0000006</v>
      </c>
      <c r="BH60" s="82" t="str">
        <f>IF(OR(AP60="",AZ60=""),"",INDEX($AP$9:$AP$63,MATCH(BF60,$BE$9:BE$62,0)))</f>
        <v>C16</v>
      </c>
      <c r="BI60" s="7">
        <f t="shared" si="18"/>
        <v>0</v>
      </c>
      <c r="BJ60" s="7">
        <f t="shared" si="19"/>
        <v>0</v>
      </c>
      <c r="BK60" s="7">
        <f t="shared" si="20"/>
        <v>0</v>
      </c>
      <c r="BL60" s="17">
        <f>IF(BF60="","",IF(AND(BI59=BI60,BJ59=BJ60,BK59=BK60),BL59,$BL$9+51))</f>
        <v>35</v>
      </c>
      <c r="BM60" s="22"/>
      <c r="BN60" s="225"/>
    </row>
    <row r="61" spans="1:66" ht="15.6" x14ac:dyDescent="0.3">
      <c r="A61" s="20"/>
      <c r="B61" s="22"/>
      <c r="C61" s="22"/>
      <c r="D61" s="20"/>
      <c r="E61" s="20"/>
      <c r="F61" s="20"/>
      <c r="G61" s="20"/>
      <c r="H61" s="18"/>
      <c r="I61" s="20"/>
      <c r="J61" s="20"/>
      <c r="K61" s="20"/>
      <c r="L61" s="20"/>
      <c r="P61" s="18"/>
      <c r="Q61" s="20"/>
      <c r="R61" s="22"/>
      <c r="S61" s="22"/>
      <c r="T61" s="22"/>
      <c r="U61" s="22"/>
      <c r="V61" s="18"/>
      <c r="W61" s="18"/>
      <c r="X61" s="18"/>
      <c r="Y61" s="383"/>
      <c r="Z61" s="11">
        <f>+Q22</f>
        <v>0</v>
      </c>
      <c r="AA61" s="55">
        <f>IF(ISTEXT(Z61),AA59,0)</f>
        <v>0</v>
      </c>
      <c r="AB61" s="55">
        <f>IF(ISTEXT(Z61),AB59,0)</f>
        <v>0</v>
      </c>
      <c r="AC61" s="56">
        <f>IF(ISTEXT(Z61),AC59,0)</f>
        <v>0</v>
      </c>
      <c r="AD61" s="6"/>
      <c r="AE61" s="11">
        <f>+T22</f>
        <v>0</v>
      </c>
      <c r="AF61" s="55">
        <f>IF(ISTEXT(AE61),AF59,0)</f>
        <v>0</v>
      </c>
      <c r="AG61" s="52">
        <f>IF(ISTEXT(AE61),AG59,0)</f>
        <v>0</v>
      </c>
      <c r="AH61" s="56">
        <f>IF(ISTEXT(AE61),AH59,0)</f>
        <v>0</v>
      </c>
      <c r="AI61" s="6"/>
      <c r="AJ61" s="11">
        <f>+W22</f>
        <v>0</v>
      </c>
      <c r="AK61" s="55">
        <f>IF(ISTEXT(AJ61),AK59,0)</f>
        <v>0</v>
      </c>
      <c r="AL61" s="52">
        <f>IF(ISTEXT(AJ61),AL59,0)</f>
        <v>0</v>
      </c>
      <c r="AM61" s="56">
        <f>IF(ISTEXT(AJ61),AM59,0)</f>
        <v>0</v>
      </c>
      <c r="AN61" s="18"/>
      <c r="AO61" s="44">
        <v>53</v>
      </c>
      <c r="AP61" s="5" t="str">
        <f>+Inscrits!F19</f>
        <v>C17</v>
      </c>
      <c r="AQ61" s="247" t="str">
        <f t="shared" si="3"/>
        <v xml:space="preserve"> </v>
      </c>
      <c r="AR61" s="82" t="str">
        <f t="shared" si="4"/>
        <v xml:space="preserve"> </v>
      </c>
      <c r="AS61" s="184" t="str">
        <f t="shared" si="5"/>
        <v xml:space="preserve"> </v>
      </c>
      <c r="AT61" s="250" t="str">
        <f t="shared" si="6"/>
        <v xml:space="preserve"> </v>
      </c>
      <c r="AU61" s="82" t="str">
        <f t="shared" si="7"/>
        <v xml:space="preserve"> </v>
      </c>
      <c r="AV61" s="252" t="str">
        <f t="shared" si="8"/>
        <v xml:space="preserve"> </v>
      </c>
      <c r="AW61" s="247" t="str">
        <f t="shared" si="9"/>
        <v xml:space="preserve"> </v>
      </c>
      <c r="AX61" s="82" t="str">
        <f t="shared" si="10"/>
        <v xml:space="preserve"> </v>
      </c>
      <c r="AY61" s="252" t="str">
        <f t="shared" si="11"/>
        <v xml:space="preserve"> </v>
      </c>
      <c r="AZ61" s="247">
        <f t="shared" si="17"/>
        <v>0</v>
      </c>
      <c r="BA61" s="82">
        <f t="shared" si="12"/>
        <v>0</v>
      </c>
      <c r="BB61" s="252">
        <f t="shared" si="13"/>
        <v>0</v>
      </c>
      <c r="BC61" s="255">
        <f t="shared" si="14"/>
        <v>0</v>
      </c>
      <c r="BD61" s="7">
        <f t="shared" si="15"/>
        <v>0</v>
      </c>
      <c r="BE61" s="183">
        <f t="shared" si="16"/>
        <v>35.000000610000001</v>
      </c>
      <c r="BF61" s="82">
        <f>IF(AP61="","",SMALL(BE$9:BE$62,ROWS(AZ$9:AZ61)))</f>
        <v>35.000000610000001</v>
      </c>
      <c r="BH61" s="82" t="str">
        <f>IF(OR(AP61="",AZ61=""),"",INDEX($AP$9:$AP$63,MATCH(BF61,$BE$9:BE$62,0)))</f>
        <v>C17</v>
      </c>
      <c r="BI61" s="7">
        <f t="shared" si="18"/>
        <v>0</v>
      </c>
      <c r="BJ61" s="7">
        <f t="shared" si="19"/>
        <v>0</v>
      </c>
      <c r="BK61" s="7">
        <f t="shared" si="20"/>
        <v>0</v>
      </c>
      <c r="BL61" s="17">
        <f>IF(BF61="","",IF(AND(BI60=BI61,BJ60=BJ61,BK60=BK61),BL60,$BL$9+52))</f>
        <v>35</v>
      </c>
      <c r="BM61" s="22"/>
      <c r="BN61" s="225"/>
    </row>
    <row r="62" spans="1:66" ht="16.2" thickBot="1" x14ac:dyDescent="0.35">
      <c r="A62" s="20"/>
      <c r="B62" s="22"/>
      <c r="C62" s="22"/>
      <c r="D62" s="20"/>
      <c r="E62" s="20"/>
      <c r="F62" s="20"/>
      <c r="G62" s="20"/>
      <c r="H62" s="18"/>
      <c r="I62" s="20"/>
      <c r="J62" s="20"/>
      <c r="K62" s="20"/>
      <c r="L62" s="20"/>
      <c r="P62" s="18"/>
      <c r="Q62" s="20"/>
      <c r="R62" s="22"/>
      <c r="S62" s="22"/>
      <c r="T62" s="22"/>
      <c r="U62" s="22"/>
      <c r="V62" s="18"/>
      <c r="W62" s="18"/>
      <c r="X62" s="18"/>
      <c r="Y62" s="383"/>
      <c r="Z62" s="24"/>
      <c r="AA62" s="16" t="s">
        <v>5</v>
      </c>
      <c r="AB62" s="16"/>
      <c r="AC62" s="17"/>
      <c r="AD62" s="1"/>
      <c r="AE62" s="24"/>
      <c r="AF62" s="16" t="s">
        <v>5</v>
      </c>
      <c r="AG62" s="16"/>
      <c r="AH62" s="17"/>
      <c r="AI62" s="1"/>
      <c r="AJ62" s="24"/>
      <c r="AK62" s="16" t="s">
        <v>5</v>
      </c>
      <c r="AL62" s="16"/>
      <c r="AM62" s="17"/>
      <c r="AN62" s="18"/>
      <c r="AO62" s="283">
        <v>54</v>
      </c>
      <c r="AP62" s="280" t="str">
        <f>+Inscrits!F20</f>
        <v>C18</v>
      </c>
      <c r="AQ62" s="248" t="str">
        <f t="shared" si="3"/>
        <v xml:space="preserve"> </v>
      </c>
      <c r="AR62" s="189" t="str">
        <f t="shared" si="4"/>
        <v xml:space="preserve"> </v>
      </c>
      <c r="AS62" s="190" t="str">
        <f t="shared" si="5"/>
        <v xml:space="preserve"> </v>
      </c>
      <c r="AT62" s="251" t="str">
        <f t="shared" si="6"/>
        <v xml:space="preserve"> </v>
      </c>
      <c r="AU62" s="189" t="str">
        <f t="shared" si="7"/>
        <v xml:space="preserve"> </v>
      </c>
      <c r="AV62" s="253" t="str">
        <f t="shared" si="8"/>
        <v xml:space="preserve"> </v>
      </c>
      <c r="AW62" s="248" t="str">
        <f t="shared" si="9"/>
        <v xml:space="preserve"> </v>
      </c>
      <c r="AX62" s="189" t="str">
        <f t="shared" si="10"/>
        <v xml:space="preserve"> </v>
      </c>
      <c r="AY62" s="253" t="str">
        <f t="shared" si="11"/>
        <v xml:space="preserve"> </v>
      </c>
      <c r="AZ62" s="248">
        <f t="shared" si="17"/>
        <v>0</v>
      </c>
      <c r="BA62" s="189">
        <f t="shared" si="12"/>
        <v>0</v>
      </c>
      <c r="BB62" s="253">
        <f t="shared" si="13"/>
        <v>0</v>
      </c>
      <c r="BC62" s="256">
        <f t="shared" si="14"/>
        <v>0</v>
      </c>
      <c r="BD62" s="244">
        <f t="shared" si="15"/>
        <v>0</v>
      </c>
      <c r="BE62" s="183">
        <f t="shared" si="16"/>
        <v>35.000000620000002</v>
      </c>
      <c r="BF62" s="189">
        <f>IF(AP62="","",SMALL(BE$9:BE$62,ROWS(AZ$9:AZ62)))</f>
        <v>35.000000620000002</v>
      </c>
      <c r="BH62" s="189" t="str">
        <f>IF(OR(AP62="",AZ62=""),"",INDEX($AP$9:$AP$63,MATCH(BF62,$BE$9:BE$62,0)))</f>
        <v>C18</v>
      </c>
      <c r="BI62" s="244">
        <f t="shared" si="18"/>
        <v>0</v>
      </c>
      <c r="BJ62" s="244">
        <f t="shared" si="19"/>
        <v>0</v>
      </c>
      <c r="BK62" s="244">
        <f t="shared" si="20"/>
        <v>0</v>
      </c>
      <c r="BL62" s="17">
        <f>IF(BF62="","",IF(AND(BI61=BI62,BJ61=BJ62,BK61=BK62),BL61,$BL$9+53))</f>
        <v>35</v>
      </c>
      <c r="BM62" s="22"/>
      <c r="BN62" s="225"/>
    </row>
    <row r="63" spans="1:66" ht="15.6" x14ac:dyDescent="0.3">
      <c r="A63" s="20"/>
      <c r="B63" s="22"/>
      <c r="C63" s="22"/>
      <c r="D63" s="20"/>
      <c r="E63" s="20"/>
      <c r="F63" s="20"/>
      <c r="G63" s="20"/>
      <c r="H63" s="18"/>
      <c r="I63" s="20"/>
      <c r="J63" s="20"/>
      <c r="K63" s="20"/>
      <c r="L63" s="20"/>
      <c r="P63" s="18"/>
      <c r="Q63" s="20"/>
      <c r="R63" s="22"/>
      <c r="S63" s="22"/>
      <c r="T63" s="22"/>
      <c r="U63" s="22"/>
      <c r="V63" s="18"/>
      <c r="W63" s="18"/>
      <c r="X63" s="18"/>
      <c r="Y63" s="383"/>
      <c r="Z63" s="11">
        <f>+O23</f>
        <v>0</v>
      </c>
      <c r="AA63" s="27">
        <v>0</v>
      </c>
      <c r="AB63" s="23">
        <f>IF(AA59+AA63=0,0,IF(AA59=AA63,2,IF(AA59&lt;AA63,3,1)))</f>
        <v>0</v>
      </c>
      <c r="AC63" s="12">
        <f>AA63-AA59</f>
        <v>0</v>
      </c>
      <c r="AD63" s="6"/>
      <c r="AE63" s="11">
        <f>+R23</f>
        <v>0</v>
      </c>
      <c r="AF63" s="108">
        <v>0</v>
      </c>
      <c r="AG63" s="23">
        <f>IF(AF59+AF63=0,0,IF(AF59=AF63,2,IF(AF59&lt;AF63,3,1)))</f>
        <v>0</v>
      </c>
      <c r="AH63" s="12">
        <f>AF63-AF59</f>
        <v>0</v>
      </c>
      <c r="AI63" s="6"/>
      <c r="AJ63" s="11">
        <f>+U23</f>
        <v>0</v>
      </c>
      <c r="AK63" s="29">
        <v>0</v>
      </c>
      <c r="AL63" s="23">
        <f>IF(AK59+AK63=0,0,IF(AK59=AK63,2,IF(AK59&lt;AK63,3,1)))</f>
        <v>0</v>
      </c>
      <c r="AM63" s="12">
        <f>AK63-AK59</f>
        <v>0</v>
      </c>
      <c r="AN63" s="18"/>
      <c r="AP63" s="4"/>
      <c r="AQ63" s="61">
        <f>SUM(IF(ISNA(AQ9:AQ62),0,AQ9:AQ62))</f>
        <v>68</v>
      </c>
      <c r="AR63" s="61">
        <f t="array" ref="AR63">SUM(IF(ISNA(AR9:AR62),0,AR9:AR62))</f>
        <v>0</v>
      </c>
      <c r="AS63" s="61"/>
      <c r="AT63" s="61">
        <f>SUM(IF(ISNA(AT9:AT62),0,AT9:AT62))</f>
        <v>68</v>
      </c>
      <c r="AU63" s="61">
        <f t="array" ref="AU63">SUM(IF(ISNA(AU9:AU62),0,AU9:AU62))</f>
        <v>0</v>
      </c>
      <c r="AV63" s="61"/>
      <c r="AW63" s="61">
        <f t="array" ref="AW63">SUM(IF(ISNA(AW9:AW62),0,AW9:AW62))</f>
        <v>68</v>
      </c>
      <c r="AX63" s="61">
        <f t="array" ref="AX63">SUM(IF(ISNA(AX9:AX62),0,AX9:AX62))</f>
        <v>0</v>
      </c>
      <c r="AY63" s="61"/>
      <c r="AZ63" s="6">
        <f t="array" ref="AZ63">SUM(AZ9:AZ62)</f>
        <v>204</v>
      </c>
      <c r="BA63" s="6">
        <f t="array" ref="BA63">SUM(BA9:BA62)</f>
        <v>0</v>
      </c>
      <c r="BB63" s="6"/>
      <c r="BC63" s="6"/>
      <c r="BD63" s="6"/>
      <c r="BE63" s="6"/>
      <c r="BF63" s="6"/>
      <c r="BG63" s="69"/>
      <c r="BH63" s="6"/>
      <c r="BI63" s="1"/>
      <c r="BJ63" s="6">
        <f t="array" ref="BJ63">SUM(BJ9:BJ62)</f>
        <v>0</v>
      </c>
      <c r="BK63" s="6"/>
      <c r="BL63" s="4"/>
      <c r="BM63" s="22"/>
      <c r="BN63" s="69"/>
    </row>
    <row r="64" spans="1:66" ht="16.2" thickBot="1" x14ac:dyDescent="0.35">
      <c r="A64" s="20"/>
      <c r="B64" s="22"/>
      <c r="C64" s="22"/>
      <c r="D64" s="20"/>
      <c r="E64" s="20"/>
      <c r="F64" s="20"/>
      <c r="G64" s="20"/>
      <c r="H64" s="18"/>
      <c r="I64" s="20"/>
      <c r="J64" s="20"/>
      <c r="K64" s="20"/>
      <c r="L64" s="20"/>
      <c r="P64" s="18"/>
      <c r="Q64" s="20"/>
      <c r="R64" s="22"/>
      <c r="S64" s="22"/>
      <c r="T64" s="22"/>
      <c r="U64" s="22"/>
      <c r="V64" s="18"/>
      <c r="W64" s="18"/>
      <c r="X64" s="18"/>
      <c r="Y64" s="383"/>
      <c r="Z64" s="11">
        <f>+P23</f>
        <v>0</v>
      </c>
      <c r="AA64" s="14">
        <f>IF(ISTEXT(Z64),AA63,0)</f>
        <v>0</v>
      </c>
      <c r="AB64" s="14">
        <f>IF(ISTEXT(Z64),AB63,0)</f>
        <v>0</v>
      </c>
      <c r="AC64" s="15">
        <f>IF(ISTEXT(Z64),AC63,0)</f>
        <v>0</v>
      </c>
      <c r="AD64" s="6"/>
      <c r="AE64" s="11">
        <f>+S23</f>
        <v>0</v>
      </c>
      <c r="AF64" s="14">
        <f>IF(ISTEXT(AE64),AF63,0)</f>
        <v>0</v>
      </c>
      <c r="AG64" s="14">
        <f>IF(ISTEXT(AE64),AG63,0)</f>
        <v>0</v>
      </c>
      <c r="AH64" s="15">
        <f>IF(ISTEXT(AE64),AH63,0)</f>
        <v>0</v>
      </c>
      <c r="AI64" s="6"/>
      <c r="AJ64" s="11">
        <f>+V23</f>
        <v>0</v>
      </c>
      <c r="AK64" s="14">
        <f>IF(ISTEXT(AJ64),AK63,0)</f>
        <v>0</v>
      </c>
      <c r="AL64" s="14">
        <f>IF(ISTEXT(AJ64),AL63,0)</f>
        <v>0</v>
      </c>
      <c r="AM64" s="15">
        <f>IF(ISTEXT(AJ64),AM63,0)</f>
        <v>0</v>
      </c>
      <c r="AN64" s="18"/>
      <c r="AP64" s="4"/>
      <c r="AQ64" s="6"/>
      <c r="AR64" s="1" t="str">
        <f>IF(AR63=0,"OK","ERREUR")</f>
        <v>OK</v>
      </c>
      <c r="AS64" s="61"/>
      <c r="AT64" s="6"/>
      <c r="AU64" s="1" t="str">
        <f>IF(AU63=0,"OK","ERREUR")</f>
        <v>OK</v>
      </c>
      <c r="AV64" s="61"/>
      <c r="AW64" s="6"/>
      <c r="AX64" s="1" t="str">
        <f>IF(AX63=0,"OK","ERREUR")</f>
        <v>OK</v>
      </c>
      <c r="AY64" s="61"/>
      <c r="AZ64" s="4"/>
      <c r="BA64" s="1" t="str">
        <f>IF(BA63=0,"OK","ERREUR")</f>
        <v>OK</v>
      </c>
      <c r="BB64" s="61"/>
      <c r="BC64" s="6"/>
      <c r="BD64" s="6"/>
      <c r="BE64" s="6"/>
      <c r="BF64" s="6"/>
      <c r="BG64" s="69"/>
      <c r="BH64" s="6"/>
      <c r="BI64" s="1"/>
      <c r="BJ64" s="1" t="str">
        <f>IF(BJ63=0,"OK","ERREUR")</f>
        <v>OK</v>
      </c>
      <c r="BK64" s="61"/>
      <c r="BL64" s="4"/>
      <c r="BM64" s="22"/>
    </row>
    <row r="65" spans="1:65" ht="16.2" thickBot="1" x14ac:dyDescent="0.35">
      <c r="A65" s="20"/>
      <c r="B65" s="22"/>
      <c r="C65" s="22"/>
      <c r="D65" s="20"/>
      <c r="E65" s="20"/>
      <c r="F65" s="20"/>
      <c r="G65" s="20"/>
      <c r="H65" s="18"/>
      <c r="I65" s="20"/>
      <c r="J65" s="20"/>
      <c r="K65" s="20"/>
      <c r="L65" s="20"/>
      <c r="P65" s="18"/>
      <c r="Q65" s="20"/>
      <c r="R65" s="22"/>
      <c r="S65" s="22"/>
      <c r="T65" s="22"/>
      <c r="U65" s="22"/>
      <c r="V65" s="18"/>
      <c r="W65" s="18"/>
      <c r="X65" s="18"/>
      <c r="Y65" s="384"/>
      <c r="Z65" s="13">
        <f>+Q23</f>
        <v>0</v>
      </c>
      <c r="AA65" s="14">
        <f>IF(ISTEXT(Z65),AA63,0)</f>
        <v>0</v>
      </c>
      <c r="AB65" s="14">
        <f>IF(ISTEXT(Z65),AB63,0)</f>
        <v>0</v>
      </c>
      <c r="AC65" s="15">
        <f>IF(ISTEXT(Z65),AC63,0)</f>
        <v>0</v>
      </c>
      <c r="AD65" s="6"/>
      <c r="AE65" s="13">
        <f>+T23</f>
        <v>0</v>
      </c>
      <c r="AF65" s="14">
        <f>IF(ISTEXT(AE65),AF63,0)</f>
        <v>0</v>
      </c>
      <c r="AG65" s="14">
        <f>IF(ISTEXT(AE65),AG63,0)</f>
        <v>0</v>
      </c>
      <c r="AH65" s="15">
        <f>IF(ISTEXT(AE65),AH63,0)</f>
        <v>0</v>
      </c>
      <c r="AI65" s="6"/>
      <c r="AJ65" s="13">
        <f>+W23</f>
        <v>0</v>
      </c>
      <c r="AK65" s="14">
        <f>IF(ISTEXT(AJ65),AK63,0)</f>
        <v>0</v>
      </c>
      <c r="AL65" s="14">
        <f>IF(ISTEXT(AJ65),AL63,0)</f>
        <v>0</v>
      </c>
      <c r="AM65" s="15">
        <f>IF(ISTEXT(AJ65),AM63,0)</f>
        <v>0</v>
      </c>
      <c r="AN65" s="18"/>
      <c r="AO65" s="20"/>
      <c r="AP65" s="4"/>
      <c r="AQ65" s="6"/>
      <c r="AR65" s="61"/>
      <c r="AS65" s="61"/>
      <c r="AT65" s="6"/>
      <c r="AU65" s="61"/>
      <c r="AV65" s="61"/>
      <c r="AW65" s="6"/>
      <c r="AX65" s="61"/>
      <c r="AY65" s="61"/>
      <c r="AZ65" s="4"/>
      <c r="BA65" s="61"/>
      <c r="BB65" s="61"/>
      <c r="BC65" s="6"/>
      <c r="BD65" s="6"/>
      <c r="BE65" s="6"/>
      <c r="BF65" s="6"/>
      <c r="BG65" s="69"/>
      <c r="BH65" s="6"/>
      <c r="BI65" s="1"/>
      <c r="BJ65" s="61"/>
      <c r="BK65" s="61"/>
      <c r="BL65" s="4"/>
      <c r="BM65" s="22"/>
    </row>
    <row r="66" spans="1:65" ht="16.2" thickBot="1" x14ac:dyDescent="0.35">
      <c r="A66" s="20"/>
      <c r="B66" s="22"/>
      <c r="C66" s="22"/>
      <c r="D66" s="20"/>
      <c r="E66" s="20"/>
      <c r="F66" s="20"/>
      <c r="G66" s="20"/>
      <c r="H66" s="18"/>
      <c r="I66" s="20"/>
      <c r="J66" s="20"/>
      <c r="K66" s="20"/>
      <c r="L66" s="20"/>
      <c r="P66" s="18"/>
      <c r="Q66" s="20"/>
      <c r="R66" s="22"/>
      <c r="S66" s="22"/>
      <c r="T66" s="22"/>
      <c r="U66" s="22"/>
      <c r="V66" s="18"/>
      <c r="W66" s="18"/>
      <c r="X66" s="18"/>
      <c r="Y66" s="20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18"/>
      <c r="AO66" s="20"/>
      <c r="AP66" s="18"/>
      <c r="AQ66" s="69"/>
      <c r="AR66" s="19"/>
      <c r="AS66" s="19"/>
      <c r="AT66" s="69"/>
      <c r="AU66" s="69"/>
      <c r="AV66" s="69"/>
      <c r="AW66" s="69"/>
      <c r="AX66" s="19"/>
      <c r="AY66" s="19"/>
      <c r="AZ66" s="19"/>
      <c r="BA66" s="19"/>
      <c r="BB66" s="19"/>
      <c r="BC66" s="19"/>
      <c r="BD66" s="19"/>
      <c r="BE66" s="19"/>
      <c r="BF66" s="19"/>
      <c r="BG66" s="69"/>
      <c r="BH66" s="19"/>
      <c r="BI66" s="20"/>
      <c r="BJ66" s="20"/>
      <c r="BK66" s="20"/>
      <c r="BL66" s="18"/>
      <c r="BM66" s="22"/>
    </row>
    <row r="67" spans="1:65" ht="15.6" x14ac:dyDescent="0.3">
      <c r="A67" s="20"/>
      <c r="B67" s="22"/>
      <c r="C67" s="22"/>
      <c r="D67" s="20"/>
      <c r="E67" s="20"/>
      <c r="F67" s="20"/>
      <c r="G67" s="20"/>
      <c r="H67" s="18"/>
      <c r="I67" s="20"/>
      <c r="J67" s="20"/>
      <c r="K67" s="20"/>
      <c r="L67" s="20"/>
      <c r="P67" s="18"/>
      <c r="Q67" s="20"/>
      <c r="R67" s="22"/>
      <c r="S67" s="22"/>
      <c r="T67" s="22"/>
      <c r="U67" s="22"/>
      <c r="V67" s="18"/>
      <c r="W67" s="18"/>
      <c r="X67" s="18"/>
      <c r="Y67" s="382">
        <v>8</v>
      </c>
      <c r="Z67" s="9">
        <f>+O24</f>
        <v>0</v>
      </c>
      <c r="AA67" s="25">
        <v>0</v>
      </c>
      <c r="AB67" s="38">
        <f>IF(AA67+AA71=0,0,IF(AA67=AA71,2,IF(AA67&gt;AA71,3,1)))</f>
        <v>0</v>
      </c>
      <c r="AC67" s="10">
        <f>AA67-AA71</f>
        <v>0</v>
      </c>
      <c r="AD67" s="6"/>
      <c r="AE67" s="9">
        <f>+R24</f>
        <v>0</v>
      </c>
      <c r="AF67" s="107">
        <v>0</v>
      </c>
      <c r="AG67" s="38">
        <f>IF(AF67+AF71=0,0,IF(AF67=AF71,2,IF(AF67&gt;AF71,3,1)))</f>
        <v>0</v>
      </c>
      <c r="AH67" s="10">
        <f>AF67-AF71</f>
        <v>0</v>
      </c>
      <c r="AI67" s="6"/>
      <c r="AJ67" s="9">
        <f>+U24</f>
        <v>0</v>
      </c>
      <c r="AK67" s="28">
        <v>0</v>
      </c>
      <c r="AL67" s="38">
        <f>IF(AK67+AK71=0,0,IF(AK67=AK71,2,IF(AK67&gt;AK71,3,1)))</f>
        <v>0</v>
      </c>
      <c r="AM67" s="10">
        <f>AK67-AK71</f>
        <v>0</v>
      </c>
      <c r="AN67" s="18"/>
      <c r="AO67" s="20"/>
      <c r="AP67" s="326" t="s">
        <v>28</v>
      </c>
      <c r="AQ67" s="323">
        <f>COUNTIF(AQ9:AQ56,1)</f>
        <v>14</v>
      </c>
      <c r="AR67" s="324"/>
      <c r="AS67" s="324"/>
      <c r="AT67" s="323">
        <f>COUNTIF(AT9:AT56,1)</f>
        <v>17</v>
      </c>
      <c r="AU67" s="323"/>
      <c r="AV67" s="323"/>
      <c r="AW67" s="323">
        <f>COUNTIF(AW9:AW56,1)</f>
        <v>17</v>
      </c>
      <c r="AX67" s="324"/>
      <c r="AY67" s="324"/>
      <c r="AZ67" s="323">
        <f>COUNTIF(AZ9:AZ62,3)</f>
        <v>3</v>
      </c>
      <c r="BA67" s="69"/>
      <c r="BB67" s="69"/>
      <c r="BC67" s="21">
        <f>COUNTIF(BC9:BC56,1)</f>
        <v>0</v>
      </c>
      <c r="BD67" s="21"/>
      <c r="BE67" s="21"/>
      <c r="BF67" s="21">
        <f>COUNTIF(BF9:BF56,1)</f>
        <v>0</v>
      </c>
      <c r="BG67" s="69"/>
      <c r="BH67" s="18"/>
      <c r="BI67" s="18"/>
      <c r="BJ67" s="18"/>
      <c r="BK67" s="18"/>
      <c r="BL67" s="18"/>
      <c r="BM67" s="22"/>
    </row>
    <row r="68" spans="1:65" ht="16.2" thickBot="1" x14ac:dyDescent="0.35">
      <c r="A68" s="20"/>
      <c r="B68" s="22"/>
      <c r="C68" s="22"/>
      <c r="D68" s="20"/>
      <c r="E68" s="20"/>
      <c r="F68" s="20"/>
      <c r="G68" s="20"/>
      <c r="H68" s="18"/>
      <c r="I68" s="20"/>
      <c r="J68" s="20"/>
      <c r="K68" s="20"/>
      <c r="L68" s="20"/>
      <c r="P68" s="18"/>
      <c r="Q68" s="20"/>
      <c r="R68" s="22"/>
      <c r="S68" s="22"/>
      <c r="T68" s="22"/>
      <c r="U68" s="22"/>
      <c r="V68" s="18"/>
      <c r="W68" s="18"/>
      <c r="X68" s="18"/>
      <c r="Y68" s="383"/>
      <c r="Z68" s="11">
        <f>+P24</f>
        <v>0</v>
      </c>
      <c r="AA68" s="14">
        <f>IF(ISTEXT(Z68),AA67,0)</f>
        <v>0</v>
      </c>
      <c r="AB68" s="14">
        <f>IF(ISTEXT(Z68),AB67,0)</f>
        <v>0</v>
      </c>
      <c r="AC68" s="15">
        <f>IF(ISTEXT(Z68),AC67,0)</f>
        <v>0</v>
      </c>
      <c r="AD68" s="6"/>
      <c r="AE68" s="11">
        <f>+S24</f>
        <v>0</v>
      </c>
      <c r="AF68" s="14">
        <f>IF(ISTEXT(AE68),AF67,0)</f>
        <v>0</v>
      </c>
      <c r="AG68" s="48">
        <f>IF(ISTEXT(AE68),AG67,0)</f>
        <v>0</v>
      </c>
      <c r="AH68" s="15">
        <f>IF(ISTEXT(AE68),AH67,0)</f>
        <v>0</v>
      </c>
      <c r="AI68" s="6"/>
      <c r="AJ68" s="11">
        <f>+V24</f>
        <v>0</v>
      </c>
      <c r="AK68" s="14">
        <f>IF(ISTEXT(AJ68),AK67,0)</f>
        <v>0</v>
      </c>
      <c r="AL68" s="48">
        <f>IF(ISTEXT(AJ68),AL67,0)</f>
        <v>0</v>
      </c>
      <c r="AM68" s="15">
        <f>IF(ISTEXT(AJ68),AM67,0)</f>
        <v>0</v>
      </c>
      <c r="AN68" s="18"/>
      <c r="AO68" s="20"/>
      <c r="AP68" s="326" t="s">
        <v>44</v>
      </c>
      <c r="AQ68" s="323">
        <f>COUNTIF(AQ9:AQ56,2)</f>
        <v>6</v>
      </c>
      <c r="AR68" s="324"/>
      <c r="AS68" s="324"/>
      <c r="AT68" s="323">
        <f>COUNTIF(AT9:AT56,2)</f>
        <v>0</v>
      </c>
      <c r="AU68" s="324"/>
      <c r="AV68" s="324"/>
      <c r="AW68" s="323">
        <f>COUNTIF(AW9:AW56,2)</f>
        <v>0</v>
      </c>
      <c r="AX68" s="324"/>
      <c r="AY68" s="324"/>
      <c r="AZ68" s="323">
        <f>COUNTIF(AZ9:AZ62,5)</f>
        <v>8</v>
      </c>
      <c r="BA68" s="69"/>
      <c r="BB68" s="69"/>
      <c r="BC68" s="21">
        <f>COUNTIF(BC9:BC56,2)</f>
        <v>0</v>
      </c>
      <c r="BD68" s="200"/>
      <c r="BE68" s="200"/>
      <c r="BF68" s="21">
        <f>COUNTIF(BF9:BF56,2)</f>
        <v>0</v>
      </c>
      <c r="BG68" s="69"/>
      <c r="BH68" s="18"/>
      <c r="BI68" s="18"/>
      <c r="BJ68" s="18"/>
      <c r="BK68" s="18"/>
      <c r="BL68" s="18"/>
      <c r="BM68" s="22"/>
    </row>
    <row r="69" spans="1:65" ht="15.6" x14ac:dyDescent="0.3">
      <c r="A69" s="20"/>
      <c r="B69" s="22"/>
      <c r="C69" s="22"/>
      <c r="D69" s="20"/>
      <c r="E69" s="20"/>
      <c r="F69" s="20"/>
      <c r="G69" s="20"/>
      <c r="H69" s="18"/>
      <c r="I69" s="20"/>
      <c r="J69" s="20"/>
      <c r="K69" s="20"/>
      <c r="L69" s="20"/>
      <c r="P69" s="18"/>
      <c r="Q69" s="20"/>
      <c r="R69" s="22"/>
      <c r="S69" s="22"/>
      <c r="T69" s="22"/>
      <c r="U69" s="22"/>
      <c r="V69" s="18"/>
      <c r="W69" s="18"/>
      <c r="X69" s="18"/>
      <c r="Y69" s="383"/>
      <c r="Z69" s="11">
        <f>+Q24</f>
        <v>0</v>
      </c>
      <c r="AA69" s="55">
        <f>IF(ISTEXT(Z69),AA67,0)</f>
        <v>0</v>
      </c>
      <c r="AB69" s="55">
        <f>IF(ISTEXT(Z69),AB67,0)</f>
        <v>0</v>
      </c>
      <c r="AC69" s="56">
        <f>IF(ISTEXT(Z69),AC67,0)</f>
        <v>0</v>
      </c>
      <c r="AD69" s="6"/>
      <c r="AE69" s="11">
        <f>+T24</f>
        <v>0</v>
      </c>
      <c r="AF69" s="55">
        <f>IF(ISTEXT(AE69),AF67,0)</f>
        <v>0</v>
      </c>
      <c r="AG69" s="52">
        <f>IF(ISTEXT(AE69),AG67,0)</f>
        <v>0</v>
      </c>
      <c r="AH69" s="56">
        <f>IF(ISTEXT(AE69),AH67,0)</f>
        <v>0</v>
      </c>
      <c r="AI69" s="6"/>
      <c r="AJ69" s="11">
        <f>+W24</f>
        <v>0</v>
      </c>
      <c r="AK69" s="55">
        <f>IF(ISTEXT(AJ69),AK67,0)</f>
        <v>0</v>
      </c>
      <c r="AL69" s="52">
        <f>IF(ISTEXT(AJ69),AL67,0)</f>
        <v>0</v>
      </c>
      <c r="AM69" s="56">
        <f>IF(ISTEXT(AJ69),AM67,0)</f>
        <v>0</v>
      </c>
      <c r="AN69" s="18"/>
      <c r="AO69" s="18"/>
      <c r="AP69" s="326" t="s">
        <v>47</v>
      </c>
      <c r="AQ69" s="323"/>
      <c r="AR69" s="324"/>
      <c r="AS69" s="324"/>
      <c r="AT69" s="323"/>
      <c r="AU69" s="324"/>
      <c r="AV69" s="324"/>
      <c r="AW69" s="323"/>
      <c r="AX69" s="324"/>
      <c r="AY69" s="324"/>
      <c r="AZ69" s="323">
        <f>COUNTIF(AZ10:AZ63,6)</f>
        <v>1</v>
      </c>
      <c r="BA69" s="69"/>
      <c r="BB69" s="69"/>
      <c r="BC69" s="21">
        <f>COUNTIF(BC9:BC56,3)</f>
        <v>0</v>
      </c>
      <c r="BD69" s="200"/>
      <c r="BE69" s="200"/>
      <c r="BF69" s="21">
        <f>COUNTIF(BF9:BF56,3)</f>
        <v>0</v>
      </c>
      <c r="BG69" s="69"/>
      <c r="BH69" s="18"/>
      <c r="BI69" s="18"/>
      <c r="BJ69" s="18"/>
      <c r="BK69" s="18"/>
      <c r="BL69" s="18"/>
      <c r="BM69" s="22"/>
    </row>
    <row r="70" spans="1:65" ht="15.6" x14ac:dyDescent="0.3">
      <c r="A70" s="20"/>
      <c r="B70" s="22"/>
      <c r="C70" s="22"/>
      <c r="D70" s="20"/>
      <c r="E70" s="20"/>
      <c r="F70" s="20"/>
      <c r="G70" s="20"/>
      <c r="H70" s="18"/>
      <c r="I70" s="20"/>
      <c r="J70" s="20"/>
      <c r="K70" s="20"/>
      <c r="L70" s="20"/>
      <c r="P70" s="18"/>
      <c r="Q70" s="20"/>
      <c r="R70" s="22"/>
      <c r="S70" s="22"/>
      <c r="T70" s="22"/>
      <c r="U70" s="22"/>
      <c r="V70" s="18"/>
      <c r="W70" s="18"/>
      <c r="X70" s="18"/>
      <c r="Y70" s="383"/>
      <c r="Z70" s="24"/>
      <c r="AA70" s="16" t="s">
        <v>5</v>
      </c>
      <c r="AB70" s="16"/>
      <c r="AC70" s="17"/>
      <c r="AD70" s="1"/>
      <c r="AE70" s="24"/>
      <c r="AF70" s="16" t="s">
        <v>5</v>
      </c>
      <c r="AG70" s="16"/>
      <c r="AH70" s="17"/>
      <c r="AI70" s="1"/>
      <c r="AJ70" s="24"/>
      <c r="AK70" s="16" t="s">
        <v>5</v>
      </c>
      <c r="AL70" s="16"/>
      <c r="AM70" s="17"/>
      <c r="AN70" s="18"/>
      <c r="AO70" s="18"/>
      <c r="AP70" s="326" t="s">
        <v>45</v>
      </c>
      <c r="AQ70" s="323">
        <f>COUNTIF(AQ9:AQ56,3)</f>
        <v>14</v>
      </c>
      <c r="AR70" s="324"/>
      <c r="AS70" s="324"/>
      <c r="AT70" s="323">
        <f>COUNTIF(AT9:AT56,3)</f>
        <v>17</v>
      </c>
      <c r="AU70" s="324"/>
      <c r="AV70" s="324"/>
      <c r="AW70" s="323">
        <f>COUNTIF(AW9:AW56,3)</f>
        <v>17</v>
      </c>
      <c r="AX70" s="324"/>
      <c r="AY70" s="324"/>
      <c r="AZ70" s="323">
        <f>COUNTIF(AZ9:AZ62,7)</f>
        <v>16</v>
      </c>
      <c r="BA70" s="69"/>
      <c r="BB70" s="69"/>
      <c r="BC70" s="21">
        <f>COUNTIF(BC9:BC56,0)</f>
        <v>32</v>
      </c>
      <c r="BD70" s="200"/>
      <c r="BE70" s="200"/>
      <c r="BF70" s="21">
        <f>COUNTIF(BF9:BF56,0)</f>
        <v>0</v>
      </c>
      <c r="BG70" s="18"/>
      <c r="BH70" s="18"/>
      <c r="BI70" s="18"/>
      <c r="BJ70" s="18"/>
      <c r="BK70" s="18"/>
      <c r="BL70" s="18"/>
      <c r="BM70" s="22"/>
    </row>
    <row r="71" spans="1:65" ht="15.6" x14ac:dyDescent="0.3">
      <c r="A71" s="20"/>
      <c r="B71" s="22"/>
      <c r="C71" s="22"/>
      <c r="D71" s="20"/>
      <c r="E71" s="20"/>
      <c r="F71" s="20"/>
      <c r="G71" s="20"/>
      <c r="H71" s="18"/>
      <c r="I71" s="20"/>
      <c r="J71" s="20"/>
      <c r="K71" s="20"/>
      <c r="L71" s="20"/>
      <c r="P71" s="18"/>
      <c r="Q71" s="20"/>
      <c r="R71" s="22"/>
      <c r="S71" s="22"/>
      <c r="T71" s="22"/>
      <c r="U71" s="22"/>
      <c r="V71" s="18"/>
      <c r="W71" s="18"/>
      <c r="X71" s="18"/>
      <c r="Y71" s="383"/>
      <c r="Z71" s="11">
        <f>+O25</f>
        <v>0</v>
      </c>
      <c r="AA71" s="27">
        <v>0</v>
      </c>
      <c r="AB71" s="23">
        <f>IF(AA67+AA71=0,0,IF(AA67=AA71,2,IF(AA67&lt;AA71,3,1)))</f>
        <v>0</v>
      </c>
      <c r="AC71" s="12">
        <f>AA71-AA67</f>
        <v>0</v>
      </c>
      <c r="AD71" s="6"/>
      <c r="AE71" s="11">
        <f>+R25</f>
        <v>0</v>
      </c>
      <c r="AF71" s="108">
        <v>0</v>
      </c>
      <c r="AG71" s="23">
        <f>IF(AF67+AF71=0,0,IF(AF67=AF71,2,IF(AF67&lt;AF71,3,1)))</f>
        <v>0</v>
      </c>
      <c r="AH71" s="12">
        <f>AF71-AF67</f>
        <v>0</v>
      </c>
      <c r="AI71" s="6"/>
      <c r="AJ71" s="11">
        <f>+U25</f>
        <v>0</v>
      </c>
      <c r="AK71" s="29">
        <v>0</v>
      </c>
      <c r="AL71" s="23">
        <f>IF(AK67+AK71=0,0,IF(AK67=AK71,2,IF(AK67&lt;AK71,3,1)))</f>
        <v>0</v>
      </c>
      <c r="AM71" s="12">
        <f>AK71-AK67</f>
        <v>0</v>
      </c>
      <c r="AN71" s="18"/>
      <c r="AO71" s="18"/>
      <c r="AP71" s="326" t="s">
        <v>46</v>
      </c>
      <c r="AQ71" s="323">
        <f>COUNTIF(AQ9:AQ56,0)</f>
        <v>0</v>
      </c>
      <c r="AR71" s="324"/>
      <c r="AS71" s="324"/>
      <c r="AT71" s="323">
        <f>COUNTIF(AT9:AT56,0)</f>
        <v>0</v>
      </c>
      <c r="AU71" s="324"/>
      <c r="AV71" s="324"/>
      <c r="AW71" s="323">
        <f>COUNTIF(AW9:AW56,0)</f>
        <v>0</v>
      </c>
      <c r="AX71" s="324"/>
      <c r="AY71" s="324"/>
      <c r="AZ71" s="323">
        <f>COUNTIF(AZ10:AZ63,9)</f>
        <v>1</v>
      </c>
      <c r="BA71" s="69"/>
      <c r="BB71" s="69"/>
      <c r="BC71" s="21">
        <f>COUNTIF(BC9:BC63,#N/A)</f>
        <v>0</v>
      </c>
      <c r="BD71" s="200"/>
      <c r="BE71" s="200"/>
      <c r="BF71" s="21">
        <f>COUNTIF(BF9:BF63,#N/A)</f>
        <v>0</v>
      </c>
      <c r="BG71" s="18"/>
      <c r="BH71" s="18"/>
      <c r="BI71" s="18"/>
      <c r="BJ71" s="18"/>
      <c r="BK71" s="18"/>
      <c r="BL71" s="18"/>
      <c r="BM71" s="22"/>
    </row>
    <row r="72" spans="1:65" ht="16.2" thickBot="1" x14ac:dyDescent="0.35">
      <c r="A72" s="20"/>
      <c r="B72" s="22"/>
      <c r="C72" s="22"/>
      <c r="D72" s="20"/>
      <c r="E72" s="20"/>
      <c r="F72" s="20"/>
      <c r="G72" s="20"/>
      <c r="H72" s="18"/>
      <c r="I72" s="20"/>
      <c r="J72" s="20"/>
      <c r="K72" s="20"/>
      <c r="L72" s="20"/>
      <c r="P72" s="18"/>
      <c r="Q72" s="20"/>
      <c r="R72" s="22"/>
      <c r="S72" s="22"/>
      <c r="T72" s="22"/>
      <c r="U72" s="22"/>
      <c r="V72" s="18"/>
      <c r="W72" s="18"/>
      <c r="X72" s="18"/>
      <c r="Y72" s="383"/>
      <c r="Z72" s="11">
        <f>+P25</f>
        <v>0</v>
      </c>
      <c r="AA72" s="14">
        <f>IF(ISTEXT(Z72),AA71,0)</f>
        <v>0</v>
      </c>
      <c r="AB72" s="14">
        <f>IF(ISTEXT(Z72),AB71,0)</f>
        <v>0</v>
      </c>
      <c r="AC72" s="15">
        <f>IF(ISTEXT(Z72),AC71,0)</f>
        <v>0</v>
      </c>
      <c r="AD72" s="6"/>
      <c r="AE72" s="11">
        <f>+S25</f>
        <v>0</v>
      </c>
      <c r="AF72" s="14">
        <f>IF(ISTEXT(AE72),AF71,0)</f>
        <v>0</v>
      </c>
      <c r="AG72" s="14">
        <f>IF(ISTEXT(AE72),AG71,0)</f>
        <v>0</v>
      </c>
      <c r="AH72" s="15">
        <f>IF(ISTEXT(AE72),AH71,0)</f>
        <v>0</v>
      </c>
      <c r="AI72" s="6"/>
      <c r="AJ72" s="11">
        <f>+V25</f>
        <v>0</v>
      </c>
      <c r="AK72" s="14">
        <f>IF(ISTEXT(AJ72),AK71,0)</f>
        <v>0</v>
      </c>
      <c r="AL72" s="14">
        <f>IF(ISTEXT(AJ72),AL71,0)</f>
        <v>0</v>
      </c>
      <c r="AM72" s="15">
        <f>IF(ISTEXT(AJ72),AM71,0)</f>
        <v>0</v>
      </c>
      <c r="AN72" s="18"/>
      <c r="AO72" s="18"/>
      <c r="AP72" s="326" t="e">
        <v>#N/A</v>
      </c>
      <c r="AQ72" s="323">
        <f>COUNTIF(AQ9:AQ63,#N/A)</f>
        <v>0</v>
      </c>
      <c r="AR72" s="324"/>
      <c r="AS72" s="324"/>
      <c r="AT72" s="323">
        <f>COUNTIF(AT9:AT63,#N/A)</f>
        <v>0</v>
      </c>
      <c r="AU72" s="324"/>
      <c r="AV72" s="324"/>
      <c r="AW72" s="323">
        <f>COUNTIF(AW9:AW63,#N/A)</f>
        <v>0</v>
      </c>
      <c r="AX72" s="324"/>
      <c r="AY72" s="324"/>
      <c r="AZ72" s="323">
        <f>COUNTIF(AZ9:AZ62,#N/A)</f>
        <v>0</v>
      </c>
      <c r="BA72" s="69"/>
      <c r="BB72" s="69"/>
      <c r="BC72" s="21">
        <f>SUM(BC67:BC71)</f>
        <v>32</v>
      </c>
      <c r="BD72" s="21"/>
      <c r="BE72" s="21"/>
      <c r="BF72" s="21">
        <f>SUM(BF67:BF71)</f>
        <v>0</v>
      </c>
      <c r="BG72" s="18"/>
      <c r="BH72" s="18"/>
      <c r="BI72" s="18"/>
      <c r="BJ72" s="18"/>
      <c r="BK72" s="18"/>
      <c r="BL72" s="18"/>
      <c r="BM72" s="22"/>
    </row>
    <row r="73" spans="1:65" ht="16.2" thickBot="1" x14ac:dyDescent="0.35">
      <c r="A73" s="20"/>
      <c r="B73" s="22"/>
      <c r="C73" s="22"/>
      <c r="D73" s="20"/>
      <c r="E73" s="20"/>
      <c r="F73" s="20"/>
      <c r="G73" s="20"/>
      <c r="H73" s="18"/>
      <c r="I73" s="20"/>
      <c r="J73" s="20"/>
      <c r="K73" s="20"/>
      <c r="L73" s="20"/>
      <c r="P73" s="18"/>
      <c r="Q73" s="20"/>
      <c r="R73" s="22"/>
      <c r="S73" s="22"/>
      <c r="T73" s="22"/>
      <c r="U73" s="22"/>
      <c r="V73" s="18"/>
      <c r="W73" s="18"/>
      <c r="X73" s="18"/>
      <c r="Y73" s="384"/>
      <c r="Z73" s="13">
        <f>+Q25</f>
        <v>0</v>
      </c>
      <c r="AA73" s="14">
        <f>IF(ISTEXT(Z73),AA71,0)</f>
        <v>0</v>
      </c>
      <c r="AB73" s="14">
        <f>IF(ISTEXT(Z73),AB71,0)</f>
        <v>0</v>
      </c>
      <c r="AC73" s="15">
        <f>IF(ISTEXT(Z73),AC71,0)</f>
        <v>0</v>
      </c>
      <c r="AD73" s="6"/>
      <c r="AE73" s="13">
        <f>+T25</f>
        <v>0</v>
      </c>
      <c r="AF73" s="14">
        <f>IF(ISTEXT(AE73),AF71,0)</f>
        <v>0</v>
      </c>
      <c r="AG73" s="14">
        <f>IF(ISTEXT(AE73),AG71,0)</f>
        <v>0</v>
      </c>
      <c r="AH73" s="15">
        <f>IF(ISTEXT(AE73),AH71,0)</f>
        <v>0</v>
      </c>
      <c r="AI73" s="6"/>
      <c r="AJ73" s="13">
        <f>+W25</f>
        <v>0</v>
      </c>
      <c r="AK73" s="14">
        <f>IF(ISTEXT(AJ73),AK71,0)</f>
        <v>0</v>
      </c>
      <c r="AL73" s="14">
        <f>IF(ISTEXT(AJ73),AL71,0)</f>
        <v>0</v>
      </c>
      <c r="AM73" s="15">
        <f>IF(ISTEXT(AJ73),AM71,0)</f>
        <v>0</v>
      </c>
      <c r="AN73" s="18"/>
      <c r="AO73" s="18"/>
      <c r="AP73" s="326"/>
      <c r="AQ73" s="323">
        <f>SUM(AQ67:AQ72)</f>
        <v>34</v>
      </c>
      <c r="AR73" s="323"/>
      <c r="AS73" s="323"/>
      <c r="AT73" s="323">
        <f>SUM(AT67:AT72)</f>
        <v>34</v>
      </c>
      <c r="AU73" s="323"/>
      <c r="AV73" s="323"/>
      <c r="AW73" s="323">
        <f>SUM(AW67:AW72)</f>
        <v>34</v>
      </c>
      <c r="AX73" s="324"/>
      <c r="AY73" s="324"/>
      <c r="AZ73" s="323">
        <f>SUM(AZ67:AZ72)</f>
        <v>29</v>
      </c>
      <c r="BA73" s="18"/>
      <c r="BB73" s="18"/>
      <c r="BC73" s="18"/>
      <c r="BD73" s="18"/>
      <c r="BE73" s="18"/>
      <c r="BF73" s="18"/>
      <c r="BG73" s="18"/>
      <c r="BH73" s="18"/>
      <c r="BI73" s="18"/>
      <c r="BJ73" s="22"/>
      <c r="BK73" s="22"/>
      <c r="BL73" s="22"/>
      <c r="BM73" s="22"/>
    </row>
    <row r="74" spans="1:65" ht="16.2" thickBot="1" x14ac:dyDescent="0.35">
      <c r="A74" s="20"/>
      <c r="B74" s="22"/>
      <c r="C74" s="22"/>
      <c r="D74" s="20"/>
      <c r="E74" s="20"/>
      <c r="F74" s="20"/>
      <c r="G74" s="20"/>
      <c r="H74" s="18"/>
      <c r="I74" s="20"/>
      <c r="J74" s="20"/>
      <c r="K74" s="20"/>
      <c r="L74" s="20"/>
      <c r="P74" s="18"/>
      <c r="Q74" s="20"/>
      <c r="R74" s="22"/>
      <c r="S74" s="22"/>
      <c r="T74" s="22"/>
      <c r="U74" s="22"/>
      <c r="V74" s="18"/>
      <c r="W74" s="18"/>
      <c r="X74" s="18"/>
      <c r="Y74" s="20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18"/>
      <c r="AO74" s="18"/>
      <c r="AP74" s="324"/>
      <c r="AQ74" s="324"/>
      <c r="AR74" s="324"/>
      <c r="AS74" s="324"/>
      <c r="AT74" s="324"/>
      <c r="AU74" s="324"/>
      <c r="AV74" s="324"/>
      <c r="AW74" s="324"/>
      <c r="AX74" s="324"/>
      <c r="AY74" s="324"/>
      <c r="AZ74" s="324"/>
      <c r="BA74" s="18"/>
      <c r="BB74" s="18"/>
      <c r="BC74" s="18"/>
      <c r="BD74" s="18"/>
      <c r="BE74" s="18"/>
      <c r="BF74" s="18"/>
      <c r="BG74" s="18"/>
      <c r="BH74" s="18"/>
      <c r="BI74" s="18"/>
      <c r="BJ74" s="22"/>
      <c r="BK74" s="22"/>
      <c r="BL74" s="22"/>
      <c r="BM74" s="22"/>
    </row>
    <row r="75" spans="1:65" ht="15.6" x14ac:dyDescent="0.3">
      <c r="A75" s="20"/>
      <c r="B75" s="22"/>
      <c r="C75" s="22"/>
      <c r="D75" s="20"/>
      <c r="E75" s="20"/>
      <c r="F75" s="20"/>
      <c r="G75" s="20"/>
      <c r="H75" s="18"/>
      <c r="I75" s="20"/>
      <c r="J75" s="20"/>
      <c r="K75" s="20"/>
      <c r="L75" s="20"/>
      <c r="P75" s="18"/>
      <c r="Q75" s="20"/>
      <c r="R75" s="22"/>
      <c r="S75" s="22"/>
      <c r="T75" s="22"/>
      <c r="U75" s="22"/>
      <c r="V75" s="18"/>
      <c r="W75" s="18"/>
      <c r="X75" s="18"/>
      <c r="Y75" s="382">
        <v>9</v>
      </c>
      <c r="Z75" s="9">
        <f>+O26</f>
        <v>0</v>
      </c>
      <c r="AA75" s="25">
        <v>0</v>
      </c>
      <c r="AB75" s="38">
        <f>IF(AA75+AA79=0,0,IF(AA75=AA79,2,IF(AA75&gt;AA79,3,1)))</f>
        <v>0</v>
      </c>
      <c r="AC75" s="10">
        <f>AA75-AA79</f>
        <v>0</v>
      </c>
      <c r="AD75" s="6"/>
      <c r="AE75" s="9">
        <f>+R26</f>
        <v>0</v>
      </c>
      <c r="AF75" s="107">
        <v>0</v>
      </c>
      <c r="AG75" s="38">
        <f>IF(AF75+AF79=0,0,IF(AF75=AF79,2,IF(AF75&gt;AF79,3,1)))</f>
        <v>0</v>
      </c>
      <c r="AH75" s="10">
        <f>AF75-AF79</f>
        <v>0</v>
      </c>
      <c r="AI75" s="6"/>
      <c r="AJ75" s="9">
        <f>+U26</f>
        <v>0</v>
      </c>
      <c r="AK75" s="28">
        <v>0</v>
      </c>
      <c r="AL75" s="38">
        <f>IF(AK75+AK79=0,0,IF(AK75=AK79,2,IF(AK75&gt;AK79,3,1)))</f>
        <v>0</v>
      </c>
      <c r="AM75" s="10">
        <f>AK75-AK79</f>
        <v>0</v>
      </c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22"/>
      <c r="BK75" s="22"/>
      <c r="BL75" s="22"/>
      <c r="BM75" s="22"/>
    </row>
    <row r="76" spans="1:65" ht="16.2" thickBot="1" x14ac:dyDescent="0.35">
      <c r="A76" s="20"/>
      <c r="B76" s="22"/>
      <c r="C76" s="22"/>
      <c r="D76" s="20"/>
      <c r="E76" s="20"/>
      <c r="F76" s="20"/>
      <c r="G76" s="20"/>
      <c r="H76" s="18"/>
      <c r="I76" s="20"/>
      <c r="J76" s="20"/>
      <c r="K76" s="20"/>
      <c r="L76" s="20"/>
      <c r="P76" s="18"/>
      <c r="Q76" s="20"/>
      <c r="R76" s="22"/>
      <c r="S76" s="22"/>
      <c r="T76" s="22"/>
      <c r="U76" s="22"/>
      <c r="V76" s="18"/>
      <c r="W76" s="18"/>
      <c r="X76" s="18"/>
      <c r="Y76" s="383"/>
      <c r="Z76" s="11">
        <f>+P26</f>
        <v>0</v>
      </c>
      <c r="AA76" s="14">
        <f>IF(ISTEXT(Z76),AA75,0)</f>
        <v>0</v>
      </c>
      <c r="AB76" s="14">
        <f>IF(ISTEXT(Z76),AB75,0)</f>
        <v>0</v>
      </c>
      <c r="AC76" s="15">
        <f>IF(ISTEXT(Z76),AC75,0)</f>
        <v>0</v>
      </c>
      <c r="AD76" s="6"/>
      <c r="AE76" s="11">
        <f>+S26</f>
        <v>0</v>
      </c>
      <c r="AF76" s="14">
        <f>IF(ISTEXT(AE76),AF75,0)</f>
        <v>0</v>
      </c>
      <c r="AG76" s="48">
        <f>IF(ISTEXT(AE76),AG75,0)</f>
        <v>0</v>
      </c>
      <c r="AH76" s="15">
        <f>IF(ISTEXT(AE76),AH75,0)</f>
        <v>0</v>
      </c>
      <c r="AI76" s="6"/>
      <c r="AJ76" s="11">
        <f>+V26</f>
        <v>0</v>
      </c>
      <c r="AK76" s="14">
        <f>IF(ISTEXT(AJ76),AK75,0)</f>
        <v>0</v>
      </c>
      <c r="AL76" s="48">
        <f>IF(ISTEXT(AJ76),AL75,0)</f>
        <v>0</v>
      </c>
      <c r="AM76" s="15">
        <f>IF(ISTEXT(AJ76),AM75,0)</f>
        <v>0</v>
      </c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22"/>
      <c r="BK76" s="22"/>
      <c r="BL76" s="22"/>
      <c r="BM76" s="22"/>
    </row>
    <row r="77" spans="1:65" ht="15.6" x14ac:dyDescent="0.3">
      <c r="A77" s="20"/>
      <c r="B77" s="22"/>
      <c r="C77" s="22"/>
      <c r="D77" s="20"/>
      <c r="E77" s="20"/>
      <c r="F77" s="20"/>
      <c r="G77" s="20"/>
      <c r="H77" s="18"/>
      <c r="I77" s="20"/>
      <c r="J77" s="20"/>
      <c r="K77" s="20"/>
      <c r="L77" s="20"/>
      <c r="P77" s="18"/>
      <c r="Q77" s="20"/>
      <c r="R77" s="22"/>
      <c r="S77" s="22"/>
      <c r="T77" s="22"/>
      <c r="U77" s="22"/>
      <c r="V77" s="18"/>
      <c r="W77" s="18"/>
      <c r="X77" s="18"/>
      <c r="Y77" s="383"/>
      <c r="Z77" s="11">
        <f>+Q26</f>
        <v>0</v>
      </c>
      <c r="AA77" s="55">
        <f>IF(ISTEXT(Z77),AA75,0)</f>
        <v>0</v>
      </c>
      <c r="AB77" s="55">
        <f>IF(ISTEXT(Z77),AB75,0)</f>
        <v>0</v>
      </c>
      <c r="AC77" s="56">
        <f>IF(ISTEXT(Z77),AC75,0)</f>
        <v>0</v>
      </c>
      <c r="AD77" s="6"/>
      <c r="AE77" s="11">
        <f>+T26</f>
        <v>0</v>
      </c>
      <c r="AF77" s="55">
        <f>IF(ISTEXT(AE77),AF75,0)</f>
        <v>0</v>
      </c>
      <c r="AG77" s="52">
        <f>IF(ISTEXT(AE77),AG75,0)</f>
        <v>0</v>
      </c>
      <c r="AH77" s="56">
        <f>IF(ISTEXT(AE77),AH75,0)</f>
        <v>0</v>
      </c>
      <c r="AI77" s="6"/>
      <c r="AJ77" s="11">
        <f>+W26</f>
        <v>0</v>
      </c>
      <c r="AK77" s="55">
        <f>IF(ISTEXT(AJ77),AK75,0)</f>
        <v>0</v>
      </c>
      <c r="AL77" s="52">
        <f>IF(ISTEXT(AJ77),AL75,0)</f>
        <v>0</v>
      </c>
      <c r="AM77" s="56">
        <f>IF(ISTEXT(AJ77),AM75,0)</f>
        <v>0</v>
      </c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22"/>
      <c r="BK77" s="22"/>
      <c r="BL77" s="22"/>
      <c r="BM77" s="22"/>
    </row>
    <row r="78" spans="1:65" ht="15.6" x14ac:dyDescent="0.3">
      <c r="A78" s="20"/>
      <c r="B78" s="22"/>
      <c r="C78" s="22"/>
      <c r="D78" s="20"/>
      <c r="E78" s="20"/>
      <c r="F78" s="20"/>
      <c r="G78" s="20"/>
      <c r="H78" s="18"/>
      <c r="I78" s="20"/>
      <c r="J78" s="20"/>
      <c r="K78" s="20"/>
      <c r="L78" s="20"/>
      <c r="P78" s="18"/>
      <c r="Q78" s="20"/>
      <c r="R78" s="22"/>
      <c r="S78" s="22"/>
      <c r="T78" s="22"/>
      <c r="U78" s="22"/>
      <c r="V78" s="18"/>
      <c r="W78" s="18"/>
      <c r="X78" s="18"/>
      <c r="Y78" s="383"/>
      <c r="Z78" s="24"/>
      <c r="AA78" s="16" t="s">
        <v>5</v>
      </c>
      <c r="AB78" s="16"/>
      <c r="AC78" s="17"/>
      <c r="AD78" s="1"/>
      <c r="AE78" s="24"/>
      <c r="AF78" s="16" t="s">
        <v>5</v>
      </c>
      <c r="AG78" s="16"/>
      <c r="AH78" s="17"/>
      <c r="AI78" s="1"/>
      <c r="AJ78" s="24"/>
      <c r="AK78" s="16" t="s">
        <v>5</v>
      </c>
      <c r="AL78" s="16"/>
      <c r="AM78" s="17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22"/>
      <c r="BK78" s="22"/>
      <c r="BL78" s="22"/>
      <c r="BM78" s="22"/>
    </row>
    <row r="79" spans="1:65" ht="15.6" x14ac:dyDescent="0.3">
      <c r="A79" s="20"/>
      <c r="B79" s="22"/>
      <c r="C79" s="22"/>
      <c r="D79" s="20"/>
      <c r="E79" s="20"/>
      <c r="F79" s="20"/>
      <c r="G79" s="20"/>
      <c r="H79" s="18"/>
      <c r="I79" s="20"/>
      <c r="J79" s="20"/>
      <c r="K79" s="20"/>
      <c r="L79" s="20"/>
      <c r="P79" s="18"/>
      <c r="Q79" s="20"/>
      <c r="R79" s="22"/>
      <c r="S79" s="22"/>
      <c r="T79" s="22"/>
      <c r="U79" s="22"/>
      <c r="V79" s="18"/>
      <c r="W79" s="18"/>
      <c r="X79" s="18"/>
      <c r="Y79" s="383"/>
      <c r="Z79" s="11">
        <f>+O27</f>
        <v>0</v>
      </c>
      <c r="AA79" s="27">
        <v>0</v>
      </c>
      <c r="AB79" s="23">
        <f>IF(AA75+AA79=0,0,IF(AA75=AA79,2,IF(AA75&lt;AA79,3,1)))</f>
        <v>0</v>
      </c>
      <c r="AC79" s="12">
        <f>AA79-AA75</f>
        <v>0</v>
      </c>
      <c r="AD79" s="6"/>
      <c r="AE79" s="11">
        <f>+R27</f>
        <v>0</v>
      </c>
      <c r="AF79" s="108">
        <v>0</v>
      </c>
      <c r="AG79" s="23">
        <f>IF(AF75+AF79=0,0,IF(AF75=AF79,2,IF(AF75&lt;AF79,3,1)))</f>
        <v>0</v>
      </c>
      <c r="AH79" s="12">
        <f>AF79-AF75</f>
        <v>0</v>
      </c>
      <c r="AI79" s="6"/>
      <c r="AJ79" s="11">
        <f>+U27</f>
        <v>0</v>
      </c>
      <c r="AK79" s="29">
        <v>0</v>
      </c>
      <c r="AL79" s="23">
        <f>IF(AK75+AK79=0,0,IF(AK75=AK79,2,IF(AK75&lt;AK79,3,1)))</f>
        <v>0</v>
      </c>
      <c r="AM79" s="12">
        <f>AK79-AK75</f>
        <v>0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22"/>
      <c r="BK79" s="22"/>
      <c r="BL79" s="22"/>
      <c r="BM79" s="22"/>
    </row>
    <row r="80" spans="1:65" ht="16.2" thickBot="1" x14ac:dyDescent="0.35">
      <c r="A80" s="20"/>
      <c r="B80" s="22"/>
      <c r="C80" s="22"/>
      <c r="D80" s="20"/>
      <c r="E80" s="20"/>
      <c r="F80" s="20"/>
      <c r="G80" s="20"/>
      <c r="H80" s="18"/>
      <c r="I80" s="20"/>
      <c r="J80" s="20"/>
      <c r="K80" s="20"/>
      <c r="L80" s="20"/>
      <c r="P80" s="18"/>
      <c r="Q80" s="20"/>
      <c r="R80" s="22"/>
      <c r="S80" s="22"/>
      <c r="T80" s="22"/>
      <c r="U80" s="22"/>
      <c r="V80" s="18"/>
      <c r="W80" s="18"/>
      <c r="X80" s="18"/>
      <c r="Y80" s="383"/>
      <c r="Z80" s="11">
        <f>+P27</f>
        <v>0</v>
      </c>
      <c r="AA80" s="14">
        <f>IF(ISTEXT(Z80),AA79,0)</f>
        <v>0</v>
      </c>
      <c r="AB80" s="14">
        <f>IF(ISTEXT(Z80),AB79,0)</f>
        <v>0</v>
      </c>
      <c r="AC80" s="15">
        <f>IF(ISTEXT(Z80),AC79,0)</f>
        <v>0</v>
      </c>
      <c r="AD80" s="6"/>
      <c r="AE80" s="11">
        <f>+S27</f>
        <v>0</v>
      </c>
      <c r="AF80" s="14">
        <f>IF(ISTEXT(AE80),AF79,0)</f>
        <v>0</v>
      </c>
      <c r="AG80" s="14">
        <f>IF(ISTEXT(AE80),AG79,0)</f>
        <v>0</v>
      </c>
      <c r="AH80" s="15">
        <f>IF(ISTEXT(AE80),AH79,0)</f>
        <v>0</v>
      </c>
      <c r="AI80" s="6"/>
      <c r="AJ80" s="11">
        <f>+V27</f>
        <v>0</v>
      </c>
      <c r="AK80" s="14">
        <f>IF(ISTEXT(AJ80),AK79,0)</f>
        <v>0</v>
      </c>
      <c r="AL80" s="14">
        <f>IF(ISTEXT(AJ80),AL79,0)</f>
        <v>0</v>
      </c>
      <c r="AM80" s="15">
        <f>IF(ISTEXT(AJ80),AM79,0)</f>
        <v>0</v>
      </c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22"/>
      <c r="BK80" s="22"/>
      <c r="BL80" s="22"/>
      <c r="BM80" s="22"/>
    </row>
    <row r="81" spans="1:65" ht="16.2" thickBot="1" x14ac:dyDescent="0.35">
      <c r="A81" s="20"/>
      <c r="B81" s="22"/>
      <c r="C81" s="22"/>
      <c r="D81" s="20"/>
      <c r="E81" s="20"/>
      <c r="F81" s="20"/>
      <c r="G81" s="20"/>
      <c r="H81" s="18"/>
      <c r="I81" s="20"/>
      <c r="J81" s="20"/>
      <c r="K81" s="20"/>
      <c r="L81" s="20"/>
      <c r="P81" s="18"/>
      <c r="Q81" s="20"/>
      <c r="R81" s="22"/>
      <c r="S81" s="22"/>
      <c r="T81" s="22"/>
      <c r="U81" s="22"/>
      <c r="V81" s="18"/>
      <c r="W81" s="18"/>
      <c r="X81" s="18"/>
      <c r="Y81" s="384"/>
      <c r="Z81" s="13">
        <f>+Q27</f>
        <v>0</v>
      </c>
      <c r="AA81" s="14">
        <f>IF(ISTEXT(Z81),AA79,0)</f>
        <v>0</v>
      </c>
      <c r="AB81" s="14">
        <f>IF(ISTEXT(Z81),AB79,0)</f>
        <v>0</v>
      </c>
      <c r="AC81" s="15">
        <f>IF(ISTEXT(Z81),AC79,0)</f>
        <v>0</v>
      </c>
      <c r="AD81" s="6"/>
      <c r="AE81" s="13">
        <f>+T27</f>
        <v>0</v>
      </c>
      <c r="AF81" s="14">
        <f>IF(ISTEXT(AE81),AF79,0)</f>
        <v>0</v>
      </c>
      <c r="AG81" s="14">
        <f>IF(ISTEXT(AE81),AG79,0)</f>
        <v>0</v>
      </c>
      <c r="AH81" s="15">
        <f>IF(ISTEXT(AE81),AH79,0)</f>
        <v>0</v>
      </c>
      <c r="AI81" s="6"/>
      <c r="AJ81" s="13">
        <f>+W27</f>
        <v>0</v>
      </c>
      <c r="AK81" s="14">
        <f>IF(ISTEXT(AJ81),AK79,0)</f>
        <v>0</v>
      </c>
      <c r="AL81" s="14">
        <f>IF(ISTEXT(AJ81),AL79,0)</f>
        <v>0</v>
      </c>
      <c r="AM81" s="15">
        <f>IF(ISTEXT(AJ81),AM79,0)</f>
        <v>0</v>
      </c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22"/>
      <c r="BK81" s="22"/>
      <c r="BL81" s="22"/>
      <c r="BM81" s="22"/>
    </row>
    <row r="82" spans="1:65" ht="15.6" x14ac:dyDescent="0.3">
      <c r="A82" s="20"/>
      <c r="B82" s="22"/>
      <c r="C82" s="22"/>
      <c r="D82" s="20"/>
      <c r="E82" s="20"/>
      <c r="F82" s="20"/>
      <c r="G82" s="20"/>
      <c r="H82" s="18"/>
      <c r="I82" s="20"/>
      <c r="J82" s="20"/>
      <c r="K82" s="20"/>
      <c r="L82" s="20"/>
      <c r="P82" s="18"/>
      <c r="Q82" s="20"/>
      <c r="R82" s="22"/>
      <c r="S82" s="22"/>
      <c r="T82" s="22"/>
      <c r="U82" s="22"/>
      <c r="V82" s="18"/>
      <c r="W82" s="18"/>
      <c r="X82" s="18"/>
      <c r="Y82" s="20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</row>
    <row r="83" spans="1:65" ht="15.6" x14ac:dyDescent="0.3">
      <c r="A83" s="20"/>
      <c r="B83" s="22"/>
      <c r="C83" s="22"/>
      <c r="D83" s="20"/>
      <c r="E83" s="20"/>
      <c r="F83" s="20"/>
      <c r="G83" s="20"/>
      <c r="H83" s="18"/>
      <c r="I83" s="20"/>
      <c r="J83" s="20"/>
      <c r="K83" s="20"/>
      <c r="L83" s="20"/>
      <c r="P83" s="18"/>
      <c r="Q83" s="20"/>
      <c r="R83" s="22"/>
      <c r="S83" s="22"/>
      <c r="T83" s="22"/>
      <c r="U83" s="22"/>
      <c r="V83" s="18"/>
      <c r="W83" s="18"/>
      <c r="X83" s="18"/>
      <c r="Y83" s="20"/>
      <c r="Z83" s="4"/>
      <c r="AA83" s="4"/>
      <c r="AB83" s="1">
        <f t="array" ref="AB83">SUM(AB11:AB81)</f>
        <v>68</v>
      </c>
      <c r="AC83" s="1">
        <f t="array" ref="AC83">SUM(AC11:AC81)</f>
        <v>0</v>
      </c>
      <c r="AD83" s="18"/>
      <c r="AE83" s="18"/>
      <c r="AF83" s="18"/>
      <c r="AG83" s="1">
        <f t="array" ref="AG83">SUM(AG11:AG81)</f>
        <v>68</v>
      </c>
      <c r="AH83" s="1">
        <f t="array" ref="AH83">SUM(AH11:AH81)</f>
        <v>0</v>
      </c>
      <c r="AI83" s="18"/>
      <c r="AJ83" s="18"/>
      <c r="AK83" s="18"/>
      <c r="AL83" s="1">
        <f t="array" ref="AL83">SUM(AL11:AL81)</f>
        <v>68</v>
      </c>
      <c r="AM83" s="1">
        <f t="array" ref="AM83">SUM(AM11:AM81)</f>
        <v>0</v>
      </c>
      <c r="AN83" s="18"/>
      <c r="AO83" s="18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</row>
    <row r="84" spans="1:65" ht="15.6" x14ac:dyDescent="0.3">
      <c r="A84" s="20"/>
      <c r="B84" s="22"/>
      <c r="C84" s="22"/>
      <c r="D84" s="20"/>
      <c r="E84" s="20"/>
      <c r="F84" s="20"/>
      <c r="G84" s="20"/>
      <c r="H84" s="18"/>
      <c r="I84" s="20"/>
      <c r="J84" s="20"/>
      <c r="K84" s="20"/>
      <c r="L84" s="20"/>
      <c r="P84" s="18"/>
      <c r="Q84" s="20"/>
      <c r="R84" s="22"/>
      <c r="S84" s="22"/>
      <c r="T84" s="22"/>
      <c r="U84" s="22"/>
      <c r="V84" s="18"/>
      <c r="W84" s="18"/>
      <c r="X84" s="18"/>
      <c r="Y84" s="20"/>
      <c r="Z84" s="4"/>
      <c r="AA84" s="4"/>
      <c r="AB84" s="4"/>
      <c r="AC84" s="1" t="str">
        <f>IF(AC83=0,"OK","ERREUR")</f>
        <v>OK</v>
      </c>
      <c r="AD84" s="18"/>
      <c r="AE84" s="18"/>
      <c r="AF84" s="18"/>
      <c r="AG84" s="4"/>
      <c r="AH84" s="1" t="str">
        <f>IF(AH83=0,"OK","ERREUR")</f>
        <v>OK</v>
      </c>
      <c r="AI84" s="18"/>
      <c r="AJ84" s="18"/>
      <c r="AK84" s="18"/>
      <c r="AL84" s="4"/>
      <c r="AM84" s="1" t="str">
        <f>IF(AM83=0,"OK","ERREUR")</f>
        <v>OK</v>
      </c>
      <c r="AN84" s="18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</row>
    <row r="85" spans="1:65" ht="15.6" x14ac:dyDescent="0.3">
      <c r="A85" s="20"/>
      <c r="B85" s="22"/>
      <c r="C85" s="22"/>
      <c r="D85" s="20"/>
      <c r="E85" s="20"/>
      <c r="F85" s="20"/>
      <c r="G85" s="20"/>
      <c r="H85" s="18"/>
      <c r="I85" s="20"/>
      <c r="J85" s="20"/>
      <c r="K85" s="20"/>
      <c r="L85" s="20"/>
      <c r="P85" s="18"/>
      <c r="Q85" s="20"/>
      <c r="R85" s="22"/>
      <c r="S85" s="22"/>
      <c r="T85" s="22"/>
      <c r="U85" s="22"/>
      <c r="V85" s="18"/>
      <c r="W85" s="18"/>
      <c r="X85" s="18"/>
      <c r="Y85" s="20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</row>
    <row r="86" spans="1:65" ht="15.6" x14ac:dyDescent="0.3">
      <c r="A86" s="20"/>
      <c r="B86" s="22"/>
      <c r="C86" s="22"/>
      <c r="D86" s="20"/>
      <c r="E86" s="20"/>
      <c r="F86" s="20"/>
      <c r="G86" s="20"/>
      <c r="H86" s="18"/>
      <c r="I86" s="20"/>
      <c r="J86" s="20"/>
      <c r="K86" s="20"/>
      <c r="L86" s="20"/>
      <c r="P86" s="18"/>
      <c r="Q86" s="20"/>
      <c r="R86" s="22"/>
      <c r="S86" s="22"/>
      <c r="T86" s="22"/>
      <c r="U86" s="22"/>
      <c r="V86" s="18"/>
      <c r="W86" s="18"/>
      <c r="X86" s="18"/>
      <c r="Y86" s="20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</row>
    <row r="87" spans="1:65" ht="15.6" x14ac:dyDescent="0.3">
      <c r="A87" s="20"/>
      <c r="B87" s="22"/>
      <c r="C87" s="22"/>
      <c r="D87" s="20"/>
      <c r="E87" s="20"/>
      <c r="F87" s="20"/>
      <c r="G87" s="20"/>
      <c r="H87" s="18"/>
      <c r="I87" s="20"/>
      <c r="J87" s="20"/>
      <c r="K87" s="20"/>
      <c r="L87" s="20"/>
      <c r="P87" s="18"/>
      <c r="Q87" s="20"/>
      <c r="R87" s="22"/>
      <c r="S87" s="22"/>
      <c r="T87" s="22"/>
      <c r="U87" s="22"/>
      <c r="V87" s="18"/>
      <c r="W87" s="18"/>
      <c r="X87" s="18"/>
      <c r="AN87" s="22"/>
      <c r="AO87" s="22"/>
      <c r="BM87" s="22"/>
    </row>
    <row r="88" spans="1:65" ht="15.6" x14ac:dyDescent="0.3">
      <c r="A88" s="20"/>
      <c r="B88" s="22"/>
      <c r="C88" s="22"/>
      <c r="D88" s="20"/>
      <c r="E88" s="20"/>
      <c r="F88" s="20"/>
      <c r="G88" s="20"/>
      <c r="H88" s="18"/>
      <c r="I88" s="20"/>
      <c r="J88" s="20"/>
      <c r="K88" s="20"/>
      <c r="L88" s="20"/>
      <c r="P88" s="18"/>
      <c r="Q88" s="20"/>
      <c r="R88" s="22"/>
      <c r="S88" s="22"/>
      <c r="T88" s="22"/>
      <c r="U88" s="22"/>
      <c r="V88" s="18"/>
      <c r="W88" s="18"/>
      <c r="X88" s="18"/>
      <c r="AN88" s="22"/>
      <c r="AO88" s="22"/>
      <c r="BM88" s="22"/>
    </row>
    <row r="89" spans="1:65" ht="15.6" x14ac:dyDescent="0.3">
      <c r="A89" s="20"/>
      <c r="B89" s="22"/>
      <c r="C89" s="22"/>
      <c r="D89" s="20"/>
      <c r="E89" s="20"/>
      <c r="F89" s="20"/>
      <c r="G89" s="20"/>
      <c r="H89" s="18"/>
      <c r="I89" s="20"/>
      <c r="J89" s="20"/>
      <c r="K89" s="20"/>
      <c r="L89" s="20"/>
      <c r="P89" s="18"/>
      <c r="Q89" s="20"/>
      <c r="R89" s="22"/>
      <c r="S89" s="22"/>
      <c r="T89" s="22"/>
      <c r="U89" s="22"/>
      <c r="V89" s="18"/>
      <c r="W89" s="18"/>
      <c r="X89" s="18"/>
      <c r="AN89" s="22"/>
      <c r="BM89" s="22"/>
    </row>
  </sheetData>
  <sheetProtection sheet="1" objects="1" scenarios="1" formatCells="0" formatColumns="0" formatRows="0" insertColumns="0" insertRows="0" insertHyperlinks="0" deleteColumns="0" deleteRows="0" sort="0"/>
  <mergeCells count="34">
    <mergeCell ref="Y51:Y57"/>
    <mergeCell ref="Y59:Y65"/>
    <mergeCell ref="Y67:Y73"/>
    <mergeCell ref="Y75:Y81"/>
    <mergeCell ref="Y11:Y17"/>
    <mergeCell ref="Y19:Y25"/>
    <mergeCell ref="Y27:Y33"/>
    <mergeCell ref="Y35:Y41"/>
    <mergeCell ref="Y43:Y49"/>
    <mergeCell ref="D8:E8"/>
    <mergeCell ref="O8:W8"/>
    <mergeCell ref="R9:T9"/>
    <mergeCell ref="U9:W9"/>
    <mergeCell ref="Q3:S3"/>
    <mergeCell ref="Q5:Q6"/>
    <mergeCell ref="S5:S6"/>
    <mergeCell ref="T5:T6"/>
    <mergeCell ref="B5:D5"/>
    <mergeCell ref="B9:C9"/>
    <mergeCell ref="D9:E9"/>
    <mergeCell ref="F9:G9"/>
    <mergeCell ref="J9:L9"/>
    <mergeCell ref="O9:Q9"/>
    <mergeCell ref="B1:D1"/>
    <mergeCell ref="D7:E7"/>
    <mergeCell ref="N1:P1"/>
    <mergeCell ref="AZ7:BB7"/>
    <mergeCell ref="BH7:BL7"/>
    <mergeCell ref="Z7:AC7"/>
    <mergeCell ref="AE7:AH7"/>
    <mergeCell ref="AJ7:AM7"/>
    <mergeCell ref="AQ7:AS7"/>
    <mergeCell ref="AT7:AV7"/>
    <mergeCell ref="AW7:AY7"/>
  </mergeCells>
  <conditionalFormatting sqref="C10:C27 G10:G27">
    <cfRule type="cellIs" dxfId="69" priority="70" operator="equal">
      <formula>0</formula>
    </cfRule>
  </conditionalFormatting>
  <conditionalFormatting sqref="E10:E27">
    <cfRule type="top10" dxfId="68" priority="60" rank="1"/>
    <cfRule type="cellIs" dxfId="67" priority="61" operator="equal">
      <formula>0</formula>
    </cfRule>
    <cfRule type="cellIs" dxfId="66" priority="72" operator="equal">
      <formula>6.5</formula>
    </cfRule>
  </conditionalFormatting>
  <conditionalFormatting sqref="J10:L27">
    <cfRule type="duplicateValues" dxfId="65" priority="90"/>
  </conditionalFormatting>
  <conditionalFormatting sqref="O10:Q27">
    <cfRule type="duplicateValues" dxfId="64" priority="89"/>
  </conditionalFormatting>
  <conditionalFormatting sqref="O10:W27">
    <cfRule type="cellIs" dxfId="63" priority="38" operator="equal">
      <formula>0</formula>
    </cfRule>
    <cfRule type="cellIs" dxfId="62" priority="84" operator="equal">
      <formula>0</formula>
    </cfRule>
  </conditionalFormatting>
  <conditionalFormatting sqref="R10:T27">
    <cfRule type="duplicateValues" dxfId="61" priority="87"/>
  </conditionalFormatting>
  <conditionalFormatting sqref="U10:W27">
    <cfRule type="duplicateValues" dxfId="60" priority="85"/>
  </conditionalFormatting>
  <conditionalFormatting sqref="AC83">
    <cfRule type="colorScale" priority="27">
      <colorScale>
        <cfvo type="num" val="-1"/>
        <cfvo type="num" val="0"/>
        <cfvo type="num" val="1"/>
        <color rgb="FFFFC000"/>
        <color rgb="FF66FF33"/>
        <color rgb="FFFFC000"/>
      </colorScale>
    </cfRule>
    <cfRule type="colorScale" priority="28">
      <colorScale>
        <cfvo type="num" val="-1"/>
        <cfvo type="num" val="0"/>
        <cfvo type="num" val="1"/>
        <color rgb="FFFFC000"/>
        <color rgb="FFFFC000"/>
        <color rgb="FFFFC000"/>
      </colorScale>
    </cfRule>
  </conditionalFormatting>
  <conditionalFormatting sqref="AH83 AM83 AC83">
    <cfRule type="colorScale" priority="81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AH83">
    <cfRule type="colorScale" priority="37">
      <colorScale>
        <cfvo type="num" val="-1"/>
        <cfvo type="percentile" val="0"/>
        <cfvo type="num" val="1"/>
        <color rgb="FFFFC000"/>
        <color rgb="FF66FF33"/>
        <color rgb="FFFFC000"/>
      </colorScale>
    </cfRule>
  </conditionalFormatting>
  <conditionalFormatting sqref="AM83 AH83 AC83">
    <cfRule type="colorScale" priority="42">
      <colorScale>
        <cfvo type="num" val="-10"/>
        <cfvo type="percentile" val="0"/>
        <cfvo type="num" val="10"/>
        <color rgb="FFFF66FF"/>
        <color rgb="FF00FF00"/>
        <color rgb="FFFF00FF"/>
      </colorScale>
    </cfRule>
  </conditionalFormatting>
  <conditionalFormatting sqref="AM83 BA63 AR63 AU63 AX63 BJ63">
    <cfRule type="colorScale" priority="29">
      <colorScale>
        <cfvo type="num" val="-1"/>
        <cfvo type="num" val="0"/>
        <cfvo type="num" val="1"/>
        <color rgb="FFFFC000"/>
        <color rgb="FF66FF33"/>
        <color rgb="FFFFC000"/>
      </colorScale>
    </cfRule>
  </conditionalFormatting>
  <conditionalFormatting sqref="AM84 AH84 AC84">
    <cfRule type="colorScale" priority="82">
      <colorScale>
        <cfvo type="num" val="-1"/>
        <cfvo type="percentile" val="0"/>
        <cfvo type="num" val="1"/>
        <color rgb="FFE20000"/>
        <color rgb="FF00FF00"/>
        <color rgb="FFFF0000"/>
      </colorScale>
    </cfRule>
  </conditionalFormatting>
  <conditionalFormatting sqref="AM84">
    <cfRule type="containsText" dxfId="59" priority="80" operator="containsText" text="OK">
      <formula>NOT(ISERROR(SEARCH("OK",AM84)))</formula>
    </cfRule>
    <cfRule type="containsText" dxfId="58" priority="79" operator="containsText" text="ERREUR">
      <formula>NOT(ISERROR(SEARCH("ERREUR",AM84)))</formula>
    </cfRule>
  </conditionalFormatting>
  <conditionalFormatting sqref="AR64 AU64 AX64 BA64 BJ64 AC84 AH84 AM84">
    <cfRule type="containsText" dxfId="57" priority="35" operator="containsText" text="ERREUR">
      <formula>NOT(ISERROR(SEARCH("ERREUR",AC64)))</formula>
    </cfRule>
    <cfRule type="containsText" dxfId="56" priority="36" operator="containsText" text="OK">
      <formula>NOT(ISERROR(SEARCH("OK",AC64)))</formula>
    </cfRule>
  </conditionalFormatting>
  <conditionalFormatting sqref="AR62:AS62 AU62:AV62 AX62:AY62 BA62:BB62 BJ62:BK62 AR64:AS65 AU64:AV65 AX64:AY65 BA64:BB65 BJ64:BK65">
    <cfRule type="containsText" dxfId="55" priority="76" operator="containsText" text="OK">
      <formula>NOT(ISERROR(SEARCH("OK",AR62)))</formula>
    </cfRule>
  </conditionalFormatting>
  <conditionalFormatting sqref="AR64:AS65 AU64:AV65 AX64:AY65 BA64:BB65 BJ64:BK65 AR62:AS62 AU62:AV62 AX62:AY62 BA62:BB62 BJ62:BK62">
    <cfRule type="containsText" dxfId="54" priority="75" operator="containsText" text="ERREUR">
      <formula>NOT(ISERROR(SEARCH("ERREUR",AR62)))</formula>
    </cfRule>
  </conditionalFormatting>
  <conditionalFormatting sqref="BA63:BB63 BJ63:BK63">
    <cfRule type="colorScale" priority="54">
      <colorScale>
        <cfvo type="num" val="-1"/>
        <cfvo type="num" val="0"/>
        <cfvo type="num" val="1"/>
        <color rgb="FFFF0000"/>
        <color rgb="FF00FF00"/>
        <color rgb="FFFF0000"/>
      </colorScale>
    </cfRule>
  </conditionalFormatting>
  <conditionalFormatting sqref="BC9:BD62 AC11:AC12 AH11:AH12 AM11:AM13 AC15:AC17 AH15:AH17 AM15:AM17 AC19:AC21 AH19:AH21 AM19:AM21 AC23:AC25 AH23:AH25 AM23:AM25 AC27:AC29 AH27:AH29 AM27:AM29 AC31:AC37 AH31:AH37 AM31:AM37 AC39:AC45 AH39:AH45 AM39:AM45 AC47:AC53 AH47:AH53 AM47:AM53 AC55:AC57 AH55:AH57 AM55:AM57 AC59:AC61 AH59:AH61 AM59:AM61 AC63:AC69 AH63:AH69 AM63:AM69 AC71:AC81 AH71:AH81 AM71:AM81">
    <cfRule type="cellIs" dxfId="53" priority="83" stopIfTrue="1" operator="lessThan">
      <formula>0</formula>
    </cfRule>
  </conditionalFormatting>
  <conditionalFormatting sqref="BL9:BL60">
    <cfRule type="duplicateValues" dxfId="52" priority="232"/>
  </conditionalFormatting>
  <conditionalFormatting sqref="BL9:BL62">
    <cfRule type="duplicateValues" dxfId="51" priority="323"/>
  </conditionalFormatting>
  <conditionalFormatting sqref="BL55:BL60">
    <cfRule type="duplicateValues" dxfId="50" priority="73"/>
  </conditionalFormatting>
  <conditionalFormatting sqref="BL55:BL62">
    <cfRule type="duplicateValues" dxfId="49" priority="307"/>
  </conditionalFormatting>
  <conditionalFormatting sqref="BL62">
    <cfRule type="duplicateValues" dxfId="48" priority="2"/>
  </conditionalFormatting>
  <conditionalFormatting sqref="BN9:BN18">
    <cfRule type="duplicateValues" dxfId="47" priority="58"/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Spinner 1">
              <controlPr defaultSize="0" autoPict="0">
                <anchor moveWithCells="1" sizeWithCells="1">
                  <from>
                    <xdr:col>17</xdr:col>
                    <xdr:colOff>251460</xdr:colOff>
                    <xdr:row>3</xdr:row>
                    <xdr:rowOff>137160</xdr:rowOff>
                  </from>
                  <to>
                    <xdr:col>17</xdr:col>
                    <xdr:colOff>594360</xdr:colOff>
                    <xdr:row>6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00"/>
  </sheetPr>
  <dimension ref="A1:BN89"/>
  <sheetViews>
    <sheetView topLeftCell="C1" zoomScale="70" zoomScaleNormal="70" workbookViewId="0">
      <selection activeCell="V4" sqref="V4"/>
    </sheetView>
  </sheetViews>
  <sheetFormatPr baseColWidth="10" defaultRowHeight="13.2" x14ac:dyDescent="0.25"/>
  <cols>
    <col min="2" max="2" width="21.33203125" customWidth="1"/>
    <col min="3" max="3" width="5.5546875" customWidth="1"/>
    <col min="4" max="4" width="23.6640625" customWidth="1"/>
    <col min="5" max="5" width="4.88671875" customWidth="1"/>
    <col min="6" max="6" width="23.109375" customWidth="1"/>
    <col min="7" max="7" width="5.5546875" customWidth="1"/>
    <col min="8" max="8" width="6.109375" hidden="1" customWidth="1"/>
    <col min="9" max="12" width="11.44140625" hidden="1" customWidth="1"/>
    <col min="13" max="13" width="9.44140625" customWidth="1"/>
    <col min="15" max="15" width="21.33203125" customWidth="1"/>
    <col min="16" max="18" width="20.88671875" customWidth="1"/>
    <col min="19" max="19" width="21.44140625" customWidth="1"/>
    <col min="20" max="20" width="21.33203125" customWidth="1"/>
    <col min="21" max="21" width="21" customWidth="1"/>
    <col min="22" max="23" width="21.33203125" customWidth="1"/>
    <col min="24" max="24" width="4.44140625" customWidth="1"/>
    <col min="26" max="26" width="20.88671875" customWidth="1"/>
    <col min="27" max="27" width="8" customWidth="1"/>
    <col min="28" max="28" width="7.5546875" customWidth="1"/>
    <col min="29" max="29" width="7.33203125" customWidth="1"/>
    <col min="30" max="30" width="4.109375" customWidth="1"/>
    <col min="31" max="31" width="20.5546875" customWidth="1"/>
    <col min="32" max="32" width="8.44140625" customWidth="1"/>
    <col min="33" max="33" width="7" customWidth="1"/>
    <col min="34" max="34" width="5.5546875" customWidth="1"/>
    <col min="35" max="35" width="3.5546875" customWidth="1"/>
    <col min="36" max="36" width="21.33203125" customWidth="1"/>
    <col min="37" max="37" width="7.33203125" customWidth="1"/>
    <col min="38" max="38" width="7.109375" customWidth="1"/>
    <col min="39" max="39" width="7.6640625" customWidth="1"/>
    <col min="40" max="40" width="7" customWidth="1"/>
    <col min="41" max="41" width="11.44140625" customWidth="1"/>
    <col min="42" max="42" width="24.33203125" customWidth="1"/>
    <col min="43" max="43" width="7.5546875" customWidth="1"/>
    <col min="44" max="44" width="6.88671875" customWidth="1"/>
    <col min="45" max="45" width="7.88671875" customWidth="1"/>
    <col min="46" max="46" width="8" customWidth="1"/>
    <col min="47" max="47" width="7.33203125" customWidth="1"/>
    <col min="48" max="49" width="7.6640625" customWidth="1"/>
    <col min="50" max="50" width="7.44140625" customWidth="1"/>
    <col min="51" max="51" width="8" customWidth="1"/>
    <col min="52" max="54" width="11.44140625" customWidth="1"/>
    <col min="55" max="56" width="11.44140625" hidden="1" customWidth="1"/>
    <col min="57" max="57" width="16.109375" hidden="1" customWidth="1"/>
    <col min="58" max="58" width="13.44140625" hidden="1" customWidth="1"/>
    <col min="59" max="59" width="11.44140625" customWidth="1"/>
    <col min="60" max="60" width="22.44140625" customWidth="1"/>
    <col min="61" max="61" width="11" customWidth="1"/>
    <col min="62" max="62" width="9.5546875" customWidth="1"/>
    <col min="63" max="63" width="10" customWidth="1"/>
    <col min="64" max="64" width="10.109375" customWidth="1"/>
    <col min="65" max="65" width="7.5546875" customWidth="1"/>
    <col min="66" max="66" width="0" hidden="1" customWidth="1"/>
  </cols>
  <sheetData>
    <row r="1" spans="1:66" ht="25.8" thickBot="1" x14ac:dyDescent="0.45">
      <c r="A1" s="20"/>
      <c r="B1" s="356" t="s">
        <v>36</v>
      </c>
      <c r="C1" s="356"/>
      <c r="D1" s="356"/>
      <c r="E1" s="112"/>
      <c r="F1" s="112"/>
      <c r="G1" s="112"/>
      <c r="H1" s="112"/>
      <c r="I1" s="112"/>
      <c r="J1" s="69"/>
      <c r="K1" s="69"/>
      <c r="L1" s="113" t="s">
        <v>37</v>
      </c>
      <c r="N1" s="379" t="s">
        <v>121</v>
      </c>
      <c r="O1" s="380"/>
      <c r="P1" s="381"/>
      <c r="R1" s="69"/>
      <c r="S1" s="69"/>
      <c r="T1" s="112"/>
      <c r="Y1" s="114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</row>
    <row r="2" spans="1:66" ht="18" x14ac:dyDescent="0.35">
      <c r="A2" s="20"/>
      <c r="B2" s="22"/>
      <c r="C2" s="22"/>
      <c r="D2" s="65"/>
      <c r="E2" s="65"/>
      <c r="F2" s="20"/>
      <c r="G2" s="20"/>
      <c r="H2" s="18"/>
      <c r="I2" s="20"/>
      <c r="J2" s="20"/>
      <c r="K2" s="20"/>
      <c r="L2" s="20"/>
      <c r="P2" s="18"/>
      <c r="Q2" s="20"/>
      <c r="R2" s="22"/>
      <c r="S2" s="22"/>
      <c r="T2" s="22"/>
      <c r="U2" s="22"/>
      <c r="V2" s="20"/>
      <c r="W2" s="18"/>
      <c r="X2" s="18"/>
      <c r="Y2" s="34"/>
      <c r="Z2" s="18"/>
      <c r="AA2" s="36"/>
      <c r="AB2" s="36"/>
      <c r="AC2" s="36" t="s">
        <v>8</v>
      </c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315" t="s">
        <v>41</v>
      </c>
      <c r="BA2" s="18"/>
      <c r="BB2" s="18"/>
      <c r="BC2" s="18"/>
      <c r="BD2" s="18"/>
      <c r="BE2" s="18"/>
      <c r="BF2" s="18"/>
      <c r="BG2" s="18"/>
      <c r="BH2" s="18"/>
      <c r="BI2" s="18"/>
      <c r="BJ2" s="22"/>
      <c r="BK2" s="22"/>
      <c r="BL2" s="22"/>
      <c r="BM2" s="22"/>
    </row>
    <row r="3" spans="1:66" ht="22.8" x14ac:dyDescent="0.4">
      <c r="A3" s="114"/>
      <c r="B3" s="240" t="s">
        <v>62</v>
      </c>
      <c r="C3" s="22"/>
      <c r="D3" s="239" t="s">
        <v>52</v>
      </c>
      <c r="E3" s="65"/>
      <c r="F3" s="20"/>
      <c r="G3" s="20"/>
      <c r="H3" s="18"/>
      <c r="I3" s="20"/>
      <c r="J3" s="20"/>
      <c r="K3" s="20"/>
      <c r="L3" s="20"/>
      <c r="P3" s="18"/>
      <c r="Q3" s="378" t="s">
        <v>38</v>
      </c>
      <c r="R3" s="378"/>
      <c r="S3" s="378"/>
      <c r="T3" s="22"/>
      <c r="U3" s="114"/>
      <c r="V3" s="114"/>
      <c r="W3" s="114"/>
      <c r="X3" s="114"/>
      <c r="Y3" s="20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22"/>
      <c r="BK3" s="22"/>
      <c r="BL3" s="22"/>
      <c r="BM3" s="22"/>
    </row>
    <row r="4" spans="1:66" ht="23.4" thickBot="1" x14ac:dyDescent="0.4">
      <c r="A4" s="114"/>
      <c r="B4" s="114"/>
      <c r="C4" s="22"/>
      <c r="D4" s="65"/>
      <c r="E4" s="65"/>
      <c r="F4" s="20"/>
      <c r="G4" s="20"/>
      <c r="H4" s="18"/>
      <c r="I4" s="20"/>
      <c r="J4" s="20"/>
      <c r="K4" s="20"/>
      <c r="L4" s="20"/>
      <c r="P4" s="18"/>
      <c r="Q4" s="20"/>
      <c r="R4" s="131"/>
      <c r="S4" s="131"/>
      <c r="V4" s="114"/>
      <c r="W4" s="114"/>
      <c r="Y4" s="35" t="s">
        <v>22</v>
      </c>
      <c r="Z4" s="36"/>
      <c r="AA4" s="36"/>
      <c r="AB4" s="37"/>
      <c r="AC4" s="34"/>
      <c r="AD4" s="37"/>
      <c r="AE4" s="37"/>
      <c r="AF4" s="36"/>
      <c r="AG4" s="36"/>
      <c r="AH4" s="36"/>
      <c r="AI4" s="36"/>
      <c r="AJ4" s="36"/>
      <c r="AK4" s="36"/>
      <c r="AL4" s="36"/>
      <c r="AM4" s="36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22"/>
      <c r="BI4" s="22"/>
      <c r="BJ4" s="22"/>
      <c r="BK4" s="22"/>
      <c r="BL4" s="22"/>
      <c r="BM4" s="22"/>
    </row>
    <row r="5" spans="1:66" ht="25.2" thickBot="1" x14ac:dyDescent="0.4">
      <c r="A5" s="115">
        <f>+Q5</f>
        <v>45</v>
      </c>
      <c r="B5" s="360" t="s">
        <v>120</v>
      </c>
      <c r="C5" s="361"/>
      <c r="D5" s="362"/>
      <c r="P5" s="69"/>
      <c r="Q5" s="387">
        <v>45</v>
      </c>
      <c r="R5" s="69"/>
      <c r="S5" s="415">
        <f>IF(Q5=8,2,IF($Q$5=9,2,IF($Q$5=10,2,IF($Q$5=11,2,IF($Q$5=12,2,IF($Q$5=13,3,IF(Q5=14,3,IF($Q$5=15,3,IF(Q5=16,3,IF($Q$5=17,3,IF(Q5=18,3,IF($Q$5=19,4,IF(Q5=20,4,IF($Q$5=21,4,IF(Q5=22,4,IF($Q$5=23,4,IF(Q5=24,4,IF($Q$5=25,5,IF(Q5=26,5,IF($Q$5=27,5,IF(Q5=28,5,IF($Q$5=29,5,IF(Q5=30,5,IF($Q$5=31,6,IF(Q5=32,6,IF($Q$5=33,6,IF($Q$5=34,6,IF($Q$5=35,6,IF($Q$5=36,6,IF($Q$5=37,7,IF($Q$5=38,7,IF($Q$5=39,7,IF($Q$5=40,7,IF($Q$5=41,7,IF($Q$5=42,7,IF($Q$5=43,8,IF($Q$5=44,8,IF($Q$5=45,8,IF($Q$5=46,8,IF($Q$5=47,8,IF($Q$5=48,8,IF($Q$5=49,9,IF($Q$5=50,9,IF($Q$5=51,9,IF($Q$5=52,9,IF($Q$5=53,9,IF($Q$5=54,9,0)))))))))))))))))))))))))))))))))))))))))))))))</f>
        <v>8</v>
      </c>
      <c r="T5" s="413" t="s">
        <v>39</v>
      </c>
      <c r="Y5" s="20"/>
      <c r="Z5" s="18"/>
      <c r="AA5" s="18"/>
      <c r="AB5" s="18"/>
      <c r="AC5" s="18"/>
      <c r="AD5" s="18"/>
      <c r="AE5" s="36" t="s">
        <v>23</v>
      </c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22"/>
      <c r="BI5" s="22"/>
      <c r="BJ5" s="22"/>
      <c r="BK5" s="22"/>
      <c r="BL5" s="22"/>
      <c r="BM5" s="22"/>
    </row>
    <row r="6" spans="1:66" ht="19.5" customHeight="1" thickBot="1" x14ac:dyDescent="0.35">
      <c r="P6" s="69"/>
      <c r="Q6" s="388"/>
      <c r="R6" s="69"/>
      <c r="S6" s="416"/>
      <c r="T6" s="414"/>
      <c r="Y6" s="20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40"/>
      <c r="BI6" s="40"/>
      <c r="BJ6" s="40"/>
      <c r="BK6" s="40"/>
      <c r="BL6" s="40"/>
      <c r="BM6" s="40"/>
    </row>
    <row r="7" spans="1:66" ht="29.25" customHeight="1" thickTop="1" thickBot="1" x14ac:dyDescent="0.35">
      <c r="D7" s="376" t="s">
        <v>60</v>
      </c>
      <c r="E7" s="377"/>
      <c r="P7" s="69"/>
      <c r="Q7" s="69"/>
      <c r="R7" s="69"/>
      <c r="S7" s="69"/>
      <c r="Y7" s="20"/>
      <c r="Z7" s="363" t="s">
        <v>1</v>
      </c>
      <c r="AA7" s="364"/>
      <c r="AB7" s="364"/>
      <c r="AC7" s="365"/>
      <c r="AD7" s="20"/>
      <c r="AE7" s="366" t="s">
        <v>2</v>
      </c>
      <c r="AF7" s="367"/>
      <c r="AG7" s="367"/>
      <c r="AH7" s="368"/>
      <c r="AI7" s="20"/>
      <c r="AJ7" s="369" t="s">
        <v>3</v>
      </c>
      <c r="AK7" s="370"/>
      <c r="AL7" s="370"/>
      <c r="AM7" s="371"/>
      <c r="AO7" s="20"/>
      <c r="AP7" s="302" t="s">
        <v>0</v>
      </c>
      <c r="AQ7" s="357" t="s">
        <v>1</v>
      </c>
      <c r="AR7" s="358"/>
      <c r="AS7" s="359"/>
      <c r="AT7" s="401" t="s">
        <v>2</v>
      </c>
      <c r="AU7" s="402"/>
      <c r="AV7" s="412"/>
      <c r="AW7" s="406" t="s">
        <v>3</v>
      </c>
      <c r="AX7" s="407"/>
      <c r="AY7" s="408"/>
      <c r="AZ7" s="398" t="s">
        <v>7</v>
      </c>
      <c r="BA7" s="399"/>
      <c r="BB7" s="400"/>
      <c r="BC7" s="86"/>
      <c r="BD7" s="301"/>
      <c r="BE7" s="20"/>
      <c r="BF7" s="20"/>
      <c r="BG7" s="69"/>
      <c r="BH7" s="398" t="s">
        <v>21</v>
      </c>
      <c r="BI7" s="399"/>
      <c r="BJ7" s="399"/>
      <c r="BK7" s="399"/>
      <c r="BL7" s="400"/>
      <c r="BM7" s="69"/>
    </row>
    <row r="8" spans="1:66" ht="22.2" thickTop="1" thickBot="1" x14ac:dyDescent="0.45">
      <c r="A8" s="163"/>
      <c r="D8" s="389" t="s">
        <v>61</v>
      </c>
      <c r="E8" s="390"/>
      <c r="G8" s="164"/>
      <c r="H8" s="109"/>
      <c r="I8" s="164"/>
      <c r="J8" s="164"/>
      <c r="K8" s="164"/>
      <c r="L8" s="164"/>
      <c r="M8" s="164"/>
      <c r="N8" s="163"/>
      <c r="O8" s="409" t="s">
        <v>9</v>
      </c>
      <c r="P8" s="410"/>
      <c r="Q8" s="410"/>
      <c r="R8" s="410"/>
      <c r="S8" s="410"/>
      <c r="T8" s="410"/>
      <c r="U8" s="410"/>
      <c r="V8" s="410"/>
      <c r="W8" s="411"/>
      <c r="X8" s="109"/>
      <c r="Y8" s="20"/>
      <c r="Z8" s="19"/>
      <c r="AA8" s="19"/>
      <c r="AB8" s="19"/>
      <c r="AC8" s="19"/>
      <c r="AD8" s="20"/>
      <c r="AE8" s="19"/>
      <c r="AF8" s="19"/>
      <c r="AG8" s="19"/>
      <c r="AH8" s="18"/>
      <c r="AI8" s="19"/>
      <c r="AJ8" s="19"/>
      <c r="AK8" s="20"/>
      <c r="AL8" s="20"/>
      <c r="AM8" s="19"/>
      <c r="AN8" s="109"/>
      <c r="AO8" s="20"/>
      <c r="AP8" s="87" t="s">
        <v>6</v>
      </c>
      <c r="AQ8" s="94" t="s">
        <v>10</v>
      </c>
      <c r="AR8" s="308" t="s">
        <v>11</v>
      </c>
      <c r="AS8" s="307" t="s">
        <v>12</v>
      </c>
      <c r="AT8" s="94" t="s">
        <v>10</v>
      </c>
      <c r="AU8" s="92" t="s">
        <v>11</v>
      </c>
      <c r="AV8" s="187" t="s">
        <v>12</v>
      </c>
      <c r="AW8" s="91" t="s">
        <v>10</v>
      </c>
      <c r="AX8" s="92" t="s">
        <v>11</v>
      </c>
      <c r="AY8" s="187" t="s">
        <v>12</v>
      </c>
      <c r="AZ8" s="105" t="s">
        <v>16</v>
      </c>
      <c r="BA8" s="95" t="s">
        <v>11</v>
      </c>
      <c r="BB8" s="188" t="s">
        <v>12</v>
      </c>
      <c r="BC8" s="84" t="s">
        <v>19</v>
      </c>
      <c r="BD8" s="186" t="s">
        <v>20</v>
      </c>
      <c r="BE8" s="185" t="s">
        <v>14</v>
      </c>
      <c r="BF8" s="99" t="s">
        <v>15</v>
      </c>
      <c r="BG8" s="69"/>
      <c r="BH8" s="312" t="s">
        <v>6</v>
      </c>
      <c r="BI8" s="313" t="s">
        <v>16</v>
      </c>
      <c r="BJ8" s="314" t="s">
        <v>17</v>
      </c>
      <c r="BK8" s="103" t="s">
        <v>12</v>
      </c>
      <c r="BL8" s="233" t="s">
        <v>18</v>
      </c>
      <c r="BM8" s="164"/>
      <c r="BN8" s="224" t="s">
        <v>16</v>
      </c>
    </row>
    <row r="9" spans="1:66" ht="21.6" thickBot="1" x14ac:dyDescent="0.45">
      <c r="A9" s="109"/>
      <c r="B9" s="391" t="s">
        <v>33</v>
      </c>
      <c r="C9" s="392"/>
      <c r="D9" s="393" t="s">
        <v>34</v>
      </c>
      <c r="E9" s="392"/>
      <c r="F9" s="394" t="s">
        <v>35</v>
      </c>
      <c r="G9" s="392"/>
      <c r="H9" s="18"/>
      <c r="I9" s="116"/>
      <c r="J9" s="395" t="s">
        <v>40</v>
      </c>
      <c r="K9" s="396"/>
      <c r="L9" s="397"/>
      <c r="M9" s="129"/>
      <c r="N9" s="66"/>
      <c r="O9" s="386" t="s">
        <v>1</v>
      </c>
      <c r="P9" s="386"/>
      <c r="Q9" s="386"/>
      <c r="R9" s="401" t="s">
        <v>2</v>
      </c>
      <c r="S9" s="402"/>
      <c r="T9" s="402"/>
      <c r="U9" s="406" t="s">
        <v>3</v>
      </c>
      <c r="V9" s="407"/>
      <c r="W9" s="408"/>
      <c r="X9" s="18"/>
      <c r="Y9" s="31" t="s">
        <v>30</v>
      </c>
      <c r="Z9" s="21" t="s">
        <v>4</v>
      </c>
      <c r="AA9" s="21" t="s">
        <v>12</v>
      </c>
      <c r="AB9" s="21" t="s">
        <v>10</v>
      </c>
      <c r="AC9" s="21" t="s">
        <v>11</v>
      </c>
      <c r="AD9" s="19"/>
      <c r="AE9" s="21" t="s">
        <v>4</v>
      </c>
      <c r="AF9" s="21" t="s">
        <v>12</v>
      </c>
      <c r="AG9" s="21" t="s">
        <v>10</v>
      </c>
      <c r="AH9" s="21" t="s">
        <v>11</v>
      </c>
      <c r="AI9" s="19"/>
      <c r="AJ9" s="21" t="s">
        <v>4</v>
      </c>
      <c r="AK9" s="21" t="s">
        <v>12</v>
      </c>
      <c r="AL9" s="21" t="s">
        <v>10</v>
      </c>
      <c r="AM9" s="21" t="s">
        <v>11</v>
      </c>
      <c r="AN9" s="18"/>
      <c r="AO9" s="43">
        <v>1</v>
      </c>
      <c r="AP9" s="277" t="str">
        <f>+Inscrits!B3</f>
        <v>A1</v>
      </c>
      <c r="AQ9" s="246">
        <f>IF(ISNA(VLOOKUP(AP9,$Z$11:$AC$81,3,0))," ",IF(VLOOKUP(AP9,$Z$11:$AC$81,3,0)=0,"0",VLOOKUP(AP9,$Z$11:$AC$81,3,0)))</f>
        <v>3</v>
      </c>
      <c r="AR9" s="182">
        <f>IF(ISNA(VLOOKUP(AP9,$Z$11:$AC$81,4,0))," ",IF(VLOOKUP(AP9,$Z$11:$AC$81,4,0)=0,"0",VLOOKUP(AP9,$Z$11:$AC$81,4,0)))</f>
        <v>3</v>
      </c>
      <c r="AS9" s="77">
        <f>IF(ISNA(VLOOKUP(AP9,$Z$11:$AC$81,2,0))," ",IF(VLOOKUP(AP9,$Z$11:$AC$81,2,0)=0,"0",VLOOKUP(AP9,$Z$11:$AC$81,2,0)))</f>
        <v>9</v>
      </c>
      <c r="AT9" s="74">
        <f>IF(ISNA(VLOOKUP(AP9,$AE$11:$AH$81,3,0))," ",IF(VLOOKUP(AP9,$AE$11:$AH$81,3,0)=0,"0",VLOOKUP(AP9,$AE$11:$AH$81,3,0)))</f>
        <v>1</v>
      </c>
      <c r="AU9" s="30">
        <f>IF(ISNA(VLOOKUP(AP9,$AE$11:$AH$81,4,0))," ",IF(VLOOKUP(AP9,$AE$11:$AH$81,4,0)=0,"0",VLOOKUP(AP9,$AE$11:$AH$81,4,0)))</f>
        <v>-12</v>
      </c>
      <c r="AV9" s="249">
        <f>IF(ISNA(VLOOKUP(AP9,$AE$11:$AH$81,2,0))," ",IF(VLOOKUP(AP9,$AE$11:$AH$81,2,0)=0,"0",VLOOKUP(AP9,$AE$11:$AH$81,2,0)))</f>
        <v>1</v>
      </c>
      <c r="AW9" s="246">
        <f>IF(ISNA(VLOOKUP(AP9,$AJ$11:$AM$81,3,0))," ",IF(VLOOKUP(AP9,$AJ$11:$AM$81,3,0)=0,"0",VLOOKUP(AP9,$AJ$11:$AM$81,3,0)))</f>
        <v>3</v>
      </c>
      <c r="AX9" s="30">
        <f>IF(ISNA(VLOOKUP(AP9,$AJ$11:$AM$81,4,0))," ",IF(VLOOKUP(AP9,$AJ$11:$AM$81,4,0)=0,"0",VLOOKUP(AP9,$AJ$11:$AM$81,4,0)))</f>
        <v>8</v>
      </c>
      <c r="AY9" s="249">
        <f>IF(ISNA(VLOOKUP(AP9,$AJ$11:$AM$81,2,0))," ",IF(VLOOKUP(AP9,$AJ$11:$AM$81,2,0)=0,"0",VLOOKUP(AP9,$AJ$11:$AM$81,2,0)))</f>
        <v>9</v>
      </c>
      <c r="AZ9" s="246">
        <f>SUMIFS(AQ9:AW9,$AQ$8:$AW$8,"Pts",AQ9:AW9,"&lt;&gt;#N/A")</f>
        <v>7</v>
      </c>
      <c r="BA9" s="30">
        <f>SUMIFS(AQ9:AX9,$AQ$8:$AX$8,"GA",AQ9:AX9,"&lt;&gt;#N/A")</f>
        <v>-1</v>
      </c>
      <c r="BB9" s="249">
        <f>SUMIFS(AQ9:AY9,$AQ$8:$AY$8,"Score",AQ9:AY9,"&lt;&gt;#N/A")</f>
        <v>19</v>
      </c>
      <c r="BC9" s="74">
        <f>IF(BA9="","",IF(BA9&lt;0,BA9,0))</f>
        <v>-1</v>
      </c>
      <c r="BD9" s="249">
        <f>IF(BA9="","",IF(BA9&gt;0,BA9,0))</f>
        <v>0</v>
      </c>
      <c r="BE9" s="304">
        <f>IF(OR(AP9="",AZ9="",BA9="",BB9=""),"",RANK(AZ9,$AZ$9:$AZ$62)+SUM(-BA9/100)-(+BB9/10000)+COUNTIF(AP$9:AP$62,"&lt;="&amp;AP9+1)/1000000+ROW()/100000000)</f>
        <v>7.0081000900000001</v>
      </c>
      <c r="BF9" s="82">
        <f>IF(AP9="","",SMALL(BE$9:BE$62,ROWS(AZ$9:AZ9)))</f>
        <v>0.78690016000000007</v>
      </c>
      <c r="BH9" s="310" t="str">
        <f>IF(OR(AP9="",AZ9=""),"",INDEX($AP$9:$AP$63,MATCH(BF9,$BE$9:BE$62,0)))</f>
        <v>A8</v>
      </c>
      <c r="BI9" s="311">
        <f t="shared" ref="BI9:BI40" si="0">IF(AP9="","",INDEX($AZ$9:$AZ$63,MATCH(BF9,$BE$9:$BE$62,0)))</f>
        <v>9</v>
      </c>
      <c r="BJ9" s="81">
        <f t="shared" ref="BJ9:BJ40" si="1">IF(AP9="","",INDEX($BA$9:$BA$63,MATCH(BF9,$BE$9:$BE$62,0)))</f>
        <v>21</v>
      </c>
      <c r="BK9" s="81">
        <f t="shared" ref="BK9:BK40" si="2">IF(AP9="","",INDEX($BB$9:$BB$63,MATCH(BF9,$BE$9:$BE$62,0)))</f>
        <v>31</v>
      </c>
      <c r="BL9" s="241">
        <f>IF(BF9="","",1)</f>
        <v>1</v>
      </c>
      <c r="BM9" s="22"/>
      <c r="BN9" s="31"/>
    </row>
    <row r="10" spans="1:66" ht="21.6" thickBot="1" x14ac:dyDescent="0.35">
      <c r="A10" s="110">
        <v>1</v>
      </c>
      <c r="B10" s="329" t="s">
        <v>66</v>
      </c>
      <c r="C10" s="234">
        <f>IF($Q$5&gt;7,1,0)</f>
        <v>1</v>
      </c>
      <c r="D10" s="337" t="s">
        <v>84</v>
      </c>
      <c r="E10" s="234">
        <f>IF($Q$5&gt;7,1,0)</f>
        <v>1</v>
      </c>
      <c r="F10" s="336" t="s">
        <v>102</v>
      </c>
      <c r="G10" s="234">
        <f>IF($Q$5&gt;7,1,0)</f>
        <v>1</v>
      </c>
      <c r="H10" s="18"/>
      <c r="I10" s="170">
        <v>1</v>
      </c>
      <c r="J10" s="171" t="str">
        <f>IF(ISNA(MATCH(I10,$C$10:$C$27,0)),"",INDEX(B$10:$B$27,MATCH(I10,$C$10:$C$27,0)))</f>
        <v>A1</v>
      </c>
      <c r="K10" s="158" t="str">
        <f>IF(ISNA(MATCH(I10,$E$10:$E$27,0)),"",INDEX($D$10:D$27,MATCH(I10,$E$10:$E$27,0)))</f>
        <v>B1</v>
      </c>
      <c r="L10" s="159" t="str">
        <f>IF(ISNA(MATCH(I10,$G$10:$G$27,0)),"",INDEX($F$10:F$27,MATCH(I10,$G$10:$G$27,0)))</f>
        <v>C1</v>
      </c>
      <c r="M10" s="130"/>
      <c r="N10" s="67">
        <v>1</v>
      </c>
      <c r="O10" s="118" t="str">
        <f>IF($Q$5&lt;55&gt;7,J10,0)</f>
        <v>A1</v>
      </c>
      <c r="P10" s="119" t="str">
        <f>IF($Q$5&gt;=8,K10,0)</f>
        <v>B1</v>
      </c>
      <c r="Q10" s="120" t="str">
        <f>IF($Q$5&gt;9,L10,IF($Q$5=9,L10,0))</f>
        <v>C1</v>
      </c>
      <c r="R10" s="150" t="str">
        <f>IF($Q$5=8,K12,IF($Q$5=9,O13,IF($Q$5=10,J12,IF($Q$5=11,J10,IF($Q$5=12,J10,IF($Q$5=13,J11,IF($Q$5=14,J11,IF($Q$5=15,J11,IF($Q$5=16,J11,IF($Q$5=17,J10,IF($Q$5=18,J10,IF($Q$5=19,J11,IF($Q$5=20,J10,IF($Q$5=21,J10,IF($Q$5=22,J11,IF($Q$5=23,J11,IF($Q$5=24,J11,IF($Q$5=25,J11,IF($Q$5=26,J11,IF($Q$5=27,J11,IF($Q$5=28,J11,IF($Q$5=29,J11,IF($Q$5=30,J11,IF($Q$5=31,J11,IF($Q$5=32,J11,IF($Q$5=33,J11,IF($Q$5=34,J11,IF($Q$5=35,J11,IF($Q$5=36,J11,IF($Q$5=37,J11,IF($Q$5=38,J11,IF($Q$5=39,J11,IF($Q$5=40,J11,IF($Q$5=41,J11,IF($Q$5=42,J11,IF($Q$5=43,J11,IF($Q$5=44,J11,IF($Q$5=45,J11,IF($Q$5=46,J11,IF($Q$5=47,J11,IF($Q$5=48,J11,IF($Q$5=49,J11,IF($Q$5=50,J11,IF($Q$5=51,J11,IF($Q$5=52,J11,IF($Q$5=53,J11,IF($Q$5=54,J11,0)))))))))))))))))))))))))))))))))))))))))))))))</f>
        <v>A2</v>
      </c>
      <c r="S10" s="132" t="str">
        <f>IF($Q$5=8,L11,IF($Q$5=9,L11,IF($Q$5=10,K10,IF($Q$5=11,K13,IF($Q$5=12,K13,IF($Q$5=13,L10,IF($Q$5=14,K12,IF($Q$5=15,K13,IF($Q$5=16,K12,IF($Q$5=17,K13,IF($Q$5=18,K13,IF($Q$5=19,K13,IF($Q$5=20,P17,IF($Q$5=21,K13,IF($Q$5=22,K13,IF($Q$5=23,K13,IF($Q$5=24,K16,IF($Q$5=25,K13,IF($Q$5=26,K16,IF($Q$5=27,K13,IF($Q$5=28,K13,IF($Q$5=29,K13,IF($Q$5=30,K13,IF($Q$5=31,K13,IF($Q$5=32,K13,IF($Q$5=33,K13,IF($Q$5=34,K13,IF($Q$5=35,K13,IF($Q$5=36,K12,IF($Q$5=37,K12,IF($Q$5=38,K12,IF($Q$5=39,K12,IF($Q$5=40,K12,IF($Q$5=41,K12,IF($Q$5=42,K12,IF($Q$5=43,K12,IF($Q$5=44,K12,IF($Q$5=45,K12,IF($Q$5=46,K12,IF($Q$5=47,K12,IF($Q$5=48,K12,IF($Q$5=49,K12,IF($Q$5=50,K12,IF($Q$5=51,K12,IF($Q$5=52,K12,IF($Q$5=53,K12,IF($Q$5=54,K12,0)))))))))))))))))))))))))))))))))))))))))))))))</f>
        <v>B3</v>
      </c>
      <c r="T10" s="151" t="str">
        <f>IF($Q$5=9,P13,IF($Q$5=10,L12,IF($Q$5=11,L11,IF($Q$5=12,L12,IF($Q$5=13,P15,IF($Q$5=14,P15,IF($Q$5=15,P14,IF($Q$5=16,L13,IF($Q$5=17,L12,IF($Q$5=18,L12,IF($Q$5=19,P17,IF($Q$5=20,L12,IF($Q$5=21,P10,IF($Q$5=22,L12,IF($Q$5=23,L12,IF($Q$5=24,L12,IF($Q$5=25,L12,IF($Q$5=26,L12,IF($Q$5=27,L12,IF($Q$5=28,L12,IF($Q$5=29,L12,IF($Q$5=30,L12,IF($Q$5=31,L12,IF($Q$5=32,L12,IF($Q$5=33,L12,IF($Q$5=34,L12,IF($Q$5=35,L12,IF($Q$5=36,L13,IF($Q$5=37,L13,IF($Q$5=38,L13,IF($Q$5=39,L13,IF($Q$5=40,L13,IF($Q$5=41,L13,IF($Q$5=42,L13,IF($Q$5=43,L13,IF($Q$5=44,L13,IF($Q$5=45,L13,IF($Q$5=46,L13,IF($Q$5=47,L13,IF($Q$5=48,L13,IF($Q$5=49,L13,IF($Q$5=50,L13,IF($Q$5=51,L13,IF($Q$5=52,L13,IF($Q$5=53,L13,IF($Q$5=54,L13,0))))))))))))))))))))))))))))))))))))))))))))))</f>
        <v>C4</v>
      </c>
      <c r="U10" s="140" t="str">
        <f>IF($Q$5=8,J11,IF($Q$5=9,R11,IF($Q$5=10,J13,IF($Q$5=11,J13,IF($Q$5=12,J10,IF($Q$5=13,R12,IF($Q$5=14,R11,IF($Q$5=15,R11,IF($Q$5=16,R15,IF($Q$5=17,R10,IF(Q$5=18,R10,IF($Q$5=19,R13,IF($Q$5=20,R10,IF($Q$5=21,O10,IF($Q$5=22,R17,IF($Q$5=23,R11,IF($Q$5=24,R17,IF($Q$5=25,R19,IF($Q$5=26,R19,IF($Q$5=27,R18,IF($Q$5=28,R19,IF($Q$5=29,R19,IF($Q$5=30,R19,IF($Q$5=31,R20,IF($Q$5=32,R21,IF($Q$5=33,O10,IF($Q$5=34,O10,IF($Q$5=35,R21,IF($Q$5=36,O12,IF($Q$5=37,R11,IF($Q$5=38,R11,IF($Q$5=39,R11,IF($Q$5=40,R11,IF($Q$5=41,R11,IF($Q$5=42,R11,IF($Q$5=43,R11,IF($Q$5=44,R11,IF($Q$5=45,R11,IF($Q$5=46,R11,IF($Q$5=47,R11,IF($Q$5=48,R11,IF($Q$5=49,R11,IF($Q$5=50,R11,IF($Q$5=51,R11,IF($Q$5=52,R11,IF($Q$5=53,R11,IF($Q$5=54,R11,0)))))))))))))))))))))))))))))))))))))))))))))))</f>
        <v>A3</v>
      </c>
      <c r="V10" s="132" t="str">
        <f>IF($Q$5=8,L10,IF($Q$5=9,T10,IF($Q$5=10,K12,IF($Q$5=11,S12,IF($Q$5=12,P12,IF($Q$5=13,S13,IF($Q$5=14,S12,IF($Q$5=15,S14,IF($Q$5=16,S10,IF($Q$5=17,S13,IF($Q$5=18,S13,IF($Q$5=19,S14,IF($Q$5=20,S13,IF($Q$5=21,S13,IF($Q$5=22,S13,IF($Q$5=23,S13,IF($Q$5=24,S13,IF($Q$5=25,S10,IF($Q$5=26,S13,IF($Q$5=27,S13,IF($Q$5=28,S10,IF($Q$5=29,S13,IF($Q$5=30,S13,IF($Q$5=31,S13,IF($Q$5=32,S10,IF($Q$5=33,S10,IF($Q$5=34,S10,IF($Q$5=35,S10,IF($Q$5=36,S12,IF($Q$5=37,S12,IF($Q$5=38,S12,IF($Q$5=39,S12,IF($Q$5=40,S12,IF($Q$5=41,S12,IF($Q$5=42,S12,IF($Q$5=43,S12,IF($Q$5=44,S12,IF($Q$5=45,S12,IF($Q$5=46,S12,IF($Q$5=47,S12,IF($Q$5=48,S12,IF($Q$5=49,S12,IF($Q$5=50,S12,IF($Q$5=51,S12,IF($Q$5=52,S12,IF($Q$5=53,S12,IF($Q$5=54,S12,0)))))))))))))))))))))))))))))))))))))))))))))))</f>
        <v>B5</v>
      </c>
      <c r="W10" s="144" t="str">
        <f>IF($Q$5=9,L11,IF($Q$5=10,L11,IF($Q$5=11,T11,IF($Q$5=12,T11,IF($Q$5=13,S11,IF($Q$5=14,S14,IF($Q$5=15,T12,IF($Q$5=16,T11,IF($Q$5=17,T12,IF($Q$5=18,T12,IF($Q$5=19,T12,IF($Q$5=20,T12,IF($Q$5=21,T12,IF($Q$5=22,T12,IF(Q$5=23,T12,IF($Q$5=24,T12,IF($Q$5=25,T12,IF($Q$5=26,T12,IF($Q$5=27,T12,IF($Q$5=28,T12,IF($Q$5=29,T11,IF($Q$5=30,T12,IF($Q$5=31,T12,IF($Q$5=32,T11,IF($Q$5=33,T11,IF($Q$5=34,T11,IF($Q$5=35,T11,IF($Q$5=36,T13,IF($Q$5=37,T13,IF($Q$5=38,T13,IF($Q$5=39,T13,IF($Q$5=40,T13,IF($Q$5=41,T13,IF($Q$5=42,T13,IF($Q$5=43,T13,IF($Q$5=44,T13,IF($Q$5=45,T13,IF($Q$5=46,T13,IF($Q$5=47,T13,IF($Q$5=48,T13,IF($Q$5=49,T13,IF($Q$5=50,T13,IF($Q$5=51,T13,IF($Q$5=52,T13,IF($Q$5=53,T13,IF($Q$5=54,T13,0))))))))))))))))))))))))))))))))))))))))))))))</f>
        <v>C7</v>
      </c>
      <c r="X10" s="18"/>
      <c r="Y10" s="20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8"/>
      <c r="AO10" s="44">
        <v>2</v>
      </c>
      <c r="AP10" s="278" t="str">
        <f>+Inscrits!B4</f>
        <v>A2</v>
      </c>
      <c r="AQ10" s="247">
        <f t="shared" ref="AQ10:AQ62" si="3">IF(ISNA(VLOOKUP(AP10,$Z$11:$AC$81,3,0))," ",IF(VLOOKUP(AP10,$Z$11:$AC$81,3,0)=0,"0",VLOOKUP(AP10,$Z$11:$AC$81,3,0)))</f>
        <v>1</v>
      </c>
      <c r="AR10" s="82">
        <f t="shared" ref="AR10:AR62" si="4">IF(ISNA(VLOOKUP(AP10,$Z$11:$AC$81,4,0))," ",IF(VLOOKUP(AP10,$Z$11:$AC$81,4,0)=0,"0",VLOOKUP(AP10,$Z$11:$AC$81,4,0)))</f>
        <v>-3</v>
      </c>
      <c r="AS10" s="184">
        <f t="shared" ref="AS10:AS62" si="5">IF(ISNA(VLOOKUP(AP10,$Z$11:$AC$81,2,0))," ",IF(VLOOKUP(AP10,$Z$11:$AC$81,2,0)=0,"0",VLOOKUP(AP10,$Z$11:$AC$81,2,0)))</f>
        <v>6</v>
      </c>
      <c r="AT10" s="250">
        <f t="shared" ref="AT10:AT62" si="6">IF(ISNA(VLOOKUP(AP10,$AE$11:$AH$81,3,0))," ",IF(VLOOKUP(AP10,$AE$11:$AH$81,3,0)=0,"0",VLOOKUP(AP10,$AE$11:$AH$81,3,0)))</f>
        <v>1</v>
      </c>
      <c r="AU10" s="82">
        <f t="shared" ref="AU10:AU62" si="7">IF(ISNA(VLOOKUP(AP10,$AE$11:$AH$81,4,0))," ",IF(VLOOKUP(AP10,$AE$11:$AH$81,4,0)=0,"0",VLOOKUP(AP10,$AE$11:$AH$81,4,0)))</f>
        <v>-5</v>
      </c>
      <c r="AV10" s="252">
        <f t="shared" ref="AV10:AV62" si="8">IF(ISNA(VLOOKUP(AP10,$AE$11:$AH$81,2,0))," ",IF(VLOOKUP(AP10,$AE$11:$AH$81,2,0)=0,"0",VLOOKUP(AP10,$AE$11:$AH$81,2,0)))</f>
        <v>5</v>
      </c>
      <c r="AW10" s="247">
        <f t="shared" ref="AW10:AW62" si="9">IF(ISNA(VLOOKUP(AP10,$AJ$11:$AM$81,3,0))," ",IF(VLOOKUP(AP10,$AJ$11:$AM$81,3,0)=0,"0",VLOOKUP(AP10,$AJ$11:$AM$81,3,0)))</f>
        <v>3</v>
      </c>
      <c r="AX10" s="82">
        <f t="shared" ref="AX10:AX62" si="10">IF(ISNA(VLOOKUP(AP10,$AJ$11:$AM$81,4,0))," ",IF(VLOOKUP(AP10,$AJ$11:$AM$81,4,0)=0,"0",VLOOKUP(AP10,$AJ$11:$AM$81,4,0)))</f>
        <v>11</v>
      </c>
      <c r="AY10" s="252">
        <f t="shared" ref="AY10:AY62" si="11">IF(ISNA(VLOOKUP(AP10,$AJ$11:$AM$81,2,0))," ",IF(VLOOKUP(AP10,$AJ$11:$AM$81,2,0)=0,"0",VLOOKUP(AP10,$AJ$11:$AM$81,2,0)))</f>
        <v>13</v>
      </c>
      <c r="AZ10" s="247">
        <f>SUMIFS(AQ10:AW10,$AQ$8:$AW$8,"Pts",AQ10:AW10,"&lt;&gt;#N/A")</f>
        <v>5</v>
      </c>
      <c r="BA10" s="82">
        <f t="shared" ref="BA10:BA62" si="12">SUMIFS(AQ10:AX10,$AQ$8:$AX$8,"GA",AQ10:AX10,"&lt;&gt;#N/A")</f>
        <v>3</v>
      </c>
      <c r="BB10" s="252">
        <f t="shared" ref="BB10:BB62" si="13">SUMIFS(AQ10:AY10,$AQ$8:$AY$8,"Score",AQ10:AY10,"&lt;&gt;#N/A")</f>
        <v>24</v>
      </c>
      <c r="BC10" s="32">
        <f t="shared" ref="BC10:BC62" si="14">IF(BA10="","",IF(BA10&lt;0,BA10,0))</f>
        <v>0</v>
      </c>
      <c r="BD10" s="47">
        <f t="shared" ref="BD10:BD62" si="15">IF(BA10="","",IF(BA10&gt;0,BA10,0))</f>
        <v>3</v>
      </c>
      <c r="BE10" s="304">
        <f t="shared" ref="BE10:BE62" si="16">IF(OR(AP10="",AZ10="",BA10="",BB10=""),"",RANK(AZ10,$AZ$9:$AZ$62)+SUM(-BA10/100)-(+BB10/10000)+COUNTIF(AP$9:AP$62,"&lt;="&amp;AP10+1)/1000000+ROW()/100000000)</f>
        <v>22.967600099999999</v>
      </c>
      <c r="BF10" s="82">
        <f>IF(AP10="","",SMALL(BE$9:BE$62,ROWS(AZ$9:AZ10)))</f>
        <v>0.78710038000000004</v>
      </c>
      <c r="BH10" s="78" t="str">
        <f>IF(OR(AP10="",AZ10=""),"",INDEX($AP$9:$AP$63,MATCH(BF10,$BE$9:BE$62,0)))</f>
        <v>B12</v>
      </c>
      <c r="BI10" s="255">
        <f t="shared" si="0"/>
        <v>9</v>
      </c>
      <c r="BJ10" s="7">
        <f t="shared" si="1"/>
        <v>21</v>
      </c>
      <c r="BK10" s="7">
        <f t="shared" si="2"/>
        <v>29</v>
      </c>
      <c r="BL10" s="242">
        <f>IF(BF10="","",IF(AND(BI9=BI10,BJ9=BJ10,BK9=BK10),BL9,$BL$9+1))</f>
        <v>2</v>
      </c>
      <c r="BM10" s="22"/>
      <c r="BN10" s="31"/>
    </row>
    <row r="11" spans="1:66" ht="21.6" thickBot="1" x14ac:dyDescent="0.35">
      <c r="A11" s="111">
        <v>2</v>
      </c>
      <c r="B11" s="330" t="s">
        <v>67</v>
      </c>
      <c r="C11" s="235">
        <f>IF($Q$5&gt;7,2,0)</f>
        <v>2</v>
      </c>
      <c r="D11" s="335" t="s">
        <v>85</v>
      </c>
      <c r="E11" s="235">
        <f>IF($Q$5&gt;7,2,0)</f>
        <v>2</v>
      </c>
      <c r="F11" s="333" t="s">
        <v>103</v>
      </c>
      <c r="G11" s="235">
        <f>IF($Q$5&gt;7,2,0)</f>
        <v>2</v>
      </c>
      <c r="H11" s="18"/>
      <c r="I11" s="165">
        <v>2</v>
      </c>
      <c r="J11" s="172" t="str">
        <f>IF(ISNA(MATCH(I11,$C$10:$C$27,0)),"",INDEX(B$10:$B$27,MATCH(I11,$C$10:$C$27,0)))</f>
        <v>A2</v>
      </c>
      <c r="K11" s="117" t="str">
        <f>IF(ISNA(MATCH(I11,$E$10:$E$27,0)),"",INDEX($D$10:D$27,MATCH(I11,$E$10:$E$27,0)))</f>
        <v>B2</v>
      </c>
      <c r="L11" s="160" t="str">
        <f>IF(ISNA(MATCH(I11,$G$10:$G$27,0)),"",INDEX($F$10:F$27,MATCH(I11,$G$10:$G$27,0)))</f>
        <v>C2</v>
      </c>
      <c r="M11" s="130"/>
      <c r="N11" s="42" t="s">
        <v>5</v>
      </c>
      <c r="O11" s="121" t="str">
        <f>IF($Q$5&gt;=8,J11,0)</f>
        <v>A2</v>
      </c>
      <c r="P11" s="124" t="str">
        <f>IF($Q$5&gt;=8,K11,0)</f>
        <v>B2</v>
      </c>
      <c r="Q11" s="123" t="str">
        <f>IF($Q$5=10,L11,IF($Q$5=11,L11,IF($Q$5=12,L11,IF($Q$5=14,L11,IF($Q$5=15,L11,IF($Q$5=16,L11,IF($Q$5=17,L11,IF($Q$5=18,L11,IF($Q$5=19,L11,IF($Q$5=20,L11,IF($Q$5=21,L11,IF($Q$5=22,L11,IF($Q$5=23,L11,IF($Q$5=24,L11,IF($Q$5=25,L11,IF($Q$5=26,L11,IF($Q$5=27,L11,IF($Q$5=28,L11,IF($Q$5=29,L11,IF($Q$5=30,L11,IF($Q$5=31,L11,IF($Q$5=32,L11,IF($Q$5=33,L11,IF($Q$5=34,L11,IF($Q$5=35,L11,IF($Q$5=36,L11,IF($Q$5=37,L11,IF($Q$5=38,L11,IF($Q$5=39,L11,IF($Q$5=40,L11,IF($Q$5=41,L11,IF($Q$5=42,L11,IF($Q$5=43,L11,IF($Q$5=44,L11,IF($Q$5=45,L11,IF($Q$5=46,L11,IF($Q$5=47,L11,IF($Q$5=48,L11,IF($Q$5=49,L11,IF($Q$5=50,L11,IF($Q$5=51,L11,IF($Q$5=52,L11,IF($Q$5=53,L11,IF($Q$5=54,L11,0))))))))))))))))))))))))))))))))))))))))))))</f>
        <v>C2</v>
      </c>
      <c r="R11" s="133" t="str">
        <f>IF($Q$5=8,J10,IF($Q$5=9,O10,IF($Q$5=10,J13,IF($Q$5=11,J12,IF($Q$5=12,J13,IF($Q$5=13,J12,IF($Q$5=14,J12,IF($Q$5=15,J12,IF($Q$5=16,J12,IF($Q$5=17,J12,IF($Q$5=18,J12,IF($Q$5=19,J13,IF($Q$5=20,J12,IF($Q$5=21,J12,IF($Q$5=22,J12,IF($Q$5=23,J12,IF($Q$5=24,J12,IF($Q$5=25,J12,IF($Q$5=26,J12,IF($Q$5=27,J12,IF($Q$5=28,J12,IF($Q$5=29,J12,IF($Q$5=30,J12,IF($Q$5=31,J12,IF($Q$5=32,J12,IF($Q$5=33,J12,IF($Q$5=34,J12,IF($Q$5=35,J12,IF($Q$5=36,J12,IF($Q$5=37,J12,IF($Q$5=38,J12,IF($Q$5=39,J12,IF($Q$5=40,J12,IF($Q$5=41,J12,IF($Q$5=42,J12,IF($Q$5=43,J12,IF($Q$5=44,J12,IF($Q$5=45,J12,IF($Q$5=46,J12,IF($Q$5=47,J12,IF($Q$5=48,J12,IF($Q$5=49,J12,IF($Q$5=50,J12,IF($Q$5=51,J12,IF($Q$5=52,J12,IF($Q$5=53,J12,IF($Q$5=54,J12,0)))))))))))))))))))))))))))))))))))))))))))))))</f>
        <v>A3</v>
      </c>
      <c r="S11" s="134" t="str">
        <f>IF($Q$5=8,L10,IF($Q$5=9,K11,IF($Q$5=10,L11,IF($Q$5=11,K10,IF($Q$5=12,K12,IF($Q$5=13,P13,IF($Q$5=14,K13,IF($Q$5=15,K10,IF($Q$5=16,K13,IF($Q$5=17,K14,IF($Q$5=18,K14,IF($Q$5=19,K14,IF($Q$5=20,K14,IF($Q$5=21,K14,IF($Q$5=22,K14,IF($Q$5=23,K14,IF($Q$5=24,K14,IF($Q$5=25,K14,IF($Q$5=26,K14,IF(Q$5=27,K14,IF($Q$5=28,K14,IF($Q$5=29,K14,IF($Q$5=30,K14,IF($Q$5=31,K14,IF($Q$5=32,K14,IF($Q$5=33,K14,IF($Q$5=34,K14,IF($Q$5=35,K14,IF($Q$5=36,K13,IF($Q$5=37,K13,IF($Q$5=38,K13,IF($Q$5=39,K13,IF($Q$5=40,K13,IF($Q$5=41,K13,IF($Q$5=42,K13,IF($Q$5=43,K13,IF($Q$5=44,K13,IF($Q$5=45,K13,IF($Q$5=46,K13,IF($Q$5=47,K13,IF($Q$5=48,K13,IF($Q$5=49,K13,IF($Q$5=50,K13,IF($Q$5=51,K13,IF($Q$5=52,K13,IF($Q$5=53,K13,IF($Q$5=54,K13,0)))))))))))))))))))))))))))))))))))))))))))))))</f>
        <v>B4</v>
      </c>
      <c r="T11" s="152" t="str">
        <f>IF($Q$5=10,L10,IF($Q$5=11,L12,IF($Q$5=12,L11,IF($Q$5=14,L10,IF($Q$5=15,P15,IF($Q$5=16,P15,IF($Q$5=17,L11,IF($Q$5=18,L13,IF($Q$5=19,L10,IF($Q$5=20,L11,IF($Q$5=21,P17,IF($Q$5=22,L13,IF($Q$5=23,L13,IF($Q$5=24,L13,IF($Q$5=25,L13,IF($Q$5=26,L13,IF($Q$5=27,L13,IF($Q$5=28,L13,IF($Q$5=29,L10,IF($Q$5=30,L10,IF($Q$5=31,L13,IF($Q$5=32,L11,IF($Q$5=33,L11,IF($Q$5=34,L11,IF($Q$5=35,L11,IF($Q$5=36,L14,IF($Q$5=37,L14,IF($Q$5=38,L14,IF($Q$5=39,L14,IF($Q$5=40,L14,IF($Q$5=41,L14,IF($Q$5=42,L14,IF($Q$5=43,L14,IF($Q$5=44,L14,IF($Q$5=45,L14,IF($Q$5=46,L14,IF($Q$5=47,L14,IF($Q$5=48,L14,IF($Q$5=49,L14,IF($Q$5=50,L14,IF($Q$5=51,L14,IF($Q$5=52,L14,IF($Q$5=53,L14,IF($Q$5=54,L14,0))))))))))))))))))))))))))))))))))))))))))))</f>
        <v>C5</v>
      </c>
      <c r="U11" s="157" t="str">
        <f>IF($Q$5=8,J12,IF($Q$5=9,R12,IF($Q$5=10,J10,IF($Q$5=11,O11,IF($Q$5=12,O12,IF($Q$5=13,R11,IF($Q$5=14,R12,IF($Q$5=15,O13,IF($Q$5=16,O12,IF($Q$5=17,R12,IF($Q$5=18,R14,IF($Q$5=19,R14,IF($Q$5=20,R13,IF($Q$5=21,O14,IF($Q$5=22,O12,IF(Q$5=23,R13,IF($Q$5=24,O13,IF($Q$5=25,R12,IF($Q$5=26,O13,IF($Q$5=27,O13,IF($Q$5=28,O13,IF($Q$5=29,O13,IF($Q$5=30,O13,IF($Q$5=31,O13,IF($Q$5=32,R12,IF($Q$5=33,O13,IF($Q$5=34,O13,IF($Q$5=35,R12,IF($Q$5=36,O13,IF($Q$5=37,O13,IF($Q$5=38,O13,IF($Q$5=39,O13,IF($Q$5=40,O13,IF($Q$5=41,O13,IF($Q$5=42,R12,IF($Q$5=43,R12,IF($Q$5=44,O13,IF($Q$5=45,O13,IF($Q$5=46,R12,IF($Q$5=47,O13,IF($Q$5=48,O13,IF($Q$5=49,O13,IF($Q$5=50,O13,IF($Q$5=51,O13,IF($Q$5=52,O13,IF($Q$5=53,R12,IF($Q$5=54,O13,0)))))))))))))))))))))))))))))))))))))))))))))))</f>
        <v>A4</v>
      </c>
      <c r="V11" s="138" t="str">
        <f>IF($Q$5=8,K10,IF($Q$5=9,S12,IF($Q$5=10,K10,IF(Q$5=11,S10,IF($Q$5=12,S10,IF($Q$5=13,R15,IF($Q$5=14,S10,IF($Q$5=15,S10,IF($Q$5=16,S11,IF($Q$5=17,S10,IF($Q$5=18,S12,IF($Q$5=19,S10,IF($Q$5=20,S10,IF($Q$5=21,S17,IF($Q$5=22,S10,IF($Q$5=23,S10,IF($Q$5=24,S10,IF($Q$5=25,S13,IF($Q$5=26,S10,IF($Q$5=27,S10,IF($Q$5=28,S13,IF($Q$5=29,S10,IF($Q$5=30,S11,IF($Q$5=31,S10,IF($Q$5=32,S11,IF($Q$5=33,S11,IF($Q$5=34,S11,IF($Q$5=35,S11,IF($Q$5=36,S13,IF($Q$5=37,S13,IF($Q$5=38,S13,IF($Q$5=39,S13,IF($Q$5=40,S13,IF($Q$5=41,S13,IF($Q$5=42,S13,IF($Q$5=43,S13,IF($Q$5=44,S13,IF($Q$5=45,S13,IF($Q$5=46,S13,IF($Q$5=47,S13,IF($Q$5=48,S13,IF($Q$5=49,S13,IF($Q$5=50,S13,IF($Q$5=51,S13,IF($Q$5=52,S13,IF($Q$5=53,S13,IF($Q$5=54,S13,0)))))))))))))))))))))))))))))))))))))))))))))))</f>
        <v>B6</v>
      </c>
      <c r="W11" s="145" t="str">
        <f>IF($Q$5=10,L12,IF($Q$5=11,T10,IF($Q$5=12,Q10,IF(Q$5=14,T11,IF($Q$5=15,T11,IF(Q$5=16,S15,IF($Q$5=17,T13,IF($Q$5=18,T13,IF($Q$5=19,S17,IF($Q$5=20,T11,IF($Q$5=21,T10,IF($Q$5=22,T13,IF($Q$5=23,T13,IF($Q$5=24,T13,IF($Q$5=25,T13,IF($Q$5=26,T13,IF($Q$5=27,T13,IF($Q$5=28,T13,IF($Q$5=29,T13,IF($Q$5=30,T13,IF($Q$5=31,T13,IF($Q$5=32,T10,IF($Q$5=33,T10,IF($Q$5=34,T10,IF($Q$5=35,T10,IF($Q$5=36,T14,IF($Q$5=37,T14,IF($Q$5=38,T14,IF($Q$5=39,T14,IF($Q$5=40,T14,IF($Q$5=41,T14,IF($Q$5=42,T14,IF($Q$5=43,T14,IF($Q$5=44,T14,IF($Q$5=45,T14,IF($Q$5=46,T14,IF($Q$5=47,T14,IF($Q$5=48,T14,IF($Q$5=49,T14,IF($Q$5=50,T14,IF($Q$5=51,T14,IF($Q$5=52,T14,IF($Q$5=53,T14,IF($Q$5=54,T14,0))))))))))))))))))))))))))))))))))))))))))))</f>
        <v>C8</v>
      </c>
      <c r="X11" s="18"/>
      <c r="Y11" s="382">
        <v>1</v>
      </c>
      <c r="Z11" s="9" t="str">
        <f>+O10</f>
        <v>A1</v>
      </c>
      <c r="AA11" s="25">
        <v>9</v>
      </c>
      <c r="AB11" s="38">
        <f>IF(AA11+AA15=0,0,IF(AA11=AA15,2,IF(AA11&gt;AA15,3,1)))</f>
        <v>3</v>
      </c>
      <c r="AC11" s="10">
        <f>AA11-AA15</f>
        <v>3</v>
      </c>
      <c r="AD11" s="6"/>
      <c r="AE11" s="9" t="str">
        <f>+R10</f>
        <v>A2</v>
      </c>
      <c r="AF11" s="107">
        <v>5</v>
      </c>
      <c r="AG11" s="38">
        <f>IF(AF11+AF15=0,0,IF(AF11=AF15,2,IF(AF11&gt;AF15,3,1)))</f>
        <v>1</v>
      </c>
      <c r="AH11" s="10">
        <f>AF11-AF15</f>
        <v>-5</v>
      </c>
      <c r="AI11" s="6"/>
      <c r="AJ11" s="9" t="str">
        <f>+U10</f>
        <v>A3</v>
      </c>
      <c r="AK11" s="28">
        <v>4</v>
      </c>
      <c r="AL11" s="38">
        <f>IF(AK11+AK15=0,0,IF(AK11=AK15,2,IF(AK11&gt;AK15,3,1)))</f>
        <v>1</v>
      </c>
      <c r="AM11" s="10">
        <f>AK11-AK15</f>
        <v>-1</v>
      </c>
      <c r="AN11" s="18"/>
      <c r="AO11" s="44">
        <v>3</v>
      </c>
      <c r="AP11" s="278" t="str">
        <f>+Inscrits!B5</f>
        <v>A3</v>
      </c>
      <c r="AQ11" s="247">
        <f t="shared" si="3"/>
        <v>1</v>
      </c>
      <c r="AR11" s="82">
        <f t="shared" si="4"/>
        <v>-5</v>
      </c>
      <c r="AS11" s="184">
        <f t="shared" si="5"/>
        <v>5</v>
      </c>
      <c r="AT11" s="250">
        <f t="shared" si="6"/>
        <v>3</v>
      </c>
      <c r="AU11" s="82">
        <f t="shared" si="7"/>
        <v>5</v>
      </c>
      <c r="AV11" s="252">
        <f t="shared" si="8"/>
        <v>10</v>
      </c>
      <c r="AW11" s="247">
        <f t="shared" si="9"/>
        <v>1</v>
      </c>
      <c r="AX11" s="82">
        <f t="shared" si="10"/>
        <v>-1</v>
      </c>
      <c r="AY11" s="252">
        <f t="shared" si="11"/>
        <v>4</v>
      </c>
      <c r="AZ11" s="247">
        <f t="shared" ref="AZ11:AZ62" si="17">SUMIFS(AQ11:AW11,$AQ$8:$AW$8,"Pts",AQ11:AW11,"&lt;&gt;#N/A")</f>
        <v>5</v>
      </c>
      <c r="BA11" s="82">
        <f t="shared" si="12"/>
        <v>-1</v>
      </c>
      <c r="BB11" s="252">
        <f t="shared" si="13"/>
        <v>19</v>
      </c>
      <c r="BC11" s="32">
        <f t="shared" si="14"/>
        <v>-1</v>
      </c>
      <c r="BD11" s="47">
        <f t="shared" si="15"/>
        <v>0</v>
      </c>
      <c r="BE11" s="304">
        <f t="shared" si="16"/>
        <v>23.008100110000001</v>
      </c>
      <c r="BF11" s="82">
        <f>IF(AP11="","",SMALL(BE$9:BE$62,ROWS(AZ$9:AZ11)))</f>
        <v>0.79740051999999995</v>
      </c>
      <c r="BH11" s="78" t="str">
        <f>IF(OR(AP11="",AZ11=""),"",INDEX($AP$9:$AP$63,MATCH(BF11,$BE$9:BE$62,0)))</f>
        <v>C8</v>
      </c>
      <c r="BI11" s="255">
        <f t="shared" si="0"/>
        <v>9</v>
      </c>
      <c r="BJ11" s="7">
        <f t="shared" si="1"/>
        <v>20</v>
      </c>
      <c r="BK11" s="7">
        <f t="shared" si="2"/>
        <v>26</v>
      </c>
      <c r="BL11" s="17">
        <f>IF(BF11="","",IF(AND(BI10=BI11,BJ10=BJ11,BK10=BK11),BL10,$BL$9+2))</f>
        <v>3</v>
      </c>
      <c r="BM11" s="22"/>
      <c r="BN11" s="31"/>
    </row>
    <row r="12" spans="1:66" ht="21.6" thickBot="1" x14ac:dyDescent="0.35">
      <c r="A12" s="111">
        <v>3</v>
      </c>
      <c r="B12" s="330" t="s">
        <v>68</v>
      </c>
      <c r="C12" s="235">
        <v>3</v>
      </c>
      <c r="D12" s="335" t="s">
        <v>86</v>
      </c>
      <c r="E12" s="235">
        <f>IF($Q$5&gt;7,3,0)</f>
        <v>3</v>
      </c>
      <c r="F12" s="333" t="s">
        <v>104</v>
      </c>
      <c r="G12" s="235">
        <f>IF($Q$5=8,0,3)</f>
        <v>3</v>
      </c>
      <c r="H12" s="18"/>
      <c r="I12" s="165">
        <v>3</v>
      </c>
      <c r="J12" s="172" t="str">
        <f>IF(ISNA(MATCH(I12,$C$10:$C$27,0)),"",INDEX(B$10:$B$27,MATCH(I12,$C$10:$C$27,0)))</f>
        <v>A3</v>
      </c>
      <c r="K12" s="117" t="str">
        <f>IF(ISNA(MATCH(I12,$E$10:$E$27,0)),"",INDEX($D$10:D$27,MATCH(I12,$E$10:$E$27,0)))</f>
        <v>B3</v>
      </c>
      <c r="L12" s="160" t="str">
        <f>IF(ISNA(MATCH(I12,$G$10:$G$27,0)),"",INDEX($F$10:F$27,MATCH(I12,$G$10:$G$27,0)))</f>
        <v>C3</v>
      </c>
      <c r="M12" s="130"/>
      <c r="N12" s="67">
        <v>2</v>
      </c>
      <c r="O12" s="118" t="str">
        <f>IF($Q$5&gt;=8,J12,0)</f>
        <v>A3</v>
      </c>
      <c r="P12" s="119" t="str">
        <f>IF($Q$5&gt;=10,K12,IF($Q$5=8,L10,IF($Q$5=9,L11,0)))</f>
        <v>B3</v>
      </c>
      <c r="Q12" s="120" t="str">
        <f>IF($Q$5=11,L12,IF($Q$5=12,L12,IF($Q$5=15,L14,IF($Q$5=16,L12,IF($Q$5=17,L12,IF($Q$5=18,L12,IF($Q$5=19,L12,IF($Q$5=20,L12,IF($Q$5=21,L12,IF($Q$5=22,L12,IF($Q$5=23,L12,IF($Q$5=24,L12,IF($Q$5=25,L12,IF($Q$5=26,L12,IF($Q$5=27,L12,IF($Q$5=28,L12,IF($Q$5=29,L12,IF($Q$5=30,L12,IF($Q$5=31,L12,IF($Q$5=32,L12,IF($Q$5=33,L12,IF($Q$5=34,L12,IF($Q$5=35,L12,IF($Q$5=36,L12,IF($Q$5=37,L12,IF($Q$5=38,L12,IF($Q$5=39,L12,IF($Q$5=40,L12,IF($Q$5=41,L12,IF($Q$5=42,L12,IF($Q$5=43,L12,IF($Q$5=44,L12,IF($Q$5=45,L12,IF($Q$5=46,L12,IF($Q$5=47,L12,IF($Q$5=48,L12,IF($Q$5=49,L12,IF($Q$5=50,L12,IF($Q$5=51,L12,IF($Q$5=52,L12,IF($Q$5=53,L12,IF($Q$5=54,L12,0))))))))))))))))))))))))))))))))))))))))))</f>
        <v>C3</v>
      </c>
      <c r="R12" s="135" t="str">
        <f>IF($Q$5=8,J11,IF($Q$5=9,O11,IF($Q$5=10,J10,IF($Q$5=11,J11,IF(Q$5=12,J12,IF($Q$5=13,J10,IF($Q$5=14,J13,IF($Q$5=15,J13,IF($Q$5=16,J13,IF($Q$5=17,J14,IF($Q$5=18,J14,IF($Q$5=19,J12,IF($Q$5=20,J11,IF($Q$5=21,J11,IF($Q$5=22,J13,IF($Q$5=23,J13,IF($Q$5=24,J13,IF($Q$5=25,J13,IF($Q$5=26,J13,IF($Q$5=27,J13,IF($Q$5=28,J13,IF($Q$5=29,J13,IF($Q$5=30,J13,IF($Q$5=31,J13,IF($Q$5=32,J13,IF($Q$5=33,J13,IF($Q$5=34,J13,IF($Q$5=35,J13,IF($Q$5=36,J13,IF($Q$5=37,J13,IF($Q$5=38,J13,IF($Q$5=39,J13,IF($Q$5=40,J13,IF($Q$5=41,J13,IF($Q$5=42,J13,IF($Q$5=43,J13,IF($Q$5=44,J13,IF($Q$5=45,J13,IF($Q$5=46,J13,IF($Q$5=47,J13,IF($Q$5=48,J13,IF($Q$5=49,J13,IF($Q$5=50,C13,IF($Q$5=51,C13,IF($Q$5=52,C13,IF($Q$5=53,O13,IF($Q$5=54,O13,0)))))))))))))))))))))))))))))))))))))))))))))))</f>
        <v>A4</v>
      </c>
      <c r="S12" s="132" t="str">
        <f>IF($Q$5=8,K11,IF($Q$5=9,P10,IF($Q$5=10,K11,IF($Q$5=11,K11,IF($Q$5=12,K11,IF($Q$5=13,K11,IF($Q$5=14,K10,IF($Q$5=15,K11,IF($Q$5=16,K14,IF($Q$5=17,K11,IF($Q$5=18,K11,IF($Q$5=19,K11,IF($Q$5=20,K10,IF($Q$5=21,K11,IF($Q$5=22,K11,IF($Q$5=23,K15,IF($Q$5=24,K10,IF($Q$5=25,K11,IF($Q$5=26,K11,IF($Q$5=27,K11,IF($Q$5=28,K11,IF($Q$5=29,K11,IF($Q$5=30,K11,IF($Q$5=31,K10,IF($Q$5=32,K11,IF($Q$5=33,K11,IF($Q$5=34,K11,IF($Q$5=35,K11,IF($Q$5=36,K14,IF($Q$5=37,K14,IF($Q$5=38,K14,IF($Q$5=39,K14,IF($Q$5=40,K14,IF($Q$5=41,K14,IF($Q$5=42,K14,IF($Q$5=43,K14,IF($Q$5=44,K14,IF($Q$5=45,K14,IF($Q$5=46,K14,IF($Q$5=47,K14,IF($Q$5=48,K14,IF($Q$5=49,K14,IF($Q$5=50,K14,IF($Q$5=51,K14,IF($Q$5=52,K14,IF($Q$5=53,K14,IF($Q$5=54,K14,0)))))))))))))))))))))))))))))))))))))))))))))))</f>
        <v>B5</v>
      </c>
      <c r="T12" s="151" t="str">
        <f>IF($Q$5=11,L10,IF($Q$5=12,L10,IF($Q$5=15,Q12,IF($Q$5=16,L10,IF($Q$5=17,L13,IF($Q$5=18,L15,IF($Q$5=19,P15,IF($Q$5=20,L13,IF($Q$5=21,L13,IF($Q$5=22,L14,IF($Q$5=23,L11,IF($Q$5=24,L11,IF($Q$5=25,P19,IF($Q$5=26,P19,IF($Q$5=27,P19,IF($Q$5=28,L10,IF($Q$5=29,L13,IF($Q$5=30,L14,IF($Q$5=31,L14,IF($Q$5=32,L14,IF($Q$5=33,L14,IF($Q$5=34,L14,IF($Q$5=35,L14,IF($Q$5=36,L15,IF($Q$5=37,L15,IF($Q$5=38,L15,IF($Q$5=39,L15,IF($Q$5=40,L15,IF($Q$5=41,L15,IF($Q$5=42,L15,IF($Q$5=43,L15,IF($Q$5=44,L15,IF($Q$5=45,L15,IF($Q$5=46,L15,IF($Q$5=47,L15,IF($Q$5=48,L15,IF($Q$5=49,L15,IF($Q$5=50,L15,IF($Q$5=51,L15,IF($Q$5=52,L15,IF($Q$5=53,L15,IF($Q$5=54,L15,0))))))))))))))))))))))))))))))))))))))))))</f>
        <v>C6</v>
      </c>
      <c r="U12" s="140" t="str">
        <f>IF($Q$5=8,J10,IF($Q$5=9,O12,IF($Q$5=10,J11,IF($Q$5=11,O10,IF($Q$5=12,O11,IF($Q$5=13,R14,IF(Q$5=14,R13,IF($Q$5=15,R13,IF(Q$5=16,O14,IF($Q$5=17,O13,IF($Q$5=18,R11,IF($Q$5=19,R12,IF($Q$5=20,R12,IF($Q$5=21,O13,IF($Q$5=22,R10,IF($Q$5=23,O13,IF($Q$5=24,O12,IF($Q$5=25,O12,IF($Q$5=26,O12,IF($Q$5=27,O12,IF($Q$5=28,O12,IF($Q$5=29,O12,IF($Q$5=30,O12,IF($Q$5=31,O12,IF($Q$5=32,O12,IF($Q$5=33,O12,IF($Q$5=34,O12,IF($Q$5=35,R11,IF($Q$5=36,O14,IF($Q$5=37,O14,IF($Q$5=38,O14,IF($Q$5=39,O14,IF($Q$5=40,O14,IF($Q$5=41,O14,IF($Q$5=42,O14,IF($Q$5=43,O14,IF($Q$5=44,O14,IF($Q$5=45,O14,IF($Q$5=46,O14,IF($Q$5=47,O14,IF($Q$5=48,O14,IF($Q$5=49,R13,IF($Q$5=50,O14,IF($Q$5=51,O14,IF($Q$5=52,O14,IF($Q$5=53,O14,IF($Q$5=54,O14,0)))))))))))))))))))))))))))))))))))))))))))))))</f>
        <v>A5</v>
      </c>
      <c r="V12" s="132" t="str">
        <f>IF($Q$5=8,L11,IF($Q$5=9,Q10,IF($Q$5=10,L10,IF($Q$5=11,S13,IF($Q$5=12,P10,IF($Q$5=13,S10,IF($Q$5=14,S13,IF($Q$5=15,S11,IF($Q$5=16,S14,IF($Q$5=17,S11,IF($Q$5=18,S11,IF($Q$5=19,S11,IF($Q$5=20,S11,IF($Q$5=21,S11,IF($Q$5=22,S11,IF($Q$5=23,S11,IF($Q$5=24,S11,IF($Q$5=25,S11,IF($Q$5=26,S11,IF($Q$5=27,S11,IF($Q$5=28,S11,IF($Q$5=29,S11,IF($Q$5=30,S10,IF($Q$5=31,S11,IF($Q$5=32,S16,IF($Q$5=33,S16,IF($Q$5=34,S16,IF($Q$5=35,S16,IF($Q$5=36,S14,IF($Q$5=37,S14,IF($Q$5=38,S14,IF($Q$5=39,S14,IF($Q$5=40,S14,IF($Q$5=41,S14,IF($Q$5=42,S14,IF($Q$5=43,S14,IF($Q$5=44,S14,IF($Q$5=45,S14,IF($Q$5=46,S14,IF($Q$5=47,S14,IF($Q$5=48,S14,IF($Q$5=49,S14,IF($Q$5=50,S14,IF($Q$5=51,S14,IF($Q$5=52,S14,IF($Q$5=53,S14,IF($Q$5=54,S14,0)))))))))))))))))))))))))))))))))))))))))))))))</f>
        <v>B7</v>
      </c>
      <c r="W12" s="144" t="str">
        <f>IF($Q$5=11,T12,IF($Q$5=12,T13,IF($Q$5=14,T14,IF($Q$5=15,S15,IF(Q$5=16,T10,IF($Q$5=17,T14,IF($Q$5=18,T14,IF($Q$5=19,S16,IF($Q$5=20,S16,IF($Q$5=21,T14,IF($Q$5=22,T14,IF($Q$5=23,T14,IF($Q$5=24,T14,IF($Q$5=25,S19,IF($Q$5=26,T14,IF($Q$5=27,T14,IF($Q$5=28,T14,IF($Q$5=29,T14,IF($Q$5=30,T14,IF($Q$5=31,T14,IF($Q$5=32,T12,IF($Q$5=33,T12,IF($Q$5=34,T12,IF($Q$5=35,T12,IF($Q$5=36,T15,IF($Q$5=37,T15,IF($Q$5=38,T15,IF($Q$5=39,T15,IF($Q$5=40,T15,IF($Q$5=41,T15,IF($Q$5=42,T15,IF($Q$5=43,T15,IF($Q$5=44,T15,IF($Q$5=45,T15,IF($Q$5=46,T15,IF($Q$5=47,T15,IF($Q$5=48,T15,IF($Q$5=49,T15,IF($Q$5=50,T15,IF($Q$5=51,T15,IF($Q$5=52,T15,IF($Q$5=53,T15,IF($Q$5=54,T15,0)))))))))))))))))))))))))))))))))))))))))))</f>
        <v>C9</v>
      </c>
      <c r="X12" s="18"/>
      <c r="Y12" s="383"/>
      <c r="Z12" s="11" t="str">
        <f>+P10</f>
        <v>B1</v>
      </c>
      <c r="AA12" s="48">
        <f>IF(ISTEXT(Z12),AA11,0)</f>
        <v>9</v>
      </c>
      <c r="AB12" s="48">
        <f>IF(ISTEXT(Z12),AB11,0)</f>
        <v>3</v>
      </c>
      <c r="AC12" s="49">
        <f>IF(ISTEXT(Z12),AC11,0)</f>
        <v>3</v>
      </c>
      <c r="AD12" s="6"/>
      <c r="AE12" s="11" t="str">
        <f>+S10</f>
        <v>B3</v>
      </c>
      <c r="AF12" s="48">
        <f>IF(ISTEXT(AE12),AF11,0)</f>
        <v>5</v>
      </c>
      <c r="AG12" s="48">
        <f>IF(ISTEXT(AE12),AG11,0)</f>
        <v>1</v>
      </c>
      <c r="AH12" s="50">
        <f>IF(ISTEXT(AE12),AH11,0)</f>
        <v>-5</v>
      </c>
      <c r="AI12" s="6"/>
      <c r="AJ12" s="11" t="str">
        <f>+V10</f>
        <v>B5</v>
      </c>
      <c r="AK12" s="14">
        <f>IF(ISTEXT(AJ12),AK11,0)</f>
        <v>4</v>
      </c>
      <c r="AL12" s="48">
        <f>IF(ISTEXT(AJ12),AL11,0)</f>
        <v>1</v>
      </c>
      <c r="AM12" s="15">
        <f>IF(ISTEXT(AJ12),AM11,0)</f>
        <v>-1</v>
      </c>
      <c r="AN12" s="18"/>
      <c r="AO12" s="44">
        <v>4</v>
      </c>
      <c r="AP12" s="278" t="str">
        <f>+Inscrits!B6</f>
        <v>A4</v>
      </c>
      <c r="AQ12" s="247">
        <f t="shared" si="3"/>
        <v>3</v>
      </c>
      <c r="AR12" s="82">
        <f t="shared" si="4"/>
        <v>5</v>
      </c>
      <c r="AS12" s="184">
        <f t="shared" si="5"/>
        <v>10</v>
      </c>
      <c r="AT12" s="250">
        <f t="shared" si="6"/>
        <v>1</v>
      </c>
      <c r="AU12" s="82">
        <f t="shared" si="7"/>
        <v>-7</v>
      </c>
      <c r="AV12" s="252">
        <f t="shared" si="8"/>
        <v>5</v>
      </c>
      <c r="AW12" s="247">
        <f t="shared" si="9"/>
        <v>3</v>
      </c>
      <c r="AX12" s="82">
        <f t="shared" si="10"/>
        <v>1</v>
      </c>
      <c r="AY12" s="252">
        <f t="shared" si="11"/>
        <v>5</v>
      </c>
      <c r="AZ12" s="247">
        <f t="shared" si="17"/>
        <v>7</v>
      </c>
      <c r="BA12" s="82">
        <f t="shared" si="12"/>
        <v>-1</v>
      </c>
      <c r="BB12" s="252">
        <f t="shared" si="13"/>
        <v>20</v>
      </c>
      <c r="BC12" s="32">
        <f t="shared" si="14"/>
        <v>-1</v>
      </c>
      <c r="BD12" s="47">
        <f t="shared" si="15"/>
        <v>0</v>
      </c>
      <c r="BE12" s="304">
        <f t="shared" si="16"/>
        <v>7.0080001200000002</v>
      </c>
      <c r="BF12" s="82">
        <f>IF(AP12="","",SMALL(BE$9:BE$62,ROWS(AZ$9:AZ12)))</f>
        <v>0.80740040000000002</v>
      </c>
      <c r="BH12" s="78" t="str">
        <f>IF(OR(AP12="",AZ12=""),"",INDEX($AP$9:$AP$63,MATCH(BF12,$BE$9:BE$62,0)))</f>
        <v>B14</v>
      </c>
      <c r="BI12" s="255">
        <f t="shared" si="0"/>
        <v>9</v>
      </c>
      <c r="BJ12" s="7">
        <f t="shared" si="1"/>
        <v>19</v>
      </c>
      <c r="BK12" s="7">
        <f t="shared" si="2"/>
        <v>26</v>
      </c>
      <c r="BL12" s="17">
        <f>IF(BF12="","",IF(AND(BI11=BI12,BJ11=BJ12,BK11=BK12),BL11,$BL$9+3))</f>
        <v>4</v>
      </c>
      <c r="BM12" s="22"/>
      <c r="BN12" s="31"/>
    </row>
    <row r="13" spans="1:66" ht="21.6" thickBot="1" x14ac:dyDescent="0.35">
      <c r="A13" s="111">
        <v>4</v>
      </c>
      <c r="B13" s="330" t="s">
        <v>69</v>
      </c>
      <c r="C13" s="236">
        <f>IF($Q$5=8,0,IF($Q$5=9,0,4))</f>
        <v>4</v>
      </c>
      <c r="D13" s="335" t="s">
        <v>87</v>
      </c>
      <c r="E13" s="235">
        <f>IF($Q$5&gt;=11,4,0)</f>
        <v>4</v>
      </c>
      <c r="F13" s="333" t="s">
        <v>105</v>
      </c>
      <c r="G13" s="235">
        <f>IF($Q$5&gt;=12,4,0)</f>
        <v>4</v>
      </c>
      <c r="H13" s="18"/>
      <c r="I13" s="165">
        <v>4</v>
      </c>
      <c r="J13" s="172" t="str">
        <f>IF(ISNA(MATCH(I13,$C$10:$C$27,0)),"",INDEX(B$10:$B$27,MATCH(I13,$C$10:$C$27,0)))</f>
        <v>A4</v>
      </c>
      <c r="K13" s="117" t="str">
        <f>IF(ISNA(MATCH(I13,$E$10:$E$27,0)),"",INDEX($D$10:D$27,MATCH(I13,$E$10:$E$27,0)))</f>
        <v>B4</v>
      </c>
      <c r="L13" s="160" t="str">
        <f>IF(ISNA(MATCH(I13,$G$10:$G$27,0)),"",INDEX($F$10:F$27,MATCH(I13,$G$10:$G$27,0)))</f>
        <v>C4</v>
      </c>
      <c r="M13" s="130"/>
      <c r="N13" s="42" t="s">
        <v>5</v>
      </c>
      <c r="O13" s="121" t="str">
        <f>IF($Q$5&gt;=10,J13,IF($Q$5=8,K12,IF($Q$5=9,K12,0)))</f>
        <v>A4</v>
      </c>
      <c r="P13" s="122" t="str">
        <f>IF($Q$5=8,L11,IF($Q$5=9,L12,IF($Q$5=10,L12,IF($Q$5=11,K13,IF($Q$5=12,K13,IF($Q$5=13,L11,IF($Q$5=14,K13,IF($Q$5=15,K13,IF($Q$5=16,K13,IF($Q$5=17,K13,IF($Q$5=18,K13,IF($Q$5=19,K13,IF($Q$5=20,K13,IF($Q$5=21,K13,IF(Q$5=22,K13,IF($Q$5=23,K13,IF($Q$5=24,K13,IF($Q$5=25,K13,IF($Q$5=26,K13,IF($Q$5=27,K13,IF($Q$5=28,K13,IF($Q$5=29,K13,IF($Q$5=30,K13,IF($Q$5=31,K13,IF($Q$5=32,K13,IF($Q$5=33,K13,IF($Q$5=34,K13,IF($Q$5=35,K13,IF($Q$5=36,K13,IF($Q$5=37,K13,IF($Q$5=38,K13,IF($Q$5=39,K13,IF($Q$5=40,K13,IF($Q$5=41,K13,IF($Q$5=42,K13,IF($Q$5=43,K13,IF($Q$5=44,K13,IF($Q$5=45,K13,IF($Q$5=46,K13,IF($Q$5=47,K13,IF($Q$5=48,K13,IF($Q$5=49,K13,IF($Q$5=50,K13,IF($Q$5=51,K13,IF($Q$5=52,K13,IF($Q$5=53,K13,IF($Q$5=54,K13,0)))))))))))))))))))))))))))))))))))))))))))))))</f>
        <v>B4</v>
      </c>
      <c r="Q13" s="123" t="str">
        <f>IF($Q$5=12,L13,IF($Q$5=16,L13,IF($Q$5=17,L13,IF($Q$5=18,L13,IF($Q$5=20,L13,IF($Q$5=21,L13,IF($Q$5=22,L13,IF($Q$5=23,L13,IF($Q$5=24,L13,IF($Q$5=25,L13,IF($Q$5=26,L13,IF($Q$5=27,L13,IF($Q$5=28,L13,IF($Q$5=29,L13,IF($Q$5=30,L13,IF($Q$5=31,L13,IF($Q$5=32,L13,IF($Q$5=33,L13,IF($Q$5=34,L13,IF($Q$5=35,L13,IF($Q$5=36,L13,IF($Q$5=37,L13,IF($Q$5=38,L13,IF($Q$5=39,L13,IF($Q$5=40,L13,IF($Q$5=41,L13,IF($Q$5=42,L13,IF($Q$5=43,L13,IF($Q$5=44,L13,IF($Q$5=45,L13,IF($Q$5=46,L13,IF($Q$5=47,L13,IF($Q$5=48,L13,IF($Q$5=49,L13,IF($Q$5=50,L13,IF($Q$5=51,L13,IF($Q$5=52,L13,IF($Q$5=53,L13,IF($Q$5=54,L13,0)))))))))))))))))))))))))))))))))))))))</f>
        <v>C4</v>
      </c>
      <c r="R13" s="136" t="str">
        <f>IF($Q$5=8,J12,IF($Q$5=9,O12,IF($Q$5=10,J11,IF($Q$5=11,J13,IF($Q$5=12,J11,IF($Q$5=13,J14,IF($Q$5=14,J14,IF($Q$5=15,J14,IF($Q$5=16,J14,IF($Q$5=17,J13,IF($Q$5=18,J11,IF($Q$5=19,J10,IF($Q$5=20,J13,IF($Q$5=21,J14,IF($Q$5=22,J14,IF($Q$5=23,J14,IF($Q$5=24,J14,IF($Q$5=25,J14,IF($Q$5=26,J14,IF($Q$5=27,J14,IF($Q$5=28,J14,IF($Q$5=29,J14,IF($Q$5=30,J14,IF($Q$5=31,J14,IF($Q$5=32,J14,IF($Q$5=33,J14,IF($Q$5=34,J14,IF($Q$5=35,J14,IF($Q$5=36,J14,IF($Q$5=37,J14,IF($Q$5=38,J14,IF($Q$5=39,J14,IF($Q$5=40,J14,IF($Q$5=41,J14,IF($Q$5=42,J14,IF($Q$5=43,J14,IF($Q$5=44,J14,IF($Q$5=45,J14,IF($Q$5=46,J14,IF($Q$5=47,J14,IF($Q$5=48,J14,IF($Q$5=49,J14,IF($Q$5=50,J14,IF($Q$5=51,J14,IF($Q$5=52,J14,IF($Q$5=53,J14,IF($Q$5=54,J14,0)))))))))))))))))))))))))))))))))))))))))))))))</f>
        <v>A5</v>
      </c>
      <c r="S13" s="137" t="str">
        <f>IF($Q$5=8,K10,IF($Q$5=9,Q10,IF($Q$5=10,K12,IF($Q$5=11,K12,IF($Q$5=12,K10,IF($Q$5=13,K12,IF($Q$5=14,K11,IF($Q$5=15,P12,IF($Q$5=16,K10,IF($Q$5=17,K12,IF($Q$5=18,K12,IF($Q$5=19,K12,IF($Q$5=20,K12,IF($Q$5=21,K12,IF($Q$5=22,K12,IF($Q$5=23,K16,IF($Q$5=24,K12,IF($Q$5=25,K12,IF($Q$5=26,K12,IF($Q$5=27,K12,IF($Q$5=28,K12,IF($Q$5=29,K12,IF($Q$5=30,K12,IF($Q$5=31,K12,IF($Q$5=32,K12,IF($Q$5=33,K12,IF($Q$5=34,K12,IF($Q$5=35,K12,IF($Q$5=36,K15,IF($Q$5=37,K15,IF($Q$5=38,K15,IF($Q$5=39,K15,IF($Q$5=40,K15,IF($Q$5=41,K15,IF($Q$5=42,K15,IF($Q$5=43,K15,IF($Q$5=44,K15,IF($Q$5=45,K15,IF($Q$5=46,K15,IF($Q$5=47,K15,IF($Q$5=48,K15,IF($Q$5=49,K15,IF($Q$5=50,K15,IF($Q$5=51,K15,IF($Q$5=52,K15,IF($Q$5=53,K15,IF($Q$5=54,K15,0)))))))))))))))))))))))))))))))))))))))))))))))</f>
        <v>B6</v>
      </c>
      <c r="T13" s="153" t="str">
        <f>IF($Q$5=12,L13,IF($Q$5=16,L11,IF($Q$5=17,L14,IF($Q$5=18,L14,IF($Q$5=19,0,IF($Q$5=20,P16,IF($Q$5=21,L14,IF($Q$5=22,L15,IF($Q$5=23,L16,IF($Q$5=24,L15,IF($Q$5=25,L14,IF($Q$5=26,L14,IF($Q$5=27,L14,IF($Q$5=28,L14,IF($Q$5=29,L14,IF($Q$5=30,L15,IF($Q$5=31,L11,IF($Q$5=32,L13,IF($Q$5=33,L13,IF($Q$5=34,L13,IF($Q$5=35,L13,IF($Q$5=36,L16,IF($Q$5=37,L16,IF($Q$5=38,L16,IF($Q$5=39,L16,IF($Q$5=40,L16,IF($Q$5=41,L16,IF($Q$5=42,L16,IF($Q$5=43,L16,IF($Q$5=44,L16,IF($Q$5=45,L16,IF($Q$5=46,L16,IF($Q$5=47,L16,IF($Q$5=48,L16,IF($Q$5=49,L16,IF($Q$5=50,L16,IF($Q$5=51,L16,IF($Q$5=52,L16,IF($Q$5=53,L16,IF($Q$5=54,L16,0))))))))))))))))))))))))))))))))))))))))</f>
        <v>C7</v>
      </c>
      <c r="U13" s="156" t="str">
        <f>IF($Q$5=8,K12,IF($Q$5=9,R10,IF($Q$5=10,J12,IF($Q$5=11,O12,IF($Q$5=12,O13,IF($Q$5=13,R13,IF($Q$5=14,R14,IF($Q$5=15,R14,IF(Q$5=16,O15,IF($Q$5=17,R11,IF($Q$5=18,O14,IF($Q$5=19,R11,IF($Q$5=20,R11,IF($Q$5=21,R12,IF($Q$5=22,O13,IF($Q$5=23,R14,IF($Q$5=24,O14,IF($Q$5=25,R13,IF($Q$5=26,O14,IF($Q$5=27,O14,IF($Q$5=28,O14,IF($Q$5=29,O14,IF($Q$5=30,O14,IF($Q$5=31,O14,IF($Q$5=32,O14,IF($Q$5=33,O14,IF($Q$5=34,O14,IF($Q$5=35,R13,IF($Q$5=36,O15,IF($Q$5=37,O15,IF($Q$5=38,O15,IF($Q$5=39,O15,IF($Q$5=40,O15,IF($Q$5=41,O15,IF($Q$5=42,O15,IF($Q$5=43,O15,IF($Q$5=44,O15,IF($Q$5=45,O15,IF($Q$5=46,O15,IF($Q$5=47,O15,IF($Q$5=48,O15,IF($Q$5=49,R14,IF($Q$5=50,O15,IF($Q$5=51,O15,IF($Q$5=52,O15,IF($Q$5=53,O15,IF($Q$5=54,O15,0)))))))))))))))))))))))))))))))))))))))))))))))</f>
        <v>A6</v>
      </c>
      <c r="V13" s="137" t="str">
        <f>IF($Q$5=8,K11,IF($Q$5=9,S11,IF($Q$5=10,K11,IF($Q$5=11,S11,IF($Q$5=12,S12,IF($Q$5=13,S14,IF($Q$5=14,S11,IF($Q$5=15,S12,IF($Q$5=16,S13,IF($Q$5=17,S14,IF($Q$5=18,S14,IF($Q$5=19,S12,IF($Q$5=20,S14,IF($Q$5=21,S14,IF($Q$5=22,S14,IF($Q$5=23,S14,IF($Q$5=24,S14,IF($Q$5=25,S14,IF($Q$5=26,S14,IF($Q$5=27,S14,IF($Q$5=28,S14,IF($Q$5=29,S16,IF($Q$5=30,S14,IF($Q$5=31,S14,IF($Q$5=32,S17,IF($Q$5=33,S17,IF($Q$5=34,S17,IF($Q$5=35,S17,IF($Q$5=36,S15,IF($Q$5=37,S15,IF($Q$5=38,S15,IF($Q$5=39,S15,IF($Q$5=40,S15,IF($Q$5=41,S15,IF($Q$5=42,S15,IF($Q$5=43,S15,IF($Q$5=44,S15,IF($Q$5=45,S15,IF($Q$5=46,S15,IF($Q$5=47,S15,IF($Q$5=48,S15,IF($Q$5=49,S15,IF($Q$5=50,S15,IF($Q$5=51,S15,IF($Q$5=52,S15,IF($Q$5=53,S15,IF($Q$5=54,S15,0)))))))))))))))))))))))))))))))))))))))))))))))</f>
        <v>B8</v>
      </c>
      <c r="W13" s="146" t="str">
        <f>IF($Q$5=12,T10,IF($Q$5=16,T13,IF($Q$5=17,T11,IF($Q$5=18,T15,IF($Q$5=20,T13,IF($Q$5=21,T11,IF($Q$5=22,T15,IF($Q$5=23,T15,IF($Q$5=24,T15,IF($Q$5=25,T14,IF($Q$5=26,T15,IF($Q$5=27,T15,IF($Q$5=28,T15,IF($Q$5=29,T15,IF($Q$5=30,T15,IF($Q$5=31,T15,IF($Q$5=32,T14,IF($Q$5=33,T14,IF($Q$5=34,T14,IF($Q$5=35,T14,IF($Q$5=36,T16,IF($Q$5=37,T16,IF($Q$5=38,T16,IF($Q$5=39,T16,IF($Q$5=40,T16,IF($Q$5=41,T16,IF($Q$5=42,T16,IF($Q$5=43,T16,IF($Q$5=44,T16,IF($Q$5=45,T16,IF($Q$5=46,T16,IF($Q$5=47,T16,IF($Q$5=48,T16,IF($Q$5=49,T16,IF($Q$5=50,T16,IF($Q$5=51,T16,IF($Q$5=52,T16,IF($Q$5=53,T16,IF($Q$5=54,T16,0)))))))))))))))))))))))))))))))))))))))</f>
        <v>C10</v>
      </c>
      <c r="X13" s="18"/>
      <c r="Y13" s="383"/>
      <c r="Z13" s="11" t="str">
        <f>+Q10</f>
        <v>C1</v>
      </c>
      <c r="AA13" s="51">
        <f>IF(ISTEXT(Z13),AA11,0)</f>
        <v>9</v>
      </c>
      <c r="AB13" s="52">
        <f>IF(ISTEXT(Z13),AB11,0)</f>
        <v>3</v>
      </c>
      <c r="AC13" s="53">
        <f>IF(ISTEXT(Z13),AC11,0)</f>
        <v>3</v>
      </c>
      <c r="AD13" s="6"/>
      <c r="AE13" s="11" t="str">
        <f>+T10</f>
        <v>C4</v>
      </c>
      <c r="AF13" s="51">
        <f>IF(ISTEXT(AE13),AF11,0)</f>
        <v>5</v>
      </c>
      <c r="AG13" s="52">
        <f>IF(ISTEXT(AE13),AG11,0)</f>
        <v>1</v>
      </c>
      <c r="AH13" s="54">
        <f>IF(ISTEXT(AE13),AH11,0)</f>
        <v>-5</v>
      </c>
      <c r="AI13" s="6"/>
      <c r="AJ13" s="11" t="str">
        <f>+W10</f>
        <v>C7</v>
      </c>
      <c r="AK13" s="55">
        <f>IF(ISTEXT(AJ13),AK11,0)</f>
        <v>4</v>
      </c>
      <c r="AL13" s="52">
        <f>IF(ISTEXT(AJ13),AL11,0)</f>
        <v>1</v>
      </c>
      <c r="AM13" s="56">
        <f>IF(ISTEXT(AJ13),AM11,0)</f>
        <v>-1</v>
      </c>
      <c r="AN13" s="18"/>
      <c r="AO13" s="44">
        <v>5</v>
      </c>
      <c r="AP13" s="278" t="str">
        <f>+Inscrits!B7</f>
        <v>A5</v>
      </c>
      <c r="AQ13" s="247">
        <f t="shared" si="3"/>
        <v>1</v>
      </c>
      <c r="AR13" s="82">
        <f t="shared" si="4"/>
        <v>-7</v>
      </c>
      <c r="AS13" s="184">
        <f t="shared" si="5"/>
        <v>2</v>
      </c>
      <c r="AT13" s="250">
        <f t="shared" si="6"/>
        <v>3</v>
      </c>
      <c r="AU13" s="82">
        <f t="shared" si="7"/>
        <v>7</v>
      </c>
      <c r="AV13" s="252">
        <f t="shared" si="8"/>
        <v>12</v>
      </c>
      <c r="AW13" s="247">
        <f t="shared" si="9"/>
        <v>3</v>
      </c>
      <c r="AX13" s="82">
        <f t="shared" si="10"/>
        <v>4</v>
      </c>
      <c r="AY13" s="252">
        <f t="shared" si="11"/>
        <v>13</v>
      </c>
      <c r="AZ13" s="247">
        <f t="shared" si="17"/>
        <v>7</v>
      </c>
      <c r="BA13" s="82">
        <f t="shared" si="12"/>
        <v>4</v>
      </c>
      <c r="BB13" s="252">
        <f t="shared" si="13"/>
        <v>27</v>
      </c>
      <c r="BC13" s="32">
        <f t="shared" si="14"/>
        <v>0</v>
      </c>
      <c r="BD13" s="47">
        <f t="shared" si="15"/>
        <v>4</v>
      </c>
      <c r="BE13" s="304">
        <f t="shared" si="16"/>
        <v>6.9573001300000001</v>
      </c>
      <c r="BF13" s="82">
        <f>IF(AP13="","",SMALL(BE$9:BE$62,ROWS(AZ$9:AZ13)))</f>
        <v>0.82710026999999997</v>
      </c>
      <c r="BH13" s="78" t="str">
        <f>IF(OR(AP13="",AZ13=""),"",INDEX($AP$9:$AP$63,MATCH(BF13,$BE$9:BE$62,0)))</f>
        <v>B1</v>
      </c>
      <c r="BI13" s="255">
        <f t="shared" si="0"/>
        <v>9</v>
      </c>
      <c r="BJ13" s="7">
        <f t="shared" si="1"/>
        <v>17</v>
      </c>
      <c r="BK13" s="7">
        <f t="shared" si="2"/>
        <v>29</v>
      </c>
      <c r="BL13" s="17">
        <f>IF(BF13="","",IF(AND(BI12=BI13,BJ12=BJ13,BK12=BK13),BL12,$BL$9+4))</f>
        <v>5</v>
      </c>
      <c r="BM13" s="22"/>
      <c r="BN13" s="31"/>
    </row>
    <row r="14" spans="1:66" ht="21" x14ac:dyDescent="0.3">
      <c r="A14" s="111">
        <v>5</v>
      </c>
      <c r="B14" s="330" t="s">
        <v>70</v>
      </c>
      <c r="C14" s="235">
        <f>IF($Q$5&gt;=13,5,0)</f>
        <v>5</v>
      </c>
      <c r="D14" s="335" t="s">
        <v>88</v>
      </c>
      <c r="E14" s="235">
        <f>IF($Q$5&gt;=14,5,0)</f>
        <v>5</v>
      </c>
      <c r="F14" s="333" t="s">
        <v>106</v>
      </c>
      <c r="G14" s="235">
        <f>IF($Q$5&gt;=15,5,0)</f>
        <v>5</v>
      </c>
      <c r="H14" s="18"/>
      <c r="I14" s="165">
        <v>5</v>
      </c>
      <c r="J14" s="172" t="str">
        <f>IF(ISNA(MATCH(I14,$C$10:$C$27,0)),"",INDEX(B$10:$B$27,MATCH(I14,$C$10:$C$27,0)))</f>
        <v>A5</v>
      </c>
      <c r="K14" s="117" t="str">
        <f>IF(ISNA(MATCH(I14,$E$10:$E$27,0)),"",INDEX($D$10:D$27,MATCH(I14,$E$10:$E$27,0)))</f>
        <v>B5</v>
      </c>
      <c r="L14" s="160" t="str">
        <f>IF(ISNA(MATCH(I14,$G$10:$G$27,0)),"",INDEX($F$10:F$27,MATCH(I14,$G$10:$G$27,0)))</f>
        <v>C5</v>
      </c>
      <c r="M14" s="130"/>
      <c r="N14" s="67">
        <v>3</v>
      </c>
      <c r="O14" s="118" t="str">
        <f>IF($Q$5=13,J14,IF($Q$5=14,J14,IF($Q$5=15,J14,IF($Q$5=16,J14,IF($Q$5=17,J14,IF($Q$5=18,J14,IF($Q$5=19,J14,IF($Q$5=20,J14,IF($Q$5=21,J14,IF($Q$5=22,J14,IF($Q$5=23,J14,IF($Q$5=24,J14,IF($Q$5=25,J14,IF($Q$5=26,J14,IF($Q$5=27,J14,IF($Q$5=28,J14,IF($Q$5=29,J14,IF($Q$5=29,J14,IF($Q$5=30,J14,IF($Q$5=31,J14,IF($Q$5=32,J14,IF($Q$5=33,J14,IF($Q$5=34,J14,IF($Q$5=35,J14,IF($Q$5=36,J14,IF($Q$5=37,J14,IF($Q$5=38,J14,IF($Q$5=39,J14,IF($Q$5=40,J14,IF($Q$5=41,J14,IF($Q$5=42,J14,IF($Q$5=43,J14,IF($Q$5=44,J14,IF($Q$5=45,J14,IF($Q$5=46,J14,IF($Q$5=47,J14,IF($Q$5=48,J14,IF($Q$5=49,J14,IF($Q$5=50,J14,IF($Q$5=51,J14,IF($Q$5=52,J14,IF($Q$5=53,J14,IF($Q$5=54,J14,0)))))))))))))))))))))))))))))))))))))))))))</f>
        <v>A5</v>
      </c>
      <c r="P14" s="119" t="str">
        <f>IF($Q$5=13,L12,IF($Q$5=14,L12,IF($Q$5=15,L12,IF($Q$5=16,K14,IF($Q$5=17,K14,IF($Q$5=18,K14,IF($Q$5=19,K14,IF($Q$5=20,K14,IF($Q$5=21,K14,IF($Q$5=22,K14,IF($Q$5=23,K14,IF($Q$5=24,K14,IF($Q$5=25,K14,IF($Q$5=26,K14,IF($Q$5=27,K14,IF($Q$5=28,K14,IF($Q$5=29,K14,IF($Q$5=30,K14,IF($Q$5=31,K14,IF($Q$5=32,K14,IF($Q$5=33,K14,IF($Q$5=34,K14,IF($Q$5=35,K14,IF($Q$5=36,K14,IF($Q$5=37,K14,IF($Q$5=38,K14,IF($Q$5=39,K14,IF($Q$5=40,K14,IF($Q$5=41,K14,IF($Q$5=42,K14,IF($Q$5=43,K14,IF($Q$5=44,K14,IF($Q$5=45,K14,IF($Q$5=46,K14,IF($Q$5=47,K14,IF($Q$5=48,K14,IF($Q$5=49,K14,IF($Q$5=50,K14,IF($Q$5=51,K14,IF($Q$5=52,K14,IF($Q$5=53,K14,IF($Q$5=54,K14,0))))))))))))))))))))))))))))))))))))))))))</f>
        <v>B5</v>
      </c>
      <c r="Q14" s="120" t="str">
        <f>IF($Q$5=17,L14,IF($Q$5=18,L14,IF($Q$5=21,L14,IF($Q$5=22,L14,IF($Q$5=23,L14,IF($Q$5=24,L14,IF($Q$5=25,L14,IF($Q$5=26,L14,IF($Q$5=27,L14,IF($Q$5=28,L14,IF($Q$5=29,L14,IF($Q$5=30,L14,IF($Q$5=31,L14,IF($Q$5=32,L14,IF($Q$5=33,L14,IF($Q$5=34,L14,IF($Q$5=35,L14,IF($Q$5=36,L14,IF($Q$5=37,L14,IF($Q$5=38,L14,IF($Q$5=39,L14,IF($Q$5=40,L14,IF($Q$5=41,L14,IF($Q$5=42,L14,IF($Q$5=43,L14,IF($Q$5=44,L14,IF($Q$5=45,L14,IF($Q$5=46,L14,IF($Q$5=47,L14,IF($Q$5=48,L14,IF($Q$5=49,L14,IF($Q$5=50,L14,IF($Q$5=51,L14,IF($Q$5=52,L14,IF($Q$5=53,L14,IF($Q$5=54,L14,0))))))))))))))))))))))))))))))))))))</f>
        <v>C5</v>
      </c>
      <c r="R14" s="135" t="str">
        <f>IF($Q$5=13,J13,IF($Q$5=14,J10,IF($Q$5=15,J10,IF($Q$5=16,J15,IF($Q$5=17,J11,IF($Q$5=18,J13,IF($Q$5=19,J14,IF($Q$5=20,J14,IF($Q$5=21,J13,IF($Q$5=22,J15,IF($Q$5=23,J15,IF($Q$5=24,J15,IF($Q$5=25,J15,IF($Q$5=26,J15,IF($Q$5=27,J15,IF($Q$5=28,J15,IF($Q$5=29,J15,IF($Q$5=30,J15,IF($Q$5=31,J15,IF($Q$5=32,J15,IF($Q$5=33,J15,IF($Q$5=34,J15,IF($Q$5=35,J15,IF($Q$5=36,J15,IF($Q$5=37,J15,IF($Q$5=38,J15,IF($Q$5=39,J15,IF($Q$5=40,J15,IF($Q$5=41,J15,IF($Q$5=42,J15,IF($Q$5=43,J15,IF($Q$5=44,J15,IF($Q$5=45,J15,IF($Q$5=46,J15,IF($Q$5=47,J15,IF($Q$5=48,J15,IF($Q$5=49,J15,IF($Q$5=50,J15,IF($Q$5=51,J15,IF($Q$5=52,J15,IF($Q$5=53,J15,IF($Q$5=54,J15,0))))))))))))))))))))))))))))))))))))))))))</f>
        <v>A6</v>
      </c>
      <c r="S14" s="138" t="str">
        <f>IF($Q$5=13,P14,IF($Q$5=14,L11,IF($Q$5=15,L10,IF($Q$5=16,K11,IF($Q$5=17,K15,IF($Q$5=18,K15,IF($Q$5=19,P10,IF($Q$5=20,K11,IF($Q$5=21,K15,IF($Q$5=22,K15,IF($Q$5=23,D17,IF($Q$5=24,K17,IF($Q$5=25,K16,IF($Q$5=26,K17,IF($Q$5=27,K15,IF($Q$5=28,K17,IF($Q$5=29,K15,IF($Q$5=30,K15,IF($Q$5=31,K17,IF($Q$5=32,K17,IF($Q$5=33,K17,IF($Q$5=34,K17,IF($Q$5=35,K17,IF($Q$5=36,K16,IF($Q$5=37,K16,IF($Q$5=38,K16,IF($Q$5=39,K16,IF($Q$5=40,K16,IF($Q$5=41,K16,IF($Q$5=42,K16,IF($Q$5=43,K16,IF($Q$5=44,K16,IF($Q$5=45,K16,IF($Q$5=46,K16,IF($Q$5=47,K16,IF($Q$5=48,K16,IF($Q$5=49,K16,IF($Q$5=50,K16,IF($Q$5=51,K16,IF($Q$5=52,K16,IF($Q$5=53,K16,IF($Q$5=54,K16,0))))))))))))))))))))))))))))))))))))))))))</f>
        <v>B7</v>
      </c>
      <c r="T14" s="154" t="str">
        <f>IF($Q$5=17,L10,IF($Q$5=18,L11,IF($Q$5=20,0,IF($Q$5=21,P16,IF($Q$5=22,P17,IF($Q$5=23,L15,IF($Q$5=24,L14,IF($Q$5=25,P17,IF($Q$5=26,L15,IF($Q$5=27,L15,IF($Q$5=28,L15,IF($Q$5=29,L15,IF($Q$5=30,L11,IF($Q$5=31,L16,IF($Q$5=32,L16,IF($Q$5=33,L16,IF($Q$5=34,L16,IF($Q$5=35,L16,IF($Q$5=36,L17,IF($Q$5=37,L17,IF($Q$5=38,L17,IF($Q$5=39,L17,IF($Q$5=40,L17,IF($Q$5=41,L17,IF($Q$5=42,L17,IF($Q$5=43,L17,IF($Q$5=44,L17,IF($Q$5=45,L17,IF($Q$5=46,L17,IF($Q$5=47,L17,IF($Q$5=48,L17,IF($Q$5=49,L17,IF($Q$5=50,L17,IF($Q$5=51,L17,IF($Q$5=52,L17,IF($Q$5=53,L17,IF($Q$5=54,L17,0)))))))))))))))))))))))))))))))))))))</f>
        <v>C8</v>
      </c>
      <c r="U14" s="135" t="str">
        <f>IF($Q$5=13,R10,IF($Q$5=14,R10,IF($Q$5=15,O11,IF($Q$5=16,O13,IF($Q$5=17,O11,IF($Q$5=18,R13,IF($Q$5=19,R10,IF($Q$5=20,R14,IF($Q$5=21,R11,IF($Q$5=22,O14,IF($Q$5=23,R17,IF($Q$5=24,R10,IF($Q$5=25,R10,IF($Q$5=26,O11,IF($Q$5=27,O11,IF($Q$5=28,R10,IF($Q$5=29,O11,IF($Q$5=30,R10,IF($Q$5=31,O15,IF($Q$5=32,O15,IF($Q$5=33,O15,IF($Q$5=34,O15,IF($Q$5=35,O15,IF($Q$5=36,O16,IF($Q$5=37,O16,IF($Q$5=38,O16,IF($Q$5=39,O16,IF($Q$5=40,O16,IF($Q$5=41,O16,IF($Q$5=42,O16,IF($Q$5=43,O16,IF($Q$5=44,O16,IF($Q$5=45,O16,IF($Q$5=46,O16,IF($Q$5=47,O16,IF($Q$5=48,O16,IF($Q$5=49,R15,IF($Q$5=50,O16,IF($Q$5=51,O16,IF($Q$5=52,O16,IF($Q$5=53,O16,IF($Q$5=54,O16,0))))))))))))))))))))))))))))))))))))))))))</f>
        <v>A7</v>
      </c>
      <c r="V14" s="132" t="str">
        <f>IF($Q$5=13,T10,IF($Q$5=14,P14,IF($Q$5=15,S13,IF($Q$5=16,S12,IF($Q$5=17,S15,IF($Q$5=18,S15,IF($Q$5=19,S13,IF($Q$5=20,S15,IF($Q$5=21,S10,IF($Q$5=22,S15,IF($Q$5=23,S17,IF($Q$5=24,S15,IF($Q$5=25,S15,IF($Q$5=26,S15,IF($Q$5=27,S15,IF($Q$5=28,S15,IF($Q$5=29,S15,IF($Q$5=30,S15,IF($Q$5=31,T11,IF($Q$5=32,S15,IF($Q$5=33,S15,IF($Q$5=34,S15,IF($Q$5=35,S15,IF($Q$5=36,S16,IF($Q$5=37,S16,IF($Q$5=38,S16,IF($Q$5=39,S16,IF($Q$5=40,S16,IF($Q$5=41,S16,IF($Q$5=42,S16,IF($Q$5=43,S16,IF($Q$5=44,S16,IF($Q$5=45,S16,IF($Q$5=46,S16,IF($Q$5=47,S16,IF($Q$5=48,S16,IF($Q$5=49,S16,IF($Q$5=50,S16,IF($Q$5=51,S16,IF($Q$5=52,S16,IF($Q$5=53,S16,IF($Q$5=54,S16,0))))))))))))))))))))))))))))))))))))))))))</f>
        <v>B9</v>
      </c>
      <c r="W14" s="144" t="str">
        <f>IF($Q$5=17,T10,IF($Q$5=18,T11,IF($Q$5=21,T13,IF($Q$5=22,T11,IF($Q$5=23,T11,IF($Q$5=24,T16,IF($Q$5=25,S17,IF($Q$5=26,S17,IF($Q$5=27,T16,IF($Q$5=28,T16,IF($Q$5=29,T16,IF($Q$5=30,T16,IF($Q$5=31,S19,IF($Q$5=32,T15,IF($Q$5=33,T15,IF($Q$5=34,T18,IF($Q$5=35,T20,IF($Q$5=36,T17,IF($Q$5=37,T17,IF($Q$5=38,T17,IF($Q$5=39,T17,IF($Q$5=40,T17,IF($Q$5=41,T17,IF($Q$5=42,T17,IF($Q$5=43,T17,IF($Q$5=44,T17,IF($Q$5=45,T17,IF($Q$5=46,T17,IF($Q$5=47,T17,IF($Q$5=48,T17,IF($Q$5=49,T17,IF($Q$5=50,T17,IF($Q$5=51,T17,IF($Q$5=52,T17,IF($Q$5=53,T17,IF($Q$5=54,T17,0))))))))))))))))))))))))))))))))))))</f>
        <v>C11</v>
      </c>
      <c r="X14" s="18"/>
      <c r="Y14" s="383"/>
      <c r="Z14" s="24"/>
      <c r="AA14" s="16" t="s">
        <v>5</v>
      </c>
      <c r="AB14" s="16"/>
      <c r="AC14" s="17"/>
      <c r="AD14" s="1"/>
      <c r="AE14" s="24"/>
      <c r="AF14" s="16" t="s">
        <v>5</v>
      </c>
      <c r="AG14" s="16"/>
      <c r="AH14" s="17"/>
      <c r="AI14" s="1"/>
      <c r="AJ14" s="24"/>
      <c r="AK14" s="16" t="s">
        <v>5</v>
      </c>
      <c r="AL14" s="16"/>
      <c r="AM14" s="17"/>
      <c r="AN14" s="18"/>
      <c r="AO14" s="44">
        <v>6</v>
      </c>
      <c r="AP14" s="278" t="str">
        <f>+Inscrits!B8</f>
        <v>A6</v>
      </c>
      <c r="AQ14" s="247">
        <f t="shared" si="3"/>
        <v>3</v>
      </c>
      <c r="AR14" s="82">
        <f t="shared" si="4"/>
        <v>7</v>
      </c>
      <c r="AS14" s="184">
        <f t="shared" si="5"/>
        <v>9</v>
      </c>
      <c r="AT14" s="250">
        <f t="shared" si="6"/>
        <v>3</v>
      </c>
      <c r="AU14" s="82">
        <f t="shared" si="7"/>
        <v>8</v>
      </c>
      <c r="AV14" s="252">
        <f t="shared" si="8"/>
        <v>9</v>
      </c>
      <c r="AW14" s="247">
        <f t="shared" si="9"/>
        <v>1</v>
      </c>
      <c r="AX14" s="82">
        <f t="shared" si="10"/>
        <v>-4</v>
      </c>
      <c r="AY14" s="252">
        <f t="shared" si="11"/>
        <v>9</v>
      </c>
      <c r="AZ14" s="247">
        <f t="shared" si="17"/>
        <v>7</v>
      </c>
      <c r="BA14" s="82">
        <f t="shared" si="12"/>
        <v>11</v>
      </c>
      <c r="BB14" s="252">
        <f t="shared" si="13"/>
        <v>27</v>
      </c>
      <c r="BC14" s="32">
        <f t="shared" si="14"/>
        <v>0</v>
      </c>
      <c r="BD14" s="47">
        <f t="shared" si="15"/>
        <v>11</v>
      </c>
      <c r="BE14" s="304">
        <f t="shared" si="16"/>
        <v>6.8873001399999998</v>
      </c>
      <c r="BF14" s="82">
        <f>IF(AP14="","",SMALL(BE$9:BE$62,ROWS(AZ$9:AZ14)))</f>
        <v>0.84740031999999998</v>
      </c>
      <c r="BH14" s="78" t="str">
        <f>IF(OR(AP14="",AZ14=""),"",INDEX($AP$9:$AP$63,MATCH(BF14,$BE$9:BE$62,0)))</f>
        <v>B6</v>
      </c>
      <c r="BI14" s="255">
        <f t="shared" si="0"/>
        <v>9</v>
      </c>
      <c r="BJ14" s="7">
        <f t="shared" si="1"/>
        <v>15</v>
      </c>
      <c r="BK14" s="7">
        <f t="shared" si="2"/>
        <v>26</v>
      </c>
      <c r="BL14" s="17">
        <f>IF(BF14="","",IF(AND(BI13=BI14,BJ13=BJ14,BK13=BK14),BL13,$BL$9+5))</f>
        <v>6</v>
      </c>
      <c r="BM14" s="22"/>
      <c r="BN14" s="31"/>
    </row>
    <row r="15" spans="1:66" ht="21.6" thickBot="1" x14ac:dyDescent="0.35">
      <c r="A15" s="111">
        <v>6</v>
      </c>
      <c r="B15" s="330" t="s">
        <v>71</v>
      </c>
      <c r="C15" s="235">
        <f>IF($Q$5&gt;=16,6,0)</f>
        <v>6</v>
      </c>
      <c r="D15" s="335" t="s">
        <v>89</v>
      </c>
      <c r="E15" s="235">
        <f>IF($Q$5&gt;=17,6,0)</f>
        <v>6</v>
      </c>
      <c r="F15" s="333" t="s">
        <v>107</v>
      </c>
      <c r="G15" s="235">
        <f>IF($Q$5&gt;=18,6,0)</f>
        <v>6</v>
      </c>
      <c r="H15" s="18"/>
      <c r="I15" s="165">
        <v>6</v>
      </c>
      <c r="J15" s="172" t="str">
        <f>IF(ISNA(MATCH(I15,$C$10:$C$27,0)),"",INDEX(B$10:$B$27,MATCH(I15,$C$10:$C$27,0)))</f>
        <v>A6</v>
      </c>
      <c r="K15" s="117" t="str">
        <f>IF(ISNA(MATCH(I15,$E$10:$E$27,0)),"",INDEX($D$10:D$27,MATCH(I15,$E$10:$E$27,0)))</f>
        <v>B6</v>
      </c>
      <c r="L15" s="160" t="str">
        <f>IF(ISNA(MATCH(I15,$G$10:$G$27,0)),"",INDEX($F$10:F$27,MATCH(I15,$G$10:$G$27,0)))</f>
        <v>C6</v>
      </c>
      <c r="M15" s="130"/>
      <c r="N15" s="42" t="s">
        <v>5</v>
      </c>
      <c r="O15" s="121" t="str">
        <f>IF($Q$5=13,K13,IF($Q$5=14,K14,IF($Q$5=15,K14,IF($Q$5=16,J15,IF($Q$5=17,J15,IF($Q5=18,J15,IF($Q$5=19,J15,IF($Q$5=20,J15,IF($Q$5=21,J15,IF($Q$5=22,J15,IF($Q$5=23,J15,IF($Q$5=24,J15,IF($Q$5=25,J15,IF($Q$5=26,J15,IF($Q$5=27,J15,IF($Q$5=28,J15,IF($Q$5=29,J15,IF($Q$5=30,J15,IF($Q$5=31,J15,IF($Q$5=32,J15,IF($Q$5=33,J15,IF($Q$5=34,J15,IF($Q$5=35,J15,IF($Q$5=36,J15,IF($Q$5=37,J15,IF($Q$5=38,J15,IF($Q$5=39,J15,IF($Q$5=40,J15,IF($Q$5=41,J15,IF($Q$5=42,J15,IF($Q$5=43,J15,IF($Q$5=44,J15,IF($Q$5=45,J15,IF($Q$5=46,J15,IF($Q$5=47,J15,IF($Q$5=48,J15,IF($Q$5=49,J15,IF($Q$5=50,J15,IF($Q$5=51,J15,IF($Q$5=52,J15,IF($Q$5=53,J15,IF($Q$5=54,J15,0))))))))))))))))))))))))))))))))))))))))))</f>
        <v>A6</v>
      </c>
      <c r="P15" s="122" t="str">
        <f>IF($Q$5=13,L13,IF($Q$5=14,L13,IF($Q$5=15,L13,IF($Q$5=16,L14,IF($Q$5=17,K15,IF($Q$5=18,K15,IF($Q$5=19,L13,IF($Q$5=20,K15,IF($Q$5=21,K15,IF($Q$5=22,K15,IF($Q$5=23,K15,IF($Q$5=24,K15,IF($Q$5=25,K15,IF($Q$5=26,K15,IF($Q$5=27,K15,IF($Q$5=28,K15,IF($Q$5=29,K15,IF($Q$5=30,K15,IF($Q$5=31,K15,IF($Q$5=32,K15,IF($Q$5=33,K15,IF($Q$5=34,K15,IF($Q$5=35,K15,IF($Q$5=36,K15,IF($Q$5=37,K15,IF($Q$5=38,K15,IF($Q$5=39,K15,IF($Q$5=40,K15,IF($Q$5=41,K15,IF($Q$5=42,K15,IF($Q$5=43,K15,IF($Q$5=44,K15,IF($Q$5=45,K15,IF($Q$5=46,K15,IF($Q$5=47,K15,IF($Q$5=48,K15,IF($Q$5=49,K15,IF($Q$5=50,K15,IF($Q$5=51,K15,IF($Q$5=52,K15,IF($Q$5=53,K15,IF($Q$5=54,K15,0))))))))))))))))))))))))))))))))))))))))))</f>
        <v>B6</v>
      </c>
      <c r="Q15" s="123" t="str">
        <f>IF($Q$5=18,L15,IF($Q$5=22,L15,IF($Q$5=23,L15,IF(Q$5=24,L15,IF($Q$5=26,L15,IF($Q$5=27,L15,IF($Q$5=28,L15,IF($Q$5=29,L15,IF($Q$5=30,L15,IF($Q$5=31,L15,IF($Q$5=32,L15,IF($Q$5=33,L15,IF($Q$5=34,L15,IF($Q$5=35,L15,IF($Q$5=36,L15,IF($Q$5=37,L15,IF($Q$5=38,L15,IF($Q$5=39,L15,IF($Q$5=40,L15,IF($Q$5=41,L15,IF($Q$5=42,L15,IF($Q$5=43,L15,IF($Q$5=44,L15,IF($Q$5=45,L15,IF($Q$5=46,L15,IF($Q$5=47,L15,IF($Q$5=48,L15,IF($Q$5=49,L15,IF($Q$5=50,L15,IF($Q$5=51,L15,IF($Q$5=52,L15,IF($Q$5=53,L15,IF($Q$5=54,L15,0)))))))))))))))))))))))))))))))))</f>
        <v>C6</v>
      </c>
      <c r="R15" s="139" t="str">
        <f>IF($Q$5=13,K10,IF($Q$5=14,O15,IF($Q$5=15,O15,IF($Q$5=16,J10,IF($Q$5=17,J15,IF($Q$5=18,J15,IF($Q$5=19,J15,IF($Q$5=20,J15,IF($Q$5=21,J15,IF($Q$5=22,J16,IF($Q$5=23,J16,IF($Q$5=24,J16,IF($Q$5=25,J16,IF($Q$5=26,J16,IF($Q$5=27,J16,IF($Q$5=28,J16,IF($Q$5=29,O16,IF($Q$5=30,J16,IF($Q$5=31,J16,IF($Q$5=32,J16,IF($Q$5=33,J16,IF($Q$5=34,J16,IF($Q$5=35,J16,IF($Q$5=36,J16,IF($Q$5=37,J16,IF($Q$5=38,J16,IF($Q$5=39,J16,IF($Q$5=40,J16,IF($Q$5=41,J16,IF($Q$5=42,J16,IF($Q$5=43,J16,IF($Q$5=44,J16,IF($Q$5=45,J16,IF($Q$5=46,J16,IF($Q$5=47,J16,IF($Q$5=48,J16,IF($Q$5=49,J16,IF($Q$5=50,J16,IF($Q$5=51,J16,IF($Q$5=52,J16,IF($Q$5=53,J16,IF($Q$5=54,J16,0))))))))))))))))))))))))))))))))))))))))))</f>
        <v>A7</v>
      </c>
      <c r="S15" s="134" t="str">
        <f>IF($Q$5=13,O15,IF($Q$5=14,P14,IF($Q$5=15,L11,IF($Q$5=16,L12,IF(Q$5=17,P10,IF($Q$5=18,K10,IF($Q$5=19,L11,IF($Q$5=20,K13,IF($Q$5=21,L10,IF($Q$5=22,K16,IF($Q$5=23,D10,IF($Q$5=24,K13,IF($Q$5=25,K15,IF($Q$5=26,K13,IF($Q$5=27,K16,IF($Q$5=28,K16,IF($Q$5=29,K16,IF($Q$5=30,K16,IF($Q$5=31,K15,IF($Q$5=32,K18,IF($Q$5=33,K18,IF($Q$5=34,K18,IF($Q$5=35,K18,IF($Q$5=36,K17,IF($Q$5=37,K17,IF($Q$5=38,K17,IF($Q$5=39,K17,IF($Q$5=40,K17,IF($Q$5=41,K17,IF($Q$5=42,K17,IF($Q$5=43,K17,IF($Q$5=44,K17,IF($Q$5=45,K17,IF($Q$5=46,K17,IF($Q$5=47,K17,IF($Q$5=48,K17,IF($Q$5=49,K17,IF($Q$5=50,K17,IF($Q$5=51,K17,IF($Q$5=52,K17,IF($Q$5=53,K17,IF($Q$5=54,K17,0))))))))))))))))))))))))))))))))))))))))))</f>
        <v>B8</v>
      </c>
      <c r="T15" s="155" t="str">
        <f>IF($Q$5=17,0,IF($Q$5=18,L10,IF($Q$5=21,0,IF($Q$5=22,L10,IF($Q$5=23,L14,IF($Q$5=24,L16,IF($Q$5=25,0,IF($Q$5=26,P18,IF($Q$5=27,L16,IF($Q$5=28,L16,IF($Q$5=29,L16,IF($Q$5=30,L16,IF($Q$5=31,L10,IF($Q$5=32,L15,IF($Q$5=33,L15,IF($Q$5=34,L15,IF($Q$5=35,L15,IF($Q$5=36,L18,IF($Q$5=37,L18,IF($Q$5=38,L18,IF($Q$5=39,L18,IF($Q$5=40,L18,IF($Q$5=41,L18,IF($Q$5=42,L18,IF($Q$5=43,L18,IF($Q$5=44,L18,IF($Q$5=45,L18,IF($Q$5=46,L18,IF($Q$5=47,L18,IF($Q$5=48,L18,IF($Q$5=49,L18,IF($Q$5=50,L18,IF($Q$5=51,L18,IF($Q$5=52,L18,IF($Q$5=53,L18,IF($Q$5=54,L18,0))))))))))))))))))))))))))))))))))))</f>
        <v>C9</v>
      </c>
      <c r="U15" s="157" t="str">
        <f>IF($Q$5=13,O15,IF($Q$5=14,R15,IF($Q$5=15,R15,IF($Q$5=16,R10,IF($Q$5=17,R15,IF($Q$5=18,R15,IF($Q$5=19,R15,IF($Q$5=20,R15,IF($Q$5=21,R15,IF($Q$5=22,R15,IF($Q$5=23,R15,IF($Q$5=24,O16,IF($Q$5=25,R15,IF($Q$5=26,R15,IF($Q$5=27,O16,IF($Q$5=28,O16,IF($Q$5=29,O16,IF($Q$5=30,O16,IF($Q$5=31,R15,IF($Q$5=32,O17,IF($Q$5=33,O17,IF($Q$5=34,R16,IF($Q$5=35,R16,IF($Q$5=36,O17,IF($Q$5=37,O17,IF($Q$5=38,O17,IF($Q$5=39,O17,IF($Q$5=40,O17,IF($Q$5=41,O17,IF($Q$5=42,O17,IF($Q$5=43,O17,IF($Q$5=44,O17,IF($Q$5=45,O17,IF($Q$5=46,O17,IF($Q$5=47,O17,IF($Q$5=48,O17,IF($Q$5=49,R16,IF($Q$5=50,O17,IF($Q$5=51,O17,IF($Q$5=52,O17,IF($Q$5=53,O17,IF($Q$5=54,O17,0))))))))))))))))))))))))))))))))))))))))))</f>
        <v>A8</v>
      </c>
      <c r="V15" s="137" t="str">
        <f>IF($Q$5=13,S12,IF($Q$5=14,L13,IF($Q$5=15,T10,IF($Q$5=16,T12,IF($Q$5=17,S12,IF($Q$5=18,S10,IF($Q$5=19,T11,IF($Q$5=20,S12,IF($Q$5=21,S12,IF($Q$5=22,S16,IF($Q$5=23,S16,IF($Q$5=24,S16,IF($Q$5=25,S18,IF($Q$5=26,S16,IF($Q$5=27,S16,IF($Q$5=28,S16,IF($Q$5=29,S14,IF($Q$5=30,S16,IF($Q$5=31,S16,IF($Q$5=32,S21,IF($Q$5=33,S19,IF($Q$5=34,S19,IF($Q$5=35,S19,IF($Q$5=36,S17,IF($Q$5=37,S17,IF($Q$5=38,S17,IF($Q$5=39,S17,IF($Q$5=40,S17,IF($Q$5=41,S17,IF($Q$5=42,S17,IF($Q$5=43,S17,IF($Q$5=44,S17,IF($Q$5=45,S17,IF($Q$5=46,S17,IF($Q$5=47,S17,IF($Q$5=48,S17,IF($Q$5=49,S17,IF($Q$5=50,S17,IF($Q$5=51,S17,IF($Q$5=52,S17,IF($Q$5=53,S17,IF($Q$5=54,S17,0))))))))))))))))))))))))))))))))))))))))))</f>
        <v>B10</v>
      </c>
      <c r="W15" s="146" t="str">
        <f>IF($Q$5=18,T10,IF($Q$5=22,S17,IF($Q$5=23,T16,IF($Q$5=24,T17,IF($Q$5=25,0,IF($Q$5=26,T11,IF($Q$5=27,S17,IF($Q$5=28,T17,IF($Q$5=29,T17,IF($Q$5=30,T17,IF($Q$5=31,S20,IF($Q$5=32,T13,IF($Q$5=33,T13,IF($Q$5=34,T13,IF($Q$5=35,T13,IF($Q$5=36,T18,IF($Q$5=37,T18,IF($Q$5=38,T18,IF($Q$5=39,S23,IF($Q$5=40,T18,IF($Q$5=41,T18,IF($Q$5=42,T18,IF($Q$5=43,T18,IF($Q$5=44,T18,IF($Q$5=45,T18,IF($Q$5=46,T18,IF($Q$5=47,T18,IF($Q$5=48,T18,IF($Q$5=49,T18,IF($Q$5=50,T18,IF($Q$5=51,T18,IF($Q$5=52,T18,IF($Q$5=53,T18,IF($Q$5=54,T18,0))))))))))))))))))))))))))))))))))</f>
        <v>C12</v>
      </c>
      <c r="X15" s="18"/>
      <c r="Y15" s="383"/>
      <c r="Z15" s="11" t="str">
        <f>+O11</f>
        <v>A2</v>
      </c>
      <c r="AA15" s="26">
        <v>6</v>
      </c>
      <c r="AB15" s="23">
        <f>IF(AA11+AA15=0,0,IF(AA11=AA15,2,IF(AA11&lt;AA15,3,1)))</f>
        <v>1</v>
      </c>
      <c r="AC15" s="12">
        <f>AA15-AA11</f>
        <v>-3</v>
      </c>
      <c r="AD15" s="6"/>
      <c r="AE15" s="11" t="str">
        <f>+R11</f>
        <v>A3</v>
      </c>
      <c r="AF15" s="108">
        <v>10</v>
      </c>
      <c r="AG15" s="23">
        <f>IF(AF11+AF15=0,0,IF(AF11=AF15,2,IF(AF11&lt;AF15,3,1)))</f>
        <v>3</v>
      </c>
      <c r="AH15" s="12">
        <f>AF15-AF11</f>
        <v>5</v>
      </c>
      <c r="AI15" s="6"/>
      <c r="AJ15" s="11" t="str">
        <f>+U11</f>
        <v>A4</v>
      </c>
      <c r="AK15" s="29">
        <v>5</v>
      </c>
      <c r="AL15" s="23">
        <f>IF(AK11+AK15=0,0,IF(AK11=AK15,2,IF(AK11&lt;AK15,3,1)))</f>
        <v>3</v>
      </c>
      <c r="AM15" s="12">
        <f>AK15-AK11</f>
        <v>1</v>
      </c>
      <c r="AN15" s="18"/>
      <c r="AO15" s="44">
        <v>7</v>
      </c>
      <c r="AP15" s="278" t="str">
        <f>+Inscrits!B9</f>
        <v>A7</v>
      </c>
      <c r="AQ15" s="247">
        <f t="shared" si="3"/>
        <v>1</v>
      </c>
      <c r="AR15" s="82">
        <f t="shared" si="4"/>
        <v>-11</v>
      </c>
      <c r="AS15" s="184">
        <f t="shared" si="5"/>
        <v>1</v>
      </c>
      <c r="AT15" s="250">
        <f t="shared" si="6"/>
        <v>1</v>
      </c>
      <c r="AU15" s="82">
        <f t="shared" si="7"/>
        <v>-8</v>
      </c>
      <c r="AV15" s="252">
        <f t="shared" si="8"/>
        <v>1</v>
      </c>
      <c r="AW15" s="247">
        <f t="shared" si="9"/>
        <v>1</v>
      </c>
      <c r="AX15" s="82">
        <f t="shared" si="10"/>
        <v>-1</v>
      </c>
      <c r="AY15" s="252">
        <f t="shared" si="11"/>
        <v>5</v>
      </c>
      <c r="AZ15" s="247">
        <f t="shared" si="17"/>
        <v>3</v>
      </c>
      <c r="BA15" s="82">
        <f t="shared" si="12"/>
        <v>-20</v>
      </c>
      <c r="BB15" s="252">
        <f t="shared" si="13"/>
        <v>7</v>
      </c>
      <c r="BC15" s="32">
        <f t="shared" si="14"/>
        <v>-20</v>
      </c>
      <c r="BD15" s="47">
        <f t="shared" si="15"/>
        <v>0</v>
      </c>
      <c r="BE15" s="304">
        <f t="shared" si="16"/>
        <v>39.199300149999999</v>
      </c>
      <c r="BF15" s="82">
        <f>IF(AP15="","",SMALL(BE$9:BE$62,ROWS(AZ$9:AZ15)))</f>
        <v>6.8777005899999999</v>
      </c>
      <c r="BH15" s="78" t="str">
        <f>IF(OR(AP15="",AZ15=""),"",INDEX($AP$9:$AP$63,MATCH(BF15,$BE$9:BE$62,0)))</f>
        <v>C15</v>
      </c>
      <c r="BI15" s="255">
        <f t="shared" si="0"/>
        <v>7</v>
      </c>
      <c r="BJ15" s="7">
        <f t="shared" si="1"/>
        <v>12</v>
      </c>
      <c r="BK15" s="7">
        <f t="shared" si="2"/>
        <v>23</v>
      </c>
      <c r="BL15" s="17">
        <f>IF(BF15="","",IF(AND(BI14=BI15,BJ14=BJ15,BK14=BK15),BL14,$BL$9+6))</f>
        <v>7</v>
      </c>
      <c r="BM15" s="22"/>
      <c r="BN15" s="31"/>
    </row>
    <row r="16" spans="1:66" ht="21.6" thickBot="1" x14ac:dyDescent="0.35">
      <c r="A16" s="111">
        <v>7</v>
      </c>
      <c r="B16" s="330" t="s">
        <v>72</v>
      </c>
      <c r="C16" s="235">
        <f>IF($Q$5&gt;=19,7,0)</f>
        <v>7</v>
      </c>
      <c r="D16" s="335" t="s">
        <v>90</v>
      </c>
      <c r="E16" s="235">
        <f>IF($Q$5&gt;=20,7,0)</f>
        <v>7</v>
      </c>
      <c r="F16" s="333" t="s">
        <v>108</v>
      </c>
      <c r="G16" s="235">
        <f>IF($Q$5&gt;=21,7,0)</f>
        <v>7</v>
      </c>
      <c r="H16" s="18"/>
      <c r="I16" s="165">
        <v>7</v>
      </c>
      <c r="J16" s="172" t="str">
        <f>IF(ISNA(MATCH(I16,$C$10:$C$27,0)),"",INDEX(B$10:$B$27,MATCH(I16,$C$10:$C$27,0)))</f>
        <v>A7</v>
      </c>
      <c r="K16" s="117" t="str">
        <f>IF(ISNA(MATCH(I16,$E$10:$E$27,0)),"",INDEX($D$10:D$27,MATCH(I16,$E$10:$E$27,0)))</f>
        <v>B7</v>
      </c>
      <c r="L16" s="160" t="str">
        <f>IF(ISNA(MATCH(I16,$G$10:$G$27,0)),"",INDEX($F$10:F$27,MATCH(I16,$G$10:$G$27,0)))</f>
        <v>C7</v>
      </c>
      <c r="M16" s="130"/>
      <c r="N16" s="67">
        <v>4</v>
      </c>
      <c r="O16" s="118" t="str">
        <f>IF($Q$5=19,J16,IF($Q$5=20,J16,IF($Q$5=21,J16,IF($Q$5=22,J16,IF($Q$5=23,J16,IF(Q$5=24,J16,IF($Q$5=25,J16,IF($Q$5=26,J16,IF(Q$5=27,J16,IF($Q$5=28,J16,IF($Q$5=29,J16,IF($Q$5=30,J16,IF($Q$5=31,J16,IF($Q$5=32,J16,IF($Q$5=33,J16,IF($Q$5=34,J16,IF($Q$5=35,J16,IF($Q$5=36,J16,IF($Q$5=37,J16,IF($Q$5=38,J16,IF($Q$5=39,J16,IF($Q$5=40,J16,IF($Q$5=41,J16,IF($Q$5=42,J16,IF($Q$5=43,J16,IF($Q$5=44,J16,IF($Q$5=45,J16,IF($Q$5=46,J16,IF($Q$5=47,J16,IF($Q$5=48,J16,IF($Q$5=49,J16,IF($Q$5=50,J16,IF($Q$5=51,J16,IF($Q$5=52,J16,IF($Q$5=53,J16,IF($Q$5=54,J16,0))))))))))))))))))))))))))))))))))))</f>
        <v>A7</v>
      </c>
      <c r="P16" s="119" t="str">
        <f>IF($Q$5=19,L15,IF($Q$5=20,L14,IF($Q$5=21,L15,IF($Q$5=22,K16,IF($Q$5=23,K16,IF($Q$5=24,K16,IF($Q$5=25,K16,IF($Q$5=26,K16,IF($Q$5=27,K16,IF($Q$5=28,K16,IF($Q$5=29,K16,IF($Q$5=30,K16,IF($Q$5=31,K16,IF($Q$5=32,K16,IF($Q$5=33,K16,IF($Q$5=34,K16,IF($Q$5=35,K16,IF($Q$5=36,K16,IF($Q$5=37,K16,IF($Q$5=38,K16,IF($Q$5=39,K16,IF($Q$5=40,K16,IF($Q$5=41,K16,IF($Q$5=42,K16,IF($Q$5=43,K16,IF($Q$5=44,K16,IF($Q$5=45,K16,IF($Q$5=46,K16,IF($Q$5=47,K16,IF($Q$5=48,K16,IF($Q$5=49,K16,IF($Q$5=50,K16,IF($Q$5=51,K16,IF($Q$5=52,I16,IF($Q$5=53,K16,IF($Q$5=54,K16,0))))))))))))))))))))))))))))))))))))</f>
        <v>B7</v>
      </c>
      <c r="Q16" s="120" t="str">
        <f>IF($Q$5=23,L16,IF($Q$5=24,L16,IF($Q$5=27,L16,IF($Q$5=28,L16,IF($Q$5=29,L16,IF($Q$5=30,L16,IF($Q$5=31,L16,IF($Q$5=32,L16,IF($Q$5=33,L16,IF($Q$5=34,L16,IF($Q$5=35,L16,IF($Q$5=36,L16,IF($Q$5=37,L16,IF($Q$5=38,L16,IF($Q$5=39,L16,IF($Q$5=40,L16,IF($Q$5=41,L16,IF($Q$5=42,L16,IF($Q$5=43,L16,IF($Q$5=44,L16,IF($Q$5=45,L16,IF($Q$5=46,L16,IF($Q$5=47,L16,IF($Q$5=48,L16,IF($Q$5=49,L16,IF($Q$5=50,L16,IF($Q$5=51,L16,IF($Q$5=52,L16,IF($Q$5=53,L16,IF($Q$5=54,L16,0))))))))))))))))))))))))))))))</f>
        <v>C7</v>
      </c>
      <c r="R16" s="140" t="str">
        <f>IF($Q$5=19,J16,IF($Q$5=20,J16,IF($Q$5=21,J16,IF($Q$5=22,J17,IF($Q$5=23,J17,IF($Q$5=24,J17,IF($Q$5=25,J17,IF($Q$5=26,J17,IF($Q$5=27,J17,IF($Q$5=28,J17,IF($Q$5=29,J17,IF($Q$5=30,J17,IF($Q$5=31,J17,IF($Q$5=32,J17,IF($Q$5=33,J17,IF($Q$5=34,J17,IF($Q$5=35,J17,IF($Q$5=36,J17,IF($Q$5=37,J17,IF($Q$5=38,J17,IF($Q$5=39,J17,IF($Q$5=40,J17,IF($Q$5=41,J17,IF($Q$5=42,J17,IF($Q$5=43,J17,IF($Q$5=44,J17,IF($Q$5=45,J17,IF($Q$5=46,J17,IF($Q$5=47,J17,IF($Q$5=48,J17,IF($Q$5=49,J17,IF($Q$5=50,J17,IF($Q$5=51,J17,IF($Q$5=52,J17,IF($Q$5=53,J17,IF($Q$5=54,J17,0))))))))))))))))))))))))))))))))))))</f>
        <v>A8</v>
      </c>
      <c r="S16" s="132" t="str">
        <f>IF($Q$5=19,P16,IF($Q$5=20,L10,IF($Q$5=21,L11,IF($Q$5=22,K10,IF($Q$5=23,D11,IF($Q$5=24,K15,IF($Q$5=25,K10,IF($Q$5=26,K15,IF($Q$5=27,K17,IF(Q$5=28,K15,IF($Q$5=29,K17,IF($Q$5=30,K17,IF($Q$5=31,P18,IF($Q$5=32,K15,IF($Q$5=33,K15,IF($Q$5=34,K15,IF($Q$5=35,K15,IF($Q$5=36,K18,IF($Q$5=37,K18,IF($Q$5=38,K18,IF($Q$5=39,K18,IF($Q$5=40,K18,IF($Q$5=41,K18,IF($Q$5=42,K18,IF($Q$5=43,K18,IF($Q$5=44,K18,IF($Q$5=45,K18,IF($Q$5=46,K18,IF($Q$5=47,K18,IF($Q$5=48,K18,IF($Q$5=49,K18,IF($Q$5=50,K18,IF($Q$5=51,K18,IF($Q$5=52,K18,IF($Q$5=53,K18,IF($Q$5=54,K18,0))))))))))))))))))))))))))))))))))))</f>
        <v>B9</v>
      </c>
      <c r="T16" s="151" t="str">
        <f>IF($Q$5=22,0,IF($Q$5=23,L10,IF($Q$5=24,L10,IF($Q$5=26,0,IF($Q$5=27,P18,IF($Q$5=28,L17,IF($Q$5=29,L17,IF($Q$5=30,L17,IF($Q$5=31,L15,IF($Q$5=32,L10,IF($Q$5=33,L10,IF($Q$5=34,L10,IF($Q$5=35,L10,IF($Q$5=36,L19,IF($Q$5=37,P23,IF($Q$5=38,L19,IF($Q$5=39,L19,IF($Q$5=40,L19,IF($Q$5=41,L19,IF($Q$5=42,L19,IF($Q$5=43,L19,IF($Q$5=44,L19,IF($Q$5=45,L19,IF($Q$5=46,L19,IF($Q$5=47,L19,IF($Q$5=48,L19,IF($Q$5=49,L19,IF($Q$5=50,L19,IF($Q$5=51,L19,IF($Q$5=52,L19,IF($Q$5=53,L19,IF($Q$5=54,L19,0))))))))))))))))))))))))))))))))</f>
        <v>C10</v>
      </c>
      <c r="U16" s="140" t="str">
        <f>IF($Q$5=19,R16,IF($Q$5=20,R16,IF($Q$5=21,R16,IF($Q$5=22,R14,IF($Q$5=23,R16,IF($Q$5=24,R14,IF($Q$5=25,R14,IF($Q$5=26,R14,IF($Q$5=27,R14,IF($Q$5=28,R14,IF($Q$5=29,O15,IF($Q$5=30,O15,IF($Q$5=31,R16,IF($Q$5=32,R15,IF($Q$5=33,O16,IF($Q$5=34,O16,IF($Q$5=35,R15,IF($Q$5=36,O18,IF($Q$5=37,O18,IF($Q$5=38,O18,IF($Q$5=39,R17,IF($Q$5=40,O18,IF($Q$5=41,O18,IF($Q$5=42,O18,IF($Q$5=43,O18,IF($Q$5=44,O18,IF($Q$5=45,O18,IF($Q$5=46,O18,IF($Q$5=47,O18,IF($Q$5=48,O18,IF($Q$5=49,R17,IF($Q$5=50,O18,IF($Q$5=51,O18,IF($Q$5=52,O18,IF($Q$5=53,O18,IF($Q$5=54,O18,0))))))))))))))))))))))))))))))))))))</f>
        <v>A9</v>
      </c>
      <c r="V16" s="138" t="str">
        <f>IF($Q$5=19,S15,IF($Q$5=20,S17,IF($Q$5=21,S15,IF($Q$5=22,S12,IF($Q$5=23,S15,IF($Q$5=24,S12,IF($Q$5=25,S16,IF($Q$5=26,S19,IF($Q$5=27,T11,IF($Q$5=28,S19,IF($Q$5=29,S19,IF($Q$5=30,S19,IF($Q$5=31,R21,IF($Q$5=32,S20,IF($Q$5=33,S18,IF($Q$5=34,S18,IF($Q$5=35,S18,IF($Q$5=36,S18,IF($Q$5=37,S18,IF($Q$5=38,S18,IF($Q$5=39,S18,IF($Q$5=40,S18,IF($Q$5=41,S18,IF($Q$5=42,S18,IF($Q$5=43,S18,IF($Q$5=44,S18,IF($Q$5=45,S18,IF($Q$5=46,S18,IF($Q$5=47,S18,IF($Q$5=48,S18,IF($Q$5=49,S18,IF($Q$5=50,S18,IF($Q$5=51,S18,IF($Q$5=52,S18,IF($Q$5=53,S18,IF($Q$5=54,S18,0))))))))))))))))))))))))))))))))))))</f>
        <v>B11</v>
      </c>
      <c r="W16" s="145" t="str">
        <f>IF($Q$5=23,T10,IF($Q$5=24,T11,IF($Q$5=27,S18,IF($Q$5=28,T11,IF($Q$5=29,T12,IF($Q$5=30,T11,IF($Q$5=31,S18,IF($Q$5=32,T16,IF($Q$5=33,T16,IF($Q$5=34,T16,IF($Q$5=35,T19,IF($Q$5=36,T19,IF($Q$5=37,S21,IF($Q$5=38,T19,IF($Q$5=39,S22,IF($Q$5=40,T19,IF($Q$5=41,T19,IF($Q$5=42,T19,IF($Q$5=43,T19,IF($Q$5=44,T19,IF($Q$5=45,T19,IF($Q$5=46,T19,IF($Q$5=47,T19,IF($Q$5=48,T19,IF($Q$5=49,T19,IF($Q$5=50,T19,IF($Q$5=51,T19,IF($Q$5=52,T19,IF($Q$5=53,T19,IF($Q$5=54,T19,0))))))))))))))))))))))))))))))</f>
        <v>C13</v>
      </c>
      <c r="X16" s="18"/>
      <c r="Y16" s="383"/>
      <c r="Z16" s="11" t="str">
        <f>+P11</f>
        <v>B2</v>
      </c>
      <c r="AA16" s="57">
        <f>IF(ISTEXT(Z16),AA15,0)</f>
        <v>6</v>
      </c>
      <c r="AB16" s="14">
        <f>IF(ISTEXT(Z16),AB15,0)</f>
        <v>1</v>
      </c>
      <c r="AC16" s="15">
        <f>IF(ISTEXT(Z16),AC15,0)</f>
        <v>-3</v>
      </c>
      <c r="AD16" s="6"/>
      <c r="AE16" s="11" t="str">
        <f>+S11</f>
        <v>B4</v>
      </c>
      <c r="AF16" s="14">
        <f>IF(ISTEXT(AE16),AF15,0)</f>
        <v>10</v>
      </c>
      <c r="AG16" s="14">
        <f>IF(ISTEXT(AE16),AG15,0)</f>
        <v>3</v>
      </c>
      <c r="AH16" s="15">
        <f>IF(ISTEXT(AE16),AH15,0)</f>
        <v>5</v>
      </c>
      <c r="AI16" s="6"/>
      <c r="AJ16" s="11" t="str">
        <f>+V11</f>
        <v>B6</v>
      </c>
      <c r="AK16" s="14">
        <f>IF(ISTEXT(AJ16),AK15,0)</f>
        <v>5</v>
      </c>
      <c r="AL16" s="14">
        <f>IF(ISTEXT(AJ16),AL15,0)</f>
        <v>3</v>
      </c>
      <c r="AM16" s="15">
        <f>IF(ISTEXT(AJ16),AM15,0)</f>
        <v>1</v>
      </c>
      <c r="AN16" s="18"/>
      <c r="AO16" s="44">
        <v>8</v>
      </c>
      <c r="AP16" s="278" t="str">
        <f>+Inscrits!B10</f>
        <v>A8</v>
      </c>
      <c r="AQ16" s="247">
        <f t="shared" si="3"/>
        <v>3</v>
      </c>
      <c r="AR16" s="82">
        <f t="shared" si="4"/>
        <v>11</v>
      </c>
      <c r="AS16" s="184">
        <f t="shared" si="5"/>
        <v>12</v>
      </c>
      <c r="AT16" s="250">
        <f t="shared" si="6"/>
        <v>3</v>
      </c>
      <c r="AU16" s="82">
        <f t="shared" si="7"/>
        <v>9</v>
      </c>
      <c r="AV16" s="252">
        <f t="shared" si="8"/>
        <v>13</v>
      </c>
      <c r="AW16" s="247">
        <f t="shared" si="9"/>
        <v>3</v>
      </c>
      <c r="AX16" s="82">
        <f t="shared" si="10"/>
        <v>1</v>
      </c>
      <c r="AY16" s="252">
        <f t="shared" si="11"/>
        <v>6</v>
      </c>
      <c r="AZ16" s="247">
        <f t="shared" si="17"/>
        <v>9</v>
      </c>
      <c r="BA16" s="82">
        <f t="shared" si="12"/>
        <v>21</v>
      </c>
      <c r="BB16" s="252">
        <f t="shared" si="13"/>
        <v>31</v>
      </c>
      <c r="BC16" s="32">
        <f t="shared" si="14"/>
        <v>0</v>
      </c>
      <c r="BD16" s="47">
        <f t="shared" si="15"/>
        <v>21</v>
      </c>
      <c r="BE16" s="304">
        <f t="shared" si="16"/>
        <v>0.78690016000000007</v>
      </c>
      <c r="BF16" s="82">
        <f>IF(AP16="","",SMALL(BE$9:BE$62,ROWS(AZ$9:AZ16)))</f>
        <v>6.8873001399999998</v>
      </c>
      <c r="BH16" s="78" t="str">
        <f>IF(OR(AP16="",AZ16=""),"",INDEX($AP$9:$AP$63,MATCH(BF16,$BE$9:BE$62,0)))</f>
        <v>A6</v>
      </c>
      <c r="BI16" s="255">
        <f t="shared" si="0"/>
        <v>7</v>
      </c>
      <c r="BJ16" s="7">
        <f t="shared" si="1"/>
        <v>11</v>
      </c>
      <c r="BK16" s="7">
        <f t="shared" si="2"/>
        <v>27</v>
      </c>
      <c r="BL16" s="17">
        <f>IF(BF16="","",IF(AND(BI15=BI16,BJ15=BJ16,BK15=BK16),BL15,$BL$9+7))</f>
        <v>8</v>
      </c>
      <c r="BM16" s="22"/>
      <c r="BN16" s="31"/>
    </row>
    <row r="17" spans="1:66" ht="21.6" thickBot="1" x14ac:dyDescent="0.35">
      <c r="A17" s="111">
        <v>8</v>
      </c>
      <c r="B17" s="330" t="s">
        <v>73</v>
      </c>
      <c r="C17" s="235">
        <f>IF($Q$5&gt;=22,8,0)</f>
        <v>8</v>
      </c>
      <c r="D17" s="335" t="s">
        <v>91</v>
      </c>
      <c r="E17" s="235">
        <f>IF($Q$5&gt;=23,8,0)</f>
        <v>8</v>
      </c>
      <c r="F17" s="333" t="s">
        <v>109</v>
      </c>
      <c r="G17" s="235">
        <f>IF($Q$5&gt;=24,8,0)</f>
        <v>8</v>
      </c>
      <c r="H17" s="18"/>
      <c r="I17" s="165">
        <v>8</v>
      </c>
      <c r="J17" s="172" t="str">
        <f>IF(ISNA(MATCH(I17,$C$10:$C$27,0)),"",INDEX(B$10:$B$27,MATCH(I17,$C$10:$C$27,0)))</f>
        <v>A8</v>
      </c>
      <c r="K17" s="117" t="str">
        <f>IF(ISNA(MATCH(I17,$E$10:$E$27,0)),"",INDEX($D$10:D$27,MATCH(I17,$E$10:$E$27,0)))</f>
        <v>B8</v>
      </c>
      <c r="L17" s="160" t="str">
        <f>IF(ISNA(MATCH(I17,$G$10:$G$27,0)),"",INDEX($F$10:F$27,MATCH(I17,$G$10:$G$27,0)))</f>
        <v>C8</v>
      </c>
      <c r="M17" s="130"/>
      <c r="N17" s="42" t="s">
        <v>5</v>
      </c>
      <c r="O17" s="125" t="str">
        <f>IF($Q$5=19,K15,IF($Q$5=20,K16,IF($Q$5=21,K16,IF($Q$5=22,J17,IF($Q$5=23,J17,IF(Q$5=24,J17,IF($Q$5=25,J17,IF($Q$5=26,J17,IF($Q$5=27,J17,IF($Q$5=28,J17,IF($Q$5=29,J17,IF($Q$5=30,J17,IF($Q$5=31,J17,IF($Q$5=32,J17,IF($Q$5=33,J17,IF($Q$5=34,J17,IF($Q$5=35,J17,IF($Q$5=36,J17,IF($Q$5=37,J17,IF($Q$5=38,J17,IF($Q$5=39,J17,IF($Q$5=40,J17,IF($Q$5=41,J17,IF($Q$5=42,J17,IF($Q$5=43,J17,IF($Q$5=44,J17,IF($Q$5=45,J17,IF($Q$5=46,J17,IF($Q$5=47,J17,IF($Q$5=48,J17,IF($Q$5=49,J17,IF($Q$5=50,J17,IF($Q$5=51,J17,IF($Q$5=52,J17,IF($Q$5=53,J17,IF($Q$5=54,J17,0))))))))))))))))))))))))))))))))))))</f>
        <v>A8</v>
      </c>
      <c r="P17" s="126" t="str">
        <f>IF($Q$5=19,L14,IF($Q$5=20,L15,IF($Q$5=21,L16,IF(Q$5=22,L16,IF($Q$5=23,K17,IF($Q$5=24,K17,IF($Q$5=25,L15,IF($Q$5=26,K17,IF($Q$5=27,K17,IF($Q$5=28,K17,IF($Q$5=29,K17,IF($Q$5=30,K17,IF($Q$5=31,K17,IF($Q$5=32,K17,IF($Q$5=33,K17,IF($Q$5=34,K17,IF($Q$5=35,K17,IF($Q$5=36,K17,IF($Q$5=37,K17,IF($Q$5=38,K17,IF($Q$5=39,K17,IF($Q$5=40,K17,IF($Q$5=41,K17,IF($Q$5=42,K17,IF($Q$5=43,K17,IF($Q$5=44,K17,IF($Q$5=45,K17,IF($Q$5=46,K17,IF($Q$5=47,K17,IF($Q$5=48,K17,IF($Q$5=49,K17,IF($Q$5=50,K17,IF($Q$5=51,K17,IF($Q$5=52,K17,IF($Q$5=53,K17,IF($Q$5=54,K17,0))))))))))))))))))))))))))))))))))))</f>
        <v>B8</v>
      </c>
      <c r="Q17" s="123" t="str">
        <f>IF($Q$5=24,L17,IF($Q$5=28,L17,IF($Q$5=29,L17,IF($Q$5=30,L17,IF($Q$5=31,0,IF($Q$5=32,L17,IF($Q$5=33,L17,IF($Q$5=34,L17,IF($Q$5=35,L17,IF($Q$5=36,L17,IF($Q$5=37,L17,IF($Q$5=38,L17,IF($Q$5=39,L17,IF(Q$5=40,L17,IF($Q$5=41,L17,IF($Q$5=42,L17,IF($Q$5=43,L17,IF($Q$5=44,L17,IF($Q$5=45,L17,IF($Q$5=46,L17,IF($Q$5=47,L17,IF($Q$5=48,L17,IF($Q$5=49,L17,IF($Q$5=50,L17,IF($Q$5=51,L17,IF($Q$5=52,L17,IF($Q$5=53,L17,IF($Q$5=54,L17,0))))))))))))))))))))))))))))</f>
        <v>C8</v>
      </c>
      <c r="R17" s="136" t="str">
        <f>IF($Q$5=19,K15,IF($Q$5=20,O17,IF($Q$5=21,O17,IF($Q$5=22,J10,IF($Q$5=23,J10,IF($Q$5=24,J10,IF($Q$5=25,J18,IF($Q$5=26,J18,IF($Q$5=27,J18,IF($Q$5=28,J18,IF($Q$5=29,J18,IF($Q$5=30,J18,IF($Q$5=31,J18,IF($Q$5=32,J18,IF($Q$5=33,J18,IF($Q$5=34,J18,IF($Q$5=35,J18,IF($Q$5=36,J18,IF($Q$5=37,J18,IF($Q$5=38,J18,IF($Q$5=39,J18,IF($Q$5=40,J18,IF($Q$5=41,J18,IF($Q$5=42,J18,IF($Q$5=43,J18,IF($Q$5=44,J18,IF($Q$5=45,J18,IF($Q$5=46,J18,IF($Q$5=47,J18,IF($Q$5=48,J18,IF($Q$5=49,J18,IF($Q$5=50,J18,IF($Q$5=51,J18,IF($Q$5=52,J18,IF($Q$5=53,J18,IF($Q$5=54,J18,0))))))))))))))))))))))))))))))))))))</f>
        <v>A9</v>
      </c>
      <c r="S17" s="137" t="str">
        <f>IF($Q$5=19,L12,IF($Q$5=20,K15,IF($Q$5=21,L12,IF($Q$5=22,L11,IF($Q$5=23,K12,IF($Q$5=24,K11,IF($Q$5=25,L10,IF($Q$5=26,L10,IF($Q$5=27,L10,IF($Q$5=28,K10,IF($Q$5=29,K19,IF($Q$5=30,K19,IF(Q$5=31,P16,IF($Q$5=32,K16,IF($Q$5=33,K16,IF($Q$5=34,K16,IF($Q$5=35,K16,IF($Q$5=36,K19,IF($Q$5=37,K19,IF($Q$5=38,K19,IF($Q$5=39,K19,IF($Q$5=40,K19,IF($Q$5=41,K19,IF($Q$5=42,K19,IF($Q$5=43,K19,IF($Q$5=44,K19,IF($Q$5=45,K19,IF($Q$5=46,K19,IF($Q$5=47,K19,IF($Q$5=48,K19,IF($Q$5=49,K19,IF($Q$5=50,K19,IF($Q$5=51,K19,IF($Q$5=52,K19,IF($Q$5=53,K19,IF($Q$5=54,K19,0))))))))))))))))))))))))))))))))))))</f>
        <v>B10</v>
      </c>
      <c r="T17" s="153" t="str">
        <f>IF($Q$5=24,L17,IF($Q$5=27,0,IF($Q$5=28,P19,IF($Q$6=29,L18,IF($Q$5=29,L18,IF($Q$5=30,L18,IF($Q$5=32,L17,IF($Q$5=33,L17,IF($Q$5=34,L17,IF($Q$5=35,L17,IF($Q$5=36,L20,IF($Q$5=37,P22,IF($Q$5=38,P22,IF($Q$5=39,L20,IF($Q$5=40,L20,IF($Q$5=41,L20,IF($Q$5=42,L20,IF($Q$5=43,L20,IF($Q$5=44,L20,IF($Q$5=45,L20,IF($Q$5=46,L20,IF($Q$5=47,L20,IF($Q$5=48,L20,IF($Q$5=49,L20,IF($Q$5=50,L20,IF($Q$5=51,L20,IF($Q$5=52,L20,IF($Q$5=53,L20,IF($Q$5=54,L20,0)))))))))))))))))))))))))))))</f>
        <v>C11</v>
      </c>
      <c r="U17" s="156" t="str">
        <f>IF($Q$5=19,R17,IF($Q$5=20,R17,IF($Q$5=21,K16,IF($Q$5=22,R16,IF($Q$5=23,R10,IF($Q$5=24,R16,IF($Q$5=25,R16,IF($Q$5=26,R16,IF($Q$5=27,R16,IF($Q$5=28,R17,IF($Q$5=29,O18,IF($Q$5=30,O18,IF($Q$5=31,R17,IF($Q$5=32,O18,IF($Q$5=33,R17,IF($Q$5=34,O18,IF($Q$5=35,R17,IF($Q$5=36,R18,IF($Q$5=37,O19,IF($Q$5=38,O19,IF($Q$5=39,O19,IF($Q$5=40,R18,IF($Q$5=41,O19,IF($Q$5=42,R18,IF($Q$5=43,R18,IF($Q$5=44,O19,IF($Q$5=45,R18,IF($Q$5=46,R18,IF($Q$5=47,R18,IF($Q$5=48,R18,IF($Q$5=49,R18,IF($Q$5=50,R18,IF($Q$5=51,R18:R18,IF($Q$5=52,R18,IF($Q$5=53,R18,IF($Q$5=54,O19,0))))))))))))))))))))))))))))))))))))</f>
        <v>A10</v>
      </c>
      <c r="V17" s="134" t="str">
        <f>IF($Q$5=19,T10,IF($Q$5=20,T10,IF($Q$5=21,S16,IF($Q$5=22,T10,IF($Q$5=23,S12,IF($Q$5=24,S17,IF($Q$5=25,T10,IF($Q$5=26,S12,IF($Q$5=27,S12,IF($Q$5=28,S17,IF($Q$5=29,S18,IF($Q$5=30,S17,IF($Q$5=31,S17,IF($Q$5=32,S12,IF($Q$5=33,S12,IF($Q$5=34,S12,IF($Q$5=35,S12,IF($Q$5=36,S19,IF($Q$5=37,S19,IF($Q$5=38,S19,IF($Q$5=39,S19,IF($Q$5=40,S19,IF($Q$5=41,S19,IF($Q$5=42,S19,IF($Q$5=43,S19,IF($Q$5=44,S19,IF($Q$5=45,S19,IF($Q$5=46,S19,IF($Q$5=47,S19,IF($Q$5=48,S19,IF($Q$5=49,S19,IF($Q$5=50,S19,IF($Q$5=51,S19,IF($Q$5=52,S19,IF($Q$5=53,S19,IF($Q$5=54,S19,0))))))))))))))))))))))))))))))))))))</f>
        <v>B12</v>
      </c>
      <c r="W17" s="147" t="str">
        <f>IF($Q$5=24,T10,IF($Q$5=27,0,IF($Q$5=28,S18,IF($Q$5=29,T18,IF($Q$5=30,T18,IF($Q$5=32,T17,IF($Q$5=33,T17,IF($Q$5=34,T17,IF($Q$5=35,T17,IF($Q$5=36,T20,IF($Q$5=37,S22,IF($Q$5=38,S22,IF($Q$5=39,T18,IF($Q$5=40,T20,IF($Q$5=41,T20,IF($Q$5=42,T20,IF($Q$5=43,T20,IF($Q$5=44,T20,IF($Q$5=45,T20,IF($Q$5=46,T20,IF($Q$5=47,T20,IF($Q$5=48,T20,IF($Q$5=49,T20,IF($Q$5=50,T20,IF($Q$5=51,T20,IF($Q$5=52,T20,IF($Q$5=53,T20,IF($Q$5=54,T20,0))))))))))))))))))))))))))))</f>
        <v>C14</v>
      </c>
      <c r="X17" s="18"/>
      <c r="Y17" s="384"/>
      <c r="Z17" s="13" t="str">
        <f>+Q11</f>
        <v>C2</v>
      </c>
      <c r="AA17" s="57">
        <f>IF(ISTEXT(Z17),AA15,0)</f>
        <v>6</v>
      </c>
      <c r="AB17" s="14">
        <f>IF(ISTEXT(Z17),AB15,0)</f>
        <v>1</v>
      </c>
      <c r="AC17" s="15">
        <f>IF(ISTEXT(Z17),AC15,0)</f>
        <v>-3</v>
      </c>
      <c r="AD17" s="6"/>
      <c r="AE17" s="13" t="str">
        <f>+T11</f>
        <v>C5</v>
      </c>
      <c r="AF17" s="14">
        <f>IF(ISTEXT(AE17),AF15,0)</f>
        <v>10</v>
      </c>
      <c r="AG17" s="14">
        <f>IF(ISTEXT(AE17),AG15,0)</f>
        <v>3</v>
      </c>
      <c r="AH17" s="15">
        <f>IF(ISTEXT(AE17),AH15,0)</f>
        <v>5</v>
      </c>
      <c r="AI17" s="6"/>
      <c r="AJ17" s="13" t="str">
        <f>+W11</f>
        <v>C8</v>
      </c>
      <c r="AK17" s="14">
        <f>IF(ISTEXT(AJ17),AK15,0)</f>
        <v>5</v>
      </c>
      <c r="AL17" s="14">
        <f>IF(ISTEXT(AJ17),AL15,0)</f>
        <v>3</v>
      </c>
      <c r="AM17" s="15">
        <f>IF(ISTEXT(AJ17),AM15,0)</f>
        <v>1</v>
      </c>
      <c r="AN17" s="18"/>
      <c r="AO17" s="44">
        <v>9</v>
      </c>
      <c r="AP17" s="278" t="str">
        <f>+Inscrits!B11</f>
        <v>A9</v>
      </c>
      <c r="AQ17" s="247">
        <f t="shared" si="3"/>
        <v>3</v>
      </c>
      <c r="AR17" s="82">
        <f t="shared" si="4"/>
        <v>2</v>
      </c>
      <c r="AS17" s="184">
        <f t="shared" si="5"/>
        <v>10</v>
      </c>
      <c r="AT17" s="250">
        <f t="shared" si="6"/>
        <v>1</v>
      </c>
      <c r="AU17" s="82">
        <f t="shared" si="7"/>
        <v>-9</v>
      </c>
      <c r="AV17" s="252">
        <f t="shared" si="8"/>
        <v>4</v>
      </c>
      <c r="AW17" s="247">
        <f t="shared" si="9"/>
        <v>1</v>
      </c>
      <c r="AX17" s="82">
        <f t="shared" si="10"/>
        <v>-8</v>
      </c>
      <c r="AY17" s="252">
        <f t="shared" si="11"/>
        <v>1</v>
      </c>
      <c r="AZ17" s="247">
        <f t="shared" si="17"/>
        <v>5</v>
      </c>
      <c r="BA17" s="82">
        <f t="shared" si="12"/>
        <v>-15</v>
      </c>
      <c r="BB17" s="252">
        <f t="shared" si="13"/>
        <v>15</v>
      </c>
      <c r="BC17" s="32">
        <f t="shared" si="14"/>
        <v>-15</v>
      </c>
      <c r="BD17" s="47">
        <f t="shared" si="15"/>
        <v>0</v>
      </c>
      <c r="BE17" s="304">
        <f t="shared" si="16"/>
        <v>23.148500169999998</v>
      </c>
      <c r="BF17" s="82">
        <f>IF(AP17="","",SMALL(BE$9:BE$62,ROWS(AZ$9:AZ17)))</f>
        <v>6.8874004099999997</v>
      </c>
      <c r="BH17" s="78" t="str">
        <f>IF(OR(AP17="",AZ17=""),"",INDEX($AP$9:$AP$63,MATCH(BF17,$BE$9:BE$62,0)))</f>
        <v>B15</v>
      </c>
      <c r="BI17" s="255">
        <f t="shared" si="0"/>
        <v>7</v>
      </c>
      <c r="BJ17" s="7">
        <f t="shared" si="1"/>
        <v>11</v>
      </c>
      <c r="BK17" s="7">
        <f t="shared" si="2"/>
        <v>26</v>
      </c>
      <c r="BL17" s="17">
        <f>IF(BF17="","",IF(AND(BI16=BI17,BJ16=BJ17,BK16=BK17),BL16,$BL$9+8))</f>
        <v>9</v>
      </c>
      <c r="BM17" s="22"/>
      <c r="BN17" s="227"/>
    </row>
    <row r="18" spans="1:66" ht="21.6" thickBot="1" x14ac:dyDescent="0.35">
      <c r="A18" s="111">
        <v>9</v>
      </c>
      <c r="B18" s="330" t="s">
        <v>74</v>
      </c>
      <c r="C18" s="235">
        <f>IF($Q$5&gt;=25,9,0)</f>
        <v>9</v>
      </c>
      <c r="D18" s="335" t="s">
        <v>92</v>
      </c>
      <c r="E18" s="235">
        <f>IF($Q$5&gt;=26,9,0)</f>
        <v>9</v>
      </c>
      <c r="F18" s="333" t="s">
        <v>110</v>
      </c>
      <c r="G18" s="235">
        <f>IF($Q$5&gt;=27,9,0)</f>
        <v>9</v>
      </c>
      <c r="H18" s="18"/>
      <c r="I18" s="165">
        <v>9</v>
      </c>
      <c r="J18" s="172" t="str">
        <f>IF(ISNA(MATCH(I18,$C$10:$C$27,0)),"",INDEX(B$10:$B$27,MATCH(I18,$C$10:$C$27,0)))</f>
        <v>A9</v>
      </c>
      <c r="K18" s="117" t="str">
        <f>IF(ISNA(MATCH(I18,$E$10:$E$27,0)),"",INDEX($D$10:D$27,MATCH(I18,$E$10:$E$27,0)))</f>
        <v>B9</v>
      </c>
      <c r="L18" s="160" t="str">
        <f>IF(ISNA(MATCH(I18,$G$10:$G$27,0)),"",INDEX($F$10:F$27,MATCH(I18,$G$10:$G$27,0)))</f>
        <v>C9</v>
      </c>
      <c r="M18" s="130"/>
      <c r="N18" s="67">
        <v>5</v>
      </c>
      <c r="O18" s="118" t="str">
        <f>IF($Q$5=25,J18,IF($Q$5=26,J18,IF($Q$5=27,J18,IF(Q$5=28,J18,IF($Q$5=29,J18,IF($Q$5=30,J18,IF($Q$5=31,J18,IF($Q$5=32,J18,IF($Q$5=33,J18,IF($Q$5=34,J18,IF($Q$5=35,J18,IF($Q$5=36,J18,IF($Q$5=37,J18,IF($Q$5=38,J18,IF($Q$5=39,J18,IF($Q$5=40,J18,IF($Q$5=41,J18,IF($Q$5=42,J18,IF($Q$5=43,J18,IF($Q$5=44,J18,IF($Q$5=45,J18,IF($Q$5=46,J18,IF($Q$5=47,J18,IF($Q$5=48,J18,IF($Q$5=49,J18,IF($Q$5=50,J18,IF($Q$5=51,J18,IF($Q$5=52,J18,IF($Q$5=53,J18,IF($Q$5=54,J18,0))))))))))))))))))))))))))))))</f>
        <v>A9</v>
      </c>
      <c r="P18" s="119" t="str">
        <f>IF($Q$5=25,L16,IF($Q$5=26,L16,IF($Q$5=27,L17,IF($Q$5=28,K18,IF($Q$5=29,K18,IF($Q$5=30,K18,IF($Q$5=31,K18,IF($Q$5=32,K19,IF($Q$5=33,K18,IF($Q$5=34,K18,IF($Q$5=35,K18,IF($Q$5=36,K18,IF($Q$5=37,K18,IF($Q$5=38,K18,IF($Q$5=39,K18,IF($Q$5=40,K18,IF($Q$5=41,K18,IF($Q$5=42,K18,IF($Q$5=43,K18,IF($Q$5=44,K18,IF($Q$5=45,K18,IF($Q$5=46,K18,IF($Q$5=47,K18,IF($Q$5=48,K18,IF($Q$5=49,K18,IF($Q$5=50,K18,IF($Q$5=51,K18,IF($Q$5=52,K18,IF($Q$5=53,K18,IF($Q$5=54,K18,0))))))))))))))))))))))))))))))</f>
        <v>B9</v>
      </c>
      <c r="Q18" s="120" t="str">
        <f>IF($Q$5=29,L18,IF($Q$5=30,L18,IF($Q$5=33,L18,IF($Q$5=34,L18,IF($Q$5=35,L18,IF($Q$5=36,L18,IF($Q$5=37,L18,IF($Q$5=38,L18,IF($Q$5=39,L18,IF($Q$5=40,L18,IF($Q$5=41,L18,IF($Q$5=42,L18,IF($Q$5=43,L18,IF($Q$5=44,L18,IF($Q$5=45,L18,IF($Q$5=46,L18,IF($Q$5=47,L18,IF($Q$5=48,L18,IF($Q$5=49,L18,IF($Q$5=50,L18,IF($Q$5=51,L18,IF($Q$5=52,L18,IF($Q$5=53,L18,IF($Q$5=54,L18,0))))))))))))))))))))))))</f>
        <v>C9</v>
      </c>
      <c r="R18" s="135" t="str">
        <f>IF($Q$5=25,O19,IF($Q$5=26,O19,IF($Q$5=27,J10,IF($Q$5=28,J19,IF($Q$5=29,J19,IF($Q$5=30,J19,IF($Q$5=31,J19,IF($Q$5=32,J19,IF($Q$5=33,J19,IF($Q$5=34,J19,IF($Q$5=35,J19,IF($Q$5=36,J19,IF($Q$5=37,J19,IF($Q$5=38,J19,IF($Q$5=39,J19,IF($Q$5=40,J19,IF($Q$5=41,J19,IF($Q$5=42,J19,IF($Q$5=43,J19,IF($Q$5=44,J19,IF($Q$5=45,J19,IF($Q$5=46,J19,IF($Q$5=47,J19,IF($Q$5=48,J19,IF($Q$5=49,J19,IF($Q$5=50,J19,IF($Q$5=51,J19,IF($Q$5=52,J19,IF($Q$5=53,J19,IF($Q$5=54,J19,0))))))))))))))))))))))))))))))</f>
        <v>A10</v>
      </c>
      <c r="S18" s="138" t="str">
        <f>IF($Q$5=25,L11,IF($Q$5=26,L11,IF(Q$5=27,Q11,IF($Q$5=28,L11,IF($Q$5=29,K10,IF($Q$5=30,K10,IF($Q$5=31,P21,IF($Q$5=32,P20,IF($Q$5=33,K10,IF($Q$5=34,K10,IF($Q$5=35,K10,IF($Q$5=36,K20,IF($Q$5=37,K20,IF($Q$5=38,K20,IF($Q$5=39,K20,IF($Q$5=40,K20,IF($Q$5=41,K20,IF($Q$5=42,K20,IF($Q$5=43,K20,IF($Q$5=44,K20,IF($Q$5=45,K20,IF($Q$5=46,K20,IF($Q$5=47,K20,IF($Q$5=48,K20,IF($Q$5=49,K20,IF($Q$5=50,K20,IF($Q$5=51,K20,IF($Q$5=52,K20,IF($Q$5=53,K20,IF($Q$5=54,K20,0))))))))))))))))))))))))))))))</f>
        <v>B11</v>
      </c>
      <c r="T18" s="154" t="str">
        <f>IF($Q$5=27,0,IF($Q$5=29,L11,IF($Q$5=30,L13,IF(J$5=32,0,IF($Q$5=33,L18,IF($Q$5=34,P21,IF($Q$5=35,L20,IF($Q$5=36,L21,IF($Q$5=37,P21,IF($Q$5=38,P23,IF($Q$5=39,L10,IF($Q$5=40,L21,IF($Q$5=41,L21,IF($Q$5=42,L21,IF($Q$5=43,P25,IF($Q$5=44,L21,IF($Q$5=45,L21,IF($Q$5=46,L21,IF($Q$5=47,L21,IF($Q$5=48,L21,IF($Q$5=49,L21,IF($Q$5=50,L21,IF($Q$5=51,L21,IF($Q$5=52,L21,IF($Q$5=53,L21,IF($Q$5=54,L21,0))))))))))))))))))))))))))</f>
        <v>C12</v>
      </c>
      <c r="U18" s="135" t="str">
        <f>IF($Q$5=25,R17,IF($Q$5=26,R17,IF($Q$5=27,R17,IF($Q$5=28,O17,IF($Q$5=29,O17,IF($Q$5=30,O17,IF($Q$5=31,R10,IF($Q$5=32,O19,IF($Q$5=33,O19,IF($Q$5=34,O20,IF($Q$5=35,R19,IF($Q$5=36,O20,IF($Q$5=37,R19,IF($Q$5=38,R19,IF($Q$5=39,O20,IF($Q$5=40,O20,IF($Q$5=41,O20,IF($Q$5=42,O20,IF($Q$5=43,O20,IF($Q$5=44,O20,IF($Q$5=45,O20,IF($Q$5=46,O20,IF($Q$5=47,O20,IF($Q$5=48,O20,IF($Q$5=49,O20,IF($Q$5=50,O20,IF($Q$5=51,O20,IF($Q$5=52,O20,IF($Q$5=53,O20,IF($Q$5=54,O20,0))))))))))))))))))))))))))))))</f>
        <v>A11</v>
      </c>
      <c r="V18" s="132" t="str">
        <f>IF($Q$5=25,T11,IF($Q$5=26,S18,IF($Q$5=27,R19,IF($Q$5=28,S12,IF($Q$5=29,S17,IF($Q$5=30,S18,IF($Q$5=31,S12,IF($Q$5=32,S13,IF($Q$5=33,S13,IF($Q$5=34,S13,IF($Q$5=35,S13,IF($Q$5=36,S20,IF($Q$5=37,S20,IF($Q$5=38,S20,IF($Q$5=39,S11,IF($Q$5=40,S20,IF($Q$5=41,S20,IF($Q$5=42,S20,IF($Q$5=43,S20,IF($Q$5=44,S20,IF($Q$5=45,S20,IF($Q$5=46,S20,IF($Q$5=47,S20,IF($Q$5=48,S20,IF($Q$5=49,S20,IF($Q$5=50,S20,IF($Q$5=51,S20,IF($Q$5=52,S20,IF($Q$5=53,S20,IF($Q$5=54,S20,0))))))))))))))))))))))))))))))</f>
        <v>B13</v>
      </c>
      <c r="W18" s="144" t="str">
        <f>IF($Q$5=29,T10,IF($Q$5=30,Q19,IF($Q$5=32,0,IF($Q$5=33,S20,IF($Q$5=34,T15,IF($Q$5=35,T15,IF($Q$5=36,T21,IF($Q$5=37,S23,IF($Q$5=38,S23,IF($Q$5=39,T19,IF($Q$5=40,T21,IF($Q$5=41,T21,IF($Q$5=42,T21,IF($Q$5=43,S25,IF($Q$5=44,T21,IF($Q$5=45,T21,IF($Q$5=46,T21,IF($Q$5=47,T21,IF($Q$5=48,T21,IF($Q$5=49,T21,IF($Q$5=50,T21,IF($Q$5=51,T21,IF($Q$5=52,T21,IF($Q$5=53,T21,IF($Q$5=54,T21,0)))))))))))))))))))))))))</f>
        <v>C15</v>
      </c>
      <c r="X18" s="18"/>
      <c r="Y18" s="20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18"/>
      <c r="AO18" s="44">
        <v>10</v>
      </c>
      <c r="AP18" s="278" t="str">
        <f>+Inscrits!B12</f>
        <v>A10</v>
      </c>
      <c r="AQ18" s="247">
        <f t="shared" si="3"/>
        <v>1</v>
      </c>
      <c r="AR18" s="82">
        <f t="shared" si="4"/>
        <v>-2</v>
      </c>
      <c r="AS18" s="184">
        <f t="shared" si="5"/>
        <v>8</v>
      </c>
      <c r="AT18" s="250">
        <f t="shared" si="6"/>
        <v>1</v>
      </c>
      <c r="AU18" s="82">
        <f t="shared" si="7"/>
        <v>-4</v>
      </c>
      <c r="AV18" s="252">
        <f t="shared" si="8"/>
        <v>6</v>
      </c>
      <c r="AW18" s="247">
        <f t="shared" si="9"/>
        <v>3</v>
      </c>
      <c r="AX18" s="82">
        <f t="shared" si="10"/>
        <v>8</v>
      </c>
      <c r="AY18" s="252">
        <f t="shared" si="11"/>
        <v>9</v>
      </c>
      <c r="AZ18" s="247">
        <f t="shared" si="17"/>
        <v>5</v>
      </c>
      <c r="BA18" s="82">
        <f t="shared" si="12"/>
        <v>2</v>
      </c>
      <c r="BB18" s="252">
        <f t="shared" si="13"/>
        <v>23</v>
      </c>
      <c r="BC18" s="32">
        <f t="shared" si="14"/>
        <v>0</v>
      </c>
      <c r="BD18" s="47">
        <f t="shared" si="15"/>
        <v>2</v>
      </c>
      <c r="BE18" s="304">
        <f t="shared" si="16"/>
        <v>22.977700179999999</v>
      </c>
      <c r="BF18" s="82">
        <f>IF(AP18="","",SMALL(BE$9:BE$62,ROWS(AZ$9:AZ18)))</f>
        <v>6.8972003500000003</v>
      </c>
      <c r="BH18" s="78" t="str">
        <f>IF(OR(AP18="",AZ18=""),"",INDEX($AP$9:$AP$63,MATCH(BF18,$BE$9:BE$62,0)))</f>
        <v>B9</v>
      </c>
      <c r="BI18" s="255">
        <f t="shared" si="0"/>
        <v>7</v>
      </c>
      <c r="BJ18" s="7">
        <f t="shared" si="1"/>
        <v>10</v>
      </c>
      <c r="BK18" s="7">
        <f t="shared" si="2"/>
        <v>28</v>
      </c>
      <c r="BL18" s="17">
        <f>IF(BF18="","",IF(AND(BI17=BI18,BJ17=BJ18,BK17=BK18),BL17,$BL$9+9))</f>
        <v>10</v>
      </c>
      <c r="BM18" s="22"/>
      <c r="BN18" s="227"/>
    </row>
    <row r="19" spans="1:66" ht="21.6" thickBot="1" x14ac:dyDescent="0.35">
      <c r="A19" s="111">
        <v>10</v>
      </c>
      <c r="B19" s="330" t="s">
        <v>75</v>
      </c>
      <c r="C19" s="235">
        <f>IF($Q$5&gt;=28,10,0)</f>
        <v>10</v>
      </c>
      <c r="D19" s="335" t="s">
        <v>93</v>
      </c>
      <c r="E19" s="235">
        <f>IF($Q$5&gt;=29,10,0)</f>
        <v>10</v>
      </c>
      <c r="F19" s="333" t="s">
        <v>111</v>
      </c>
      <c r="G19" s="235">
        <f>IF($Q$5&gt;=30,10,0)</f>
        <v>10</v>
      </c>
      <c r="H19" s="18"/>
      <c r="I19" s="165">
        <v>10</v>
      </c>
      <c r="J19" s="172" t="str">
        <f>IF(ISNA(MATCH(I19,$C$10:$C$27,0)),"",INDEX(B$10:$B$27,MATCH(I19,$C$10:$C$27,0)))</f>
        <v>A10</v>
      </c>
      <c r="K19" s="117" t="str">
        <f>IF(ISNA(MATCH(I19,$E$10:$E$27,0)),"",INDEX($D$10:D$27,MATCH(I19,$E$10:$E$27,0)))</f>
        <v>B10</v>
      </c>
      <c r="L19" s="160" t="str">
        <f>IF(ISNA(MATCH(I19,$G$10:$G$27,0)),"",INDEX($F$10:F$27,MATCH(I19,$G$10:$G$27,0)))</f>
        <v>C10</v>
      </c>
      <c r="M19" s="130"/>
      <c r="N19" s="3" t="s">
        <v>5</v>
      </c>
      <c r="O19" s="121" t="str">
        <f>IF($Q$5=25,K17,IF($Q$5=26,K18,IF($Q$5=27,K18,IF($Q$5=28,J19,IF($Q$5=29,J19,IF($Q$5=30,J19,IF($Q$5=31,J19,IF($Q$5=32,J19,IF($Q$5=33,J19,IF($Q$5=34,J19,IF($Q$5=35,J19,IF($Q$5=36,J19,IF($Q$5=37,J19,IF($Q$5=38,J19,IF($Q$5=39,J19,IF($Q$5=40,J19,IF($Q$5=41,J19,IF($Q$5=42,J19,IF($Q$5=43,J19,IF($Q$5=44,J19,IF($Q$5=45,J19,IF($Q$5=46,J19,IF($Q$5=47,J19,IF($Q$5=48,J19,IF($Q$5=49,J19,IF($Q$5=50,J19,IF($Q$5=51,J19,IF($Q$5=52,J19,IF($Q$5=53,J19,IF($Q$5=54,J19,0))))))))))))))))))))))))))))))</f>
        <v>A10</v>
      </c>
      <c r="P19" s="126" t="str">
        <f>IF($Q$5=25,L17,IF($Q$5=26,L17,IF($Q$5=27,L18,IF($Q$5=28,L18,IF($Q$5=29,K19,IF($Q$5=30,K19,IF($Q$5=31,L17,IF($Q$5=32,K18,IF($Q$5=33,K19,IF($Q$5=34,K19,IF($Q$5=35,K19,IF($Q$5=36,K19,IF($Q$5=37,K19,IF($Q$5=38,K19,IF($Q$5=39,K19,IF($Q$5=40,K19,IF($Q$5=41,K19,IF($Q$5=42,K19,IF($Q$5=43,K19,IF($Q$5=44,K19,IF($Q$5=45,K19,IF($Q$5=46,K19,IF($Q$5=47,K19,IF($Q$5=48,K19,IF($Q$5=49,K19,IF($Q$5=50,K19,IF($Q$5=51,K19,IF($Q$5=52,K19,IF($Q$5=53,K19,IF($Q$5=54,K19,0))))))))))))))))))))))))))))))</f>
        <v>B10</v>
      </c>
      <c r="Q19" s="123" t="str">
        <f>IF($Q$5=30,L19,IF($Q$5=34,L19,IF($Q$5=35,L19,IF($Q$5=36,L19,IF($Q$5=38,L19,IF($Q$5=39,L19,IF($Q$5=40,L19,IF($Q$5=41,L19,IF($Q$5=42,L19,IF($Q$5=43,L19,IF($Q$5=44,L19,IF($Q$5=45,L19,IF($Q$5=46,L19,IF($Q$5=47,L19,IF($Q$5=48,L19,IF($Q$5=49,L19,IF($Q$5=50,L19,IF($Q$5=51,L19,IF($Q$5=52,L19,IF($Q$5=53,L19,IF($Q$5=54,L19,0)))))))))))))))))))))</f>
        <v>C10</v>
      </c>
      <c r="R19" s="139" t="str">
        <f>IF($Q$5=25,J10,IF($Q$5=26,J10,IF($Q$5=27,K10,IF($Q$5=28,J10,IF($Q$5=29,J10,IF($Q$5=30,J10,IF($Q$5=31,J20,IF($Q$5=32,J20,IF($Q$5=33,J20,IF($Q$5=34,J20,IF($Q$5=35,J20,IF($Q$5=36,J20,IF($Q$5=37,J20,IF($Q$5=38,J20,IF($Q$5=39,J20,IF($Q$5=40,J20,IF($Q$5=41,J20,IF($Q$5=42,J20,IF($Q$5=43,J20,IF($Q$5=44,J20,IF($Q$5=45,J20,IF($Q$5=46,J20,IF($Q$5=47,J20,IF($Q$5=48,J20,IF($Q$5=49,J20,IF($Q$5=50,J20,IF($Q$5=51,J20,IF($Q$5=52,J20,IF($Q$5=53,J20,IF($Q$5=54,J20,0))))))))))))))))))))))))))))))</f>
        <v>A11</v>
      </c>
      <c r="S19" s="134" t="str">
        <f>IF($Q$5=25,P18,IF($Q$5=26,K10,IF($Q$5=27,O19,IF($Q$5=28,K18,IF($Q$5=29,K18,IF($Q$5=30,K18,IF($Q$5=31,P19,IF($Q$5=32,P21,IF($Q$5=33,K19,IF($Q$5=34,K19,IF($Q$5=35,K19,IF($Q$5=36,K21,IF($Q$5=37,P11,IF($Q$5=38,K21,IF($Q$5=39,K21,IF($Q$5=40,K21,IF($Q$5=41,K21,IF($Q$5=42,K21,IF($Q$5=43,K21,IF($Q$5=44,K21,IF($Q$5=45,K21,IF($Q$5=46,K21,IF($Q$5=47,K21,IF($Q$5=48,K21,IF($Q$5=49,K21,IF($Q$5=50,K21,IF($Q$5=51,K21,IF($Q$5=52,K21,IF($Q$5=53,K21,IF($Q$5=54,K21,0))))))))))))))))))))))))))))))</f>
        <v>B12</v>
      </c>
      <c r="T19" s="155" t="str">
        <f>IF($Q$5=30,L19,IF($Q$5=34,L18,IF($Q$5=35,L18,IF($Q$5=36,L10,IF($Q$5=38,L10,IF($Q$5=39,L11,IF($Q$5=40,P23,IF($Q$5=41,L22,IF($Q$5=42,L22,IF($Q$5=43,P23,IF($Q$5=44,P24,IF($Q$5=45,L22,IF($Q$5=46,L22,IF($Q$5=47,L22,IF($Q$5=48,L22,IF($Q$5=49,L22,IF($Q$5=50,L22,IF($Q$5=51,L22,IF($Q$5=52,L22,IF($Q$5=53,L22,IF($Q$5=54,L22,0)))))))))))))))))))))</f>
        <v>C13</v>
      </c>
      <c r="U19" s="157" t="str">
        <f>IF($Q$5=25,O19,IF($Q$5=26,R18,IF($Q$5=27,S19,IF($Q$5=28,R18,IF($Q$5=29,O19,IF($Q$5=30,O19,IF($Q$5=31,R18,IF($Q$5=32,R10,IF($Q$5=33,O11,IF($Q$5=34,R10,IF($Q$5=35,R10,IF($Q$5=36,O21,IF($Q$5=37,R20,IF($Q$5=38,R20,IF($Q$5=39,O21,IF($Q$5=40,O21,IF($Q$5=41,O21,IF($Q$5=42,O21,IF($Q$5=43,R20,IF($Q$5=44,O21,IF($Q$5=45,R20,IF($Q$5=46,O21,IF($Q$5=47,O21,IF($Q$5=48,O21,IF($Q$5=49,O21,IF($Q$5=50,O21,IF($Q$5=51,O21,IF($Q$5=52,O21,IF($Q$5=53,O21,IF($Q$5=54,O21,0))))))))))))))))))))))))))))))</f>
        <v>A12</v>
      </c>
      <c r="V19" s="137" t="str">
        <f>IF($Q$5=25,S12,IF($Q$5=26,T10,IF($Q$5=27,T10,IF($Q$5=28,T10,IF($Q$5=29,S12,IF($Q$5=30,S12,IF($Q$5=31,T16,IF($Q$5=32,S14,IF($Q$5=33,S14,IF($Q$5=34,S20,IF($Q$5=35,S20,IF($Q$5=36,S21,IF($Q$5=37,S11,IF($Q$5=38,S21,IF($Q$5=39,S20,IF($Q$5=40,S21,IF($Q$5=41,S21,IF($Q$5=42,S21,IF($Q$5=43,S11,IF($Q$5=44,S21,IF($Q$5=45,S21,IF($Q$5=46,S21,IF($Q$5=47,S21,IF($Q$5=48,S21,IF($Q$5=49,S21,IF($Q$5=50,S21,IF($Q$5=51,S21,IF($Q$5=52,S21,IF($Q$5=53,S21,IF($Q$5=54,S21,0))))))))))))))))))))))))))))))</f>
        <v>B14</v>
      </c>
      <c r="W19" s="146" t="str">
        <f>IF($Q$5=30,T10,IF($Q$5=35,T16,IF($Q$5=36,T10,IF($Q$5=38,T10,IF($Q$5=39,T20,IF($Q$5=34,S21,IF($Q$5=40,S23,IF($Q$5=41,T22,IF($Q$5=42,T22,IF($Q$5=43,S23,IF($Q$5=44,S23,IF($Q$5=45,T22,IF($Q$5=46,T22,IF($Q$5=47,T22,IF($Q$5=48,T22,IF($Q$5=49,T22,IF($Q$5=50,T22,IF($Q$5=51,S27,IF($Q$5=52,T22,IF($Q$5=53,T22,IF($Q$5=54,T22,0)))))))))))))))))))))</f>
        <v>C1</v>
      </c>
      <c r="X19" s="18"/>
      <c r="Y19" s="382">
        <v>2</v>
      </c>
      <c r="Z19" s="9" t="str">
        <f>+O12</f>
        <v>A3</v>
      </c>
      <c r="AA19" s="25">
        <v>5</v>
      </c>
      <c r="AB19" s="38">
        <f>IF(AA19+AA23=0,0,IF(AA19=AA23,2,IF(AA19&gt;AA23,3,1)))</f>
        <v>1</v>
      </c>
      <c r="AC19" s="10">
        <f>AA19-AA23</f>
        <v>-5</v>
      </c>
      <c r="AD19" s="6"/>
      <c r="AE19" s="9" t="str">
        <f>+R12</f>
        <v>A4</v>
      </c>
      <c r="AF19" s="107">
        <v>5</v>
      </c>
      <c r="AG19" s="38">
        <f>IF(AF19+AF23=0,0,IF(AF19=AF23,2,IF(AF19&gt;AF23,3,1)))</f>
        <v>1</v>
      </c>
      <c r="AH19" s="10">
        <f>AF19-AF23</f>
        <v>-7</v>
      </c>
      <c r="AI19" s="6"/>
      <c r="AJ19" s="9" t="str">
        <f>+U12</f>
        <v>A5</v>
      </c>
      <c r="AK19" s="28">
        <v>13</v>
      </c>
      <c r="AL19" s="38">
        <f>IF(AK19+AK23=0,0,IF(AK19=AK23,2,IF(AK19&gt;AK23,3,1)))</f>
        <v>3</v>
      </c>
      <c r="AM19" s="10">
        <f>AK19-AK23</f>
        <v>4</v>
      </c>
      <c r="AN19" s="18"/>
      <c r="AO19" s="44">
        <v>11</v>
      </c>
      <c r="AP19" s="278" t="str">
        <f>+Inscrits!B13</f>
        <v>A11</v>
      </c>
      <c r="AQ19" s="247">
        <f t="shared" si="3"/>
        <v>1</v>
      </c>
      <c r="AR19" s="82">
        <f t="shared" si="4"/>
        <v>-9</v>
      </c>
      <c r="AS19" s="184">
        <f t="shared" si="5"/>
        <v>1</v>
      </c>
      <c r="AT19" s="250">
        <f t="shared" si="6"/>
        <v>3</v>
      </c>
      <c r="AU19" s="82">
        <f t="shared" si="7"/>
        <v>4</v>
      </c>
      <c r="AV19" s="252">
        <f t="shared" si="8"/>
        <v>10</v>
      </c>
      <c r="AW19" s="247">
        <f t="shared" si="9"/>
        <v>1</v>
      </c>
      <c r="AX19" s="82">
        <f t="shared" si="10"/>
        <v>-4</v>
      </c>
      <c r="AY19" s="252">
        <f t="shared" si="11"/>
        <v>5</v>
      </c>
      <c r="AZ19" s="247">
        <f t="shared" si="17"/>
        <v>5</v>
      </c>
      <c r="BA19" s="82">
        <f t="shared" si="12"/>
        <v>-9</v>
      </c>
      <c r="BB19" s="252">
        <f t="shared" si="13"/>
        <v>16</v>
      </c>
      <c r="BC19" s="32">
        <f t="shared" si="14"/>
        <v>-9</v>
      </c>
      <c r="BD19" s="47">
        <f t="shared" si="15"/>
        <v>0</v>
      </c>
      <c r="BE19" s="304">
        <f t="shared" si="16"/>
        <v>23.088400190000002</v>
      </c>
      <c r="BF19" s="82">
        <f>IF(AP19="","",SMALL(BE$9:BE$62,ROWS(AZ$9:AZ19)))</f>
        <v>6.89740047</v>
      </c>
      <c r="BH19" s="78" t="str">
        <f>IF(OR(AP19="",AZ19=""),"",INDEX($AP$9:$AP$63,MATCH(BF19,$BE$9:BE$62,0)))</f>
        <v>C3</v>
      </c>
      <c r="BI19" s="255">
        <f t="shared" si="0"/>
        <v>7</v>
      </c>
      <c r="BJ19" s="7">
        <f t="shared" si="1"/>
        <v>10</v>
      </c>
      <c r="BK19" s="7">
        <f t="shared" si="2"/>
        <v>26</v>
      </c>
      <c r="BL19" s="17">
        <f>IF(BF19="","",IF(AND(BI18=BI19,BJ18=BJ19,BK18=BK19),BL18,$BL$9+10))</f>
        <v>11</v>
      </c>
      <c r="BM19" s="22"/>
      <c r="BN19" s="225"/>
    </row>
    <row r="20" spans="1:66" ht="21.6" thickBot="1" x14ac:dyDescent="0.35">
      <c r="A20" s="111">
        <v>11</v>
      </c>
      <c r="B20" s="330" t="s">
        <v>76</v>
      </c>
      <c r="C20" s="235">
        <f>IF($Q$5&gt;=31,11,0)</f>
        <v>11</v>
      </c>
      <c r="D20" s="335" t="s">
        <v>94</v>
      </c>
      <c r="E20" s="235">
        <f>IF($Q$5&gt;=32,11,0)</f>
        <v>11</v>
      </c>
      <c r="F20" s="333" t="s">
        <v>112</v>
      </c>
      <c r="G20" s="235">
        <f>IF($Q$5&gt;=33,11,0)</f>
        <v>11</v>
      </c>
      <c r="H20" s="18"/>
      <c r="I20" s="165">
        <v>11</v>
      </c>
      <c r="J20" s="172" t="str">
        <f>IF(ISNA(MATCH(I20,$C$10:$C$27,0)),"",INDEX(B$10:$B$27,MATCH(I20,$C$10:$C$27,0)))</f>
        <v>A11</v>
      </c>
      <c r="K20" s="117" t="str">
        <f>IF(ISNA(MATCH(I20,$E$10:$E$27,0)),"",INDEX($D$10:D$27,MATCH(I20,$E$10:$E$27,0)))</f>
        <v>B11</v>
      </c>
      <c r="L20" s="160" t="str">
        <f>IF(ISNA(MATCH(I20,$G$10:$G$27,0)),"",INDEX($F$10:F$27,MATCH(I20,$G$10:$G$27,0)))</f>
        <v>C11</v>
      </c>
      <c r="M20" s="130"/>
      <c r="N20" s="3">
        <v>6</v>
      </c>
      <c r="O20" s="118" t="str">
        <f>IF($Q$5=31,J20,IF($Q$5=32,J20,IF($Q$5=33,J20,IF($Q$5=34,J20,IF($Q$5=35,J20,IF($Q$5=36,J20,IF($Q$5=37,J20,IF($Q$5=38,J20,IF($Q$5=39,J20,IF($Q$5=40,J20,IF($Q$5=41,J20,IF($Q$5=42,J20,IF($Q$5=43,J20,IF($Q$5=44,J20,IF($Q$5=45,J20,IF($Q$5=46,J20,IF($Q$5=47,J20,IF($Q$5=48,J20,IF($Q$5=49,J20,IF($Q$5=50,J20,IF($Q$5=51,J20,IF($Q$5=52,J20,IF($Q$5=53,J20,IF($Q$5=54,J20,0))))))))))))))))))))))))</f>
        <v>A11</v>
      </c>
      <c r="P20" s="119" t="str">
        <f>IF($Q$5=31,L18,IF($Q$5=32,L18,IF($Q$5=33,L19,IF($Q$5=34,K20,IF($Q$5=35,K20,IF($Q$5=36,K20,IF($Q$5=37,K20,IF($Q$5=38,K20,IF($Q$5=39,K20,IF($Q$5=40,K20,IF($Q$5=41,K20,IF($Q$5=42,K20,IF($Q$5=43,K20,IF($Q$5=44,K20,IF($Q$5=45,K20,IF($Q$5=46,K20,IF($Q$5=47,K20,IF($Q$5=48,K20,IF($Q$5=49,K20,IF($Q$5=50,K20,IF($Q$5=51,K20,IF($Q$5=52,K20,IF($Q$5=53,K20,IF($Q$5=54,K20,0))))))))))))))))))))))))</f>
        <v>B11</v>
      </c>
      <c r="Q20" s="120" t="str">
        <f>IF($Q$5=35,L20,IF($Q$5=36,L20,IF($Q$5=39,L20,IF($Q$5=40,L20,IF($Q$5=41,L20,IF($Q$5=42,L20,IF($Q$5=43,L20,IF($Q$5=44,L20,IF($Q$5=45,L20,IF($Q$5=46,L20,IF($Q$5=47,L20,IF($Q$5=48,L20,IF($Q$5=49,L20,IF($Q$5=50,L20,IF($Q$5=51,L20,IF($Q$5=52,L20,IF($Q$5=53,L20,IF($Q$5=54,L20,0))))))))))))))))))</f>
        <v>C11</v>
      </c>
      <c r="R20" s="140" t="str">
        <f>IF($Q$5=31,J10,IF($Q$5=32,K20,IF($Q$5=33,J10,IF($Q$5=34,J21,IF($Q$5=35,J21,IF($Q$5=36,J21,IF($Q$5=37,J21,IF($Q$5=38,J21,IF($Q$5=39,J21,IF($Q$5=40,J21,IF($Q$5=41,J21,IF($Q$5=42,J21,IF($Q$5=43,J21,IF($Q$5=44,J21,IF($Q$5=45,J21,IF($Q$5=46,J21,IF($Q$5=47,J21,IF($Q$5=48,J21,IF($Q$5=49,J21,IF($Q$5=50,J21,IF($Q$5=51,J21,IF($Q$5=52,J21,IF($Q$5=53,J21,IF($Q$5=54,J21,0))))))))))))))))))))))))</f>
        <v>A12</v>
      </c>
      <c r="S20" s="132" t="str">
        <f>IF($Q$5=31,P20,IF($Q$5=32,K10,IF($Q$5=33,P21,IF($Q$5=34,K20,IF($Q$5=35,K20,IF($Q$5=36,K10,IF($Q$5=37,K10,IF($Q$5=38,P11,IF($Q$5=39,K10,IF($Q$5=40,K22,IF($Q$5=41,K22,IF($Q$5=42,K22,IF($Q$5=43,K22,IF($Q$5=44,K22,IF($Q$5=45,K22,IF($Q$5=46,K22,IF($Q$5=47,K22,IF($Q$5=48,K22,IF($Q$5=49,K22,IF($Q$5=50,K22,IF($Q$5=51,K22,IF($Q$5=52,K22,IF($Q$5=53,K22,IF($Q$5=54,K22,0))))))))))))))))))))))))</f>
        <v>B13</v>
      </c>
      <c r="T20" s="151" t="str">
        <f>IF($Q$5=35,L19,IF($Q$5=36,L11,IF($Q$5=39,L12,IF($Q$5=40,L10,IF($Q$5=41,L10,IF($Q$5=42,L23,IF($Q$5=43,P24,IF($Q$5=44,P25,IF($Q$5=45,P24,IF($Q$5=46,L23,IF($Q$5=47,L23,IF($Q$5=48,L23,IF($Q$5=49,L10,IF($Q$5=50,L23,IF($Q$5=51,L23,IF($Q$5=52,L23,IF($Q$5=53,L23,IF($Q$5=54,L23,0))))))))))))))))))</f>
        <v>C14</v>
      </c>
      <c r="U20" s="140" t="str">
        <f>IF($Q$5=30,0,IF($Q$5=31,R19,IF($Q$5=32,R19,IF($Q$5=33,R19,IF($Q$5=34,R18,IF($Q$5=35,R18,IF($Q$5=36,O10,IF($Q$5=37,R21,IF($Q$5=38,R21,IF($Q$5=39,O22,IF($Q$5=40,R21,IF($Q$5=41,O22,IF($Q$5=42,O22,IF($Q$5=43,R21,IF($Q$5=44,R21,IF($Q$5=45,O22,IF($Q$5=46,O22,IF($Q$5=47,O22,IF($Q$5=48,O22,IF($Q$5=49,O22,IF($Q$5=50,O22,IF($Q$5=51,R21,IF($Q$5=52,O22,IF($Q$5=53,O22,IF($Q$5=54,O22,0)))))))))))))))))))))))))</f>
        <v>A13</v>
      </c>
      <c r="V20" s="138" t="str">
        <f>IF($Q$5=31,T10,IF($Q$5=32,S18,IF($Q$5=33,T18,IF($Q$5=34,S14,IF($Q$5=35,S21,IF($Q$5=36,S10,IF($Q$5=37,S10,IF($Q$5=38,S11,IF($Q$5=39,S21,IF($Q$5=40,S22,IF($Q$5=41,S22,IF($Q$5=42,S22,IF($Q$5=43,S22,IF($Q$5=44,S22,IF($Q$5=45,S22,IF($Q$5=46,S22,IF($Q$5=47,S22,IF($Q$5=48,S22,IF($Q$5=49,S22,IF($Q$5=50,S22,IF($Q$5=51,S22,IF($Q$5=52,S22,IF($Q$5=53,S22,IF($Q$5=54,S22,0))))))))))))))))))))))))</f>
        <v>B2</v>
      </c>
      <c r="W20" s="145" t="str">
        <f>IF($Q$5=35,T18,IF($Q$5=36,T11,IF($Q$5=39,T10,IF($Q$5=40,T10,IF($Q$5=41,T10,IF($Q$5=42,T23,IF($Q$5=43,S24,IF($Q$5=44,S24,IF($Q$5=45,S24,IF($Q$5=46,T23,IF($Q$5=47,T23,IF($Q$5=48,T23,IF($Q$5=49,T10,IF($Q$5=50,T23,IF($Q$5=51,S26,IF($Q$5=52,S27,IF($Q$5=53,T23,IF($Q$5=54,T23,0))))))))))))))))))</f>
        <v>C2</v>
      </c>
      <c r="X20" s="18"/>
      <c r="Y20" s="383"/>
      <c r="Z20" s="11" t="str">
        <f>+P12</f>
        <v>B3</v>
      </c>
      <c r="AA20" s="14">
        <f>IF(ISTEXT(Z20),AA19,0)</f>
        <v>5</v>
      </c>
      <c r="AB20" s="14">
        <f>IF(ISTEXT(Z20),AB19,0)</f>
        <v>1</v>
      </c>
      <c r="AC20" s="15">
        <f>IF(ISTEXT(Z20),AC19,0)</f>
        <v>-5</v>
      </c>
      <c r="AD20" s="6"/>
      <c r="AE20" s="11" t="str">
        <f>+S12</f>
        <v>B5</v>
      </c>
      <c r="AF20" s="14">
        <f>IF(ISTEXT(AE20),AF19,0)</f>
        <v>5</v>
      </c>
      <c r="AG20" s="48">
        <f>IF(ISTEXT(AE20),AG19,0)</f>
        <v>1</v>
      </c>
      <c r="AH20" s="15">
        <f>IF(ISTEXT(AE20),AH19,0)</f>
        <v>-7</v>
      </c>
      <c r="AI20" s="6"/>
      <c r="AJ20" s="11" t="str">
        <f>+V12</f>
        <v>B7</v>
      </c>
      <c r="AK20" s="14">
        <f>IF(ISTEXT(AJ20),AK19,0)</f>
        <v>13</v>
      </c>
      <c r="AL20" s="48">
        <f>IF(ISTEXT(AJ20),AL19,0)</f>
        <v>3</v>
      </c>
      <c r="AM20" s="15">
        <f>IF(ISTEXT(AJ20),AM19,0)</f>
        <v>4</v>
      </c>
      <c r="AN20" s="18"/>
      <c r="AO20" s="44">
        <v>12</v>
      </c>
      <c r="AP20" s="278" t="str">
        <f>+Inscrits!B14</f>
        <v>A12</v>
      </c>
      <c r="AQ20" s="247">
        <f t="shared" si="3"/>
        <v>3</v>
      </c>
      <c r="AR20" s="82">
        <f t="shared" si="4"/>
        <v>9</v>
      </c>
      <c r="AS20" s="184">
        <f t="shared" si="5"/>
        <v>10</v>
      </c>
      <c r="AT20" s="250">
        <f t="shared" si="6"/>
        <v>1</v>
      </c>
      <c r="AU20" s="82">
        <f t="shared" si="7"/>
        <v>-6</v>
      </c>
      <c r="AV20" s="252">
        <f t="shared" si="8"/>
        <v>1</v>
      </c>
      <c r="AW20" s="247">
        <f t="shared" si="9"/>
        <v>3</v>
      </c>
      <c r="AX20" s="82">
        <f t="shared" si="10"/>
        <v>4</v>
      </c>
      <c r="AY20" s="252">
        <f t="shared" si="11"/>
        <v>9</v>
      </c>
      <c r="AZ20" s="247">
        <f t="shared" si="17"/>
        <v>7</v>
      </c>
      <c r="BA20" s="82">
        <f t="shared" si="12"/>
        <v>7</v>
      </c>
      <c r="BB20" s="252">
        <f t="shared" si="13"/>
        <v>20</v>
      </c>
      <c r="BC20" s="32">
        <f t="shared" si="14"/>
        <v>0</v>
      </c>
      <c r="BD20" s="47">
        <f t="shared" si="15"/>
        <v>7</v>
      </c>
      <c r="BE20" s="304">
        <f t="shared" si="16"/>
        <v>6.9280001999999996</v>
      </c>
      <c r="BF20" s="82">
        <f>IF(AP20="","",SMALL(BE$9:BE$62,ROWS(AZ$9:AZ20)))</f>
        <v>6.9075004899999994</v>
      </c>
      <c r="BH20" s="78" t="str">
        <f>IF(OR(AP20="",AZ20=""),"",INDEX($AP$9:$AP$63,MATCH(BF20,$BE$9:BE$62,0)))</f>
        <v>C5</v>
      </c>
      <c r="BI20" s="255">
        <f t="shared" si="0"/>
        <v>7</v>
      </c>
      <c r="BJ20" s="7">
        <f t="shared" si="1"/>
        <v>9</v>
      </c>
      <c r="BK20" s="7">
        <f t="shared" si="2"/>
        <v>25</v>
      </c>
      <c r="BL20" s="17">
        <f>IF(BF20="","",IF(AND(BI19=BI20,BJ19=BJ20,BK19=BK20),BL19,$BL$9+11))</f>
        <v>12</v>
      </c>
      <c r="BM20" s="22"/>
      <c r="BN20" s="225"/>
    </row>
    <row r="21" spans="1:66" ht="21.6" thickBot="1" x14ac:dyDescent="0.35">
      <c r="A21" s="111">
        <v>12</v>
      </c>
      <c r="B21" s="330" t="s">
        <v>77</v>
      </c>
      <c r="C21" s="235">
        <f>IF($Q$5&gt;=34,12,0)</f>
        <v>12</v>
      </c>
      <c r="D21" s="335" t="s">
        <v>95</v>
      </c>
      <c r="E21" s="235">
        <f>IF($Q$5&gt;=35,12,0)</f>
        <v>12</v>
      </c>
      <c r="F21" s="333" t="s">
        <v>113</v>
      </c>
      <c r="G21" s="235">
        <f>IF($Q$5&gt;=36,12,0)</f>
        <v>12</v>
      </c>
      <c r="H21" s="18"/>
      <c r="I21" s="165">
        <v>12</v>
      </c>
      <c r="J21" s="172" t="str">
        <f>IF(ISNA(MATCH(I21,$C$10:$C$27,0)),"",INDEX(B$10:$B$27,MATCH(I21,$C$10:$C$27,0)))</f>
        <v>A12</v>
      </c>
      <c r="K21" s="117" t="str">
        <f>IF(ISNA(MATCH(I21,$E$10:$E$27,0)),"",INDEX($D$10:D$27,MATCH(I21,$E$10:$E$27,0)))</f>
        <v>B12</v>
      </c>
      <c r="L21" s="160" t="str">
        <f>IF(ISNA(MATCH(I21,$G$10:$G$27,0)),"",INDEX($F$10:F$27,MATCH(I21,$G$10:$G$27,0)))</f>
        <v>C12</v>
      </c>
      <c r="M21" s="130"/>
      <c r="N21" s="42" t="s">
        <v>5</v>
      </c>
      <c r="O21" s="121" t="str">
        <f>IF($Q$5=31,K19,IF($Q$5=32,K20,IF($Q$5=33,K20,IF($Q$5=34,J21,IF($Q$5=35,J21,IF($Q$5=36,J21,IF($Q$5=37,J21,IF($Q$5=38,J21,IF($Q$5=39,J21,IF($Q$5=40,J21,IF($Q$5=41,J21,IF($Q$5=42,J21,IF($Q$5=43,J21,IF($Q$5=44,J21,IF($Q$5=45,J21,IF($Q$5=46,J21,IF($Q$5=47,J21,IF($Q$5=48,J21,IF($Q$5=49,J21,IF($Q$5=50,J21,IF($Q$5=51,J21,IF($Q$5=52,J21,IF($Q$5=53,J21,IF($Q$5=54,J21,0))))))))))))))))))))))))</f>
        <v>A12</v>
      </c>
      <c r="P21" s="126" t="str">
        <f>IF($Q$5=31,L19,IF($Q$5=32,L19,IF($Q$5=33,L20,IF($Q$5=34,L20,IF($Q$5=35,K21,IF($Q$5=36,K21,IF($Q$5=37,L21,IF($Q$5=38,K21,IF($Q$5=39,K21,IF($Q$5=40,K21,IF($Q$5=41,K21,IF($Q$5=42,K21,IF($Q$5=43,K21,IF($Q$5=44,K21,IF($Q$5=45,K21,IF($Q$5=46,K21,IF($Q$5=47,K21,IF($Q$5=48,K21,IF($Q$5=49,K21,IF($Q$5=50,K21,IF($Q$5=51,K21,IF($Q$5=52,K21,IF($Q$5=53,K21,IF($Q$5=54,K21,0))))))))))))))))))))))))</f>
        <v>B12</v>
      </c>
      <c r="Q21" s="123" t="str">
        <f>IF($Q$5=36,L21,IF($Q$5=40,L21,IF($Q$5=41,L21,IF($Q$5=42,L21,IF($Q$5=43,0,IF($Q$5=44,L21,IF($Q$5=45,L21,IF($Q$5=46,L21,IF($Q$5=47,L21,IF($Q$5=48,L21,IF($Q$5=49,L21,IF($Q$5=50,L21,IF($Q$5=51,L21,IF($Q$5=52,L21,IF($Q$5=53,L21,IF($Q$5=54,L21,0))))))))))))))))</f>
        <v>C12</v>
      </c>
      <c r="R21" s="141" t="str">
        <f>IF($Q$5=31,K11,IF($Q$5=32,J10,IF($Q$5=33,O21,IF($Q$5=34,J10,IF($Q$5=35,J10,IF($Q$5=36,J10,IF($Q$5=37,J22,IF($Q$5=38,J22,IF($Q$5=39,J22,IF($Q$5=40,J22,IF($Q$5=41,J22,IF($Q$5=42,J22,IF($Q$5=43,J22,IF($Q$5=44,J22,IF($Q$5=45,J22,IF($Q$5=46,J22,IF($Q$5=47,J22,IF($Q$5=48,J22,IF($Q$5=49,J22,IF($Q$5=50,J22,IF($Q$5=51,J22,IF($Q$5=52,J22,IF($Q$5=53,J22,IF($Q$5=54,J22,0))))))))))))))))))))))))</f>
        <v>A13</v>
      </c>
      <c r="S21" s="137" t="str">
        <f>IF($Q$5=31,O21,IF($Q$5=32,P18,IF($Q$5=33,P20,IF($Q$5=34,L19,IF($Q$5=35,K21,IF($Q$5=36,K11,IF($Q$5=37,L10,IF($Q$5=38,K10,IF($Q$5=39,K11,IF($Q$5=40,K10,IF($Q$5=41,K23,IF($Q$5=42,K23,IF($Q$5=43,P11,IF($Q$5=44,K23,IF($Q$5=45,K23,IF($Q$5=46,K23,IF($Q$5=47,K23,IF($Q$5=48,K23,IF($Q$5=49,K23,IF($Q$5=50,K23,IF($Q$5=51,K23,IF($Q$5=52,K23,IF($Q$5=53,K23,IF($Q$5=54,K23,0))))))))))))))))))))))))</f>
        <v>B14</v>
      </c>
      <c r="T21" s="153" t="str">
        <f>IF($Q$5=36,L12,IF($Q$5=40,L11,IF($Q$5=41,L11,IF($Q$5=42,L10,IF($Q$5=43,0,IF($Q$5=44,L10,IF($Q$5=45,P25,IF($Q$5=46,P25,IF($Q$5=47,L24,IF($Q$5=48,L24,IF($Q$5=49,L11,IF($Q$5=50,P26,IF($Q$5=51,L24,IF($Q$5=52,L24,IF($Q$5=53,L24,IF($Q$5=54,L24,0))))))))))))))))</f>
        <v>C15</v>
      </c>
      <c r="U21" s="156" t="str">
        <f>IF($Q$5=31,S21,IF($Q$5=32,R20,IF($Q$5=33,R21,IF($Q$5=34,R20,IF($Q$5=35,R20,IF($Q$5=36,O11,IF($Q$5=37,R22,IF($Q$5=38,R22,IF($Q$5=39,O10,IF($Q$5=40,R22,IF($Q$5=41,R22,IF($Q$5=42,O23,IF($Q$5=43,R22,IF($Q$5=44,O23,IF($Q$5=45,R22,IF($Q$5=46,O23,IF($Q$5=47,O23,IF($Q$5=48,R22,IF($Q$5=49,R22,IF($Q$5=50,O23,IF($Q$5=51,R22,IF($Q$5=52,R22,IF($Q$5=53,O23,IF($Q$5=54,O23,0))))))))))))))))))))))))</f>
        <v>A14</v>
      </c>
      <c r="V21" s="137" t="str">
        <f>IF($Q$5=31,S15,IF($Q$5=32,S19,IF($Q$5=33,S21,IF($Q$5=34,T19,IF($Q$5=35,S14,IF($Q$5=36,S11,IF($Q$5=37,T10,IF($Q$5=38,S10,IF($Q$5=39,S10,IF($Q$5=40,S10,IF($Q$5=41,S23,IF($Q$5=42,S23,IF($Q$5=43,S21,IF($Q$5=44,S11,IF($Q$5=45,S23,IF($Q$5=46,S23,IF($Q$5=47,S23,IF($Q$5=48,S23,IF($Q$5=49,S23,IF($Q$5=50,S23,IF($Q$5=51,S23,IF($Q$5=52,S23,IF($Q$5=53,S23,IF($Q$5=54,S23,0))))))))))))))))))))))))</f>
        <v>B1</v>
      </c>
      <c r="W21" s="146" t="str">
        <f>IF($Q$5=36,T12,IF($Q$5=39,0,IF($Q$5=40,T11,IF($Q$5=41,T11,IF($Q$5=42,T10,IF($Q$5=43,0,IF($Q$5=44,T10,IF($Q$5=45,S25,IF($Q$5=46,S25,IF($Q$5=47,T24,IF($Q$5=48,T24,IF($Q$5=49,T11,IF($Q$5=50,S26,IF($Q$5=51,T22,IF($Q$5=52,T23,IF($Q$5=53,T24,IF($Q$5=54,T24,0)))))))))))))))))</f>
        <v>C3</v>
      </c>
      <c r="X21" s="18"/>
      <c r="Y21" s="383"/>
      <c r="Z21" s="11" t="str">
        <f>+Q12</f>
        <v>C3</v>
      </c>
      <c r="AA21" s="55">
        <f>IF(ISTEXT(Z21),AA19,0)</f>
        <v>5</v>
      </c>
      <c r="AB21" s="55">
        <f>IF(ISTEXT(Z21),AB19,0)</f>
        <v>1</v>
      </c>
      <c r="AC21" s="56">
        <f>IF(ISTEXT(Z21),AC19,0)</f>
        <v>-5</v>
      </c>
      <c r="AD21" s="6"/>
      <c r="AE21" s="11" t="str">
        <f>+T12</f>
        <v>C6</v>
      </c>
      <c r="AF21" s="55">
        <f>IF(ISTEXT(AE21),AF19,0)</f>
        <v>5</v>
      </c>
      <c r="AG21" s="52">
        <f>IF(ISTEXT(AE21),AG19,0)</f>
        <v>1</v>
      </c>
      <c r="AH21" s="56">
        <f>IF(ISTEXT(AE21),AH19,0)</f>
        <v>-7</v>
      </c>
      <c r="AI21" s="6"/>
      <c r="AJ21" s="11" t="str">
        <f>+W12</f>
        <v>C9</v>
      </c>
      <c r="AK21" s="55">
        <f>IF(ISTEXT(AJ21),AK19,0)</f>
        <v>13</v>
      </c>
      <c r="AL21" s="52">
        <f>IF(ISTEXT(AJ21),AL19,0)</f>
        <v>3</v>
      </c>
      <c r="AM21" s="56">
        <f>IF(ISTEXT(AJ21),AM19,0)</f>
        <v>4</v>
      </c>
      <c r="AN21" s="18"/>
      <c r="AO21" s="44">
        <v>13</v>
      </c>
      <c r="AP21" s="278" t="str">
        <f>+Inscrits!B15</f>
        <v>A13</v>
      </c>
      <c r="AQ21" s="247">
        <f t="shared" si="3"/>
        <v>1</v>
      </c>
      <c r="AR21" s="82">
        <f t="shared" si="4"/>
        <v>-9</v>
      </c>
      <c r="AS21" s="184">
        <f t="shared" si="5"/>
        <v>1</v>
      </c>
      <c r="AT21" s="250">
        <f t="shared" si="6"/>
        <v>3</v>
      </c>
      <c r="AU21" s="82">
        <f t="shared" si="7"/>
        <v>6</v>
      </c>
      <c r="AV21" s="252">
        <f t="shared" si="8"/>
        <v>7</v>
      </c>
      <c r="AW21" s="247">
        <f t="shared" si="9"/>
        <v>1</v>
      </c>
      <c r="AX21" s="82">
        <f t="shared" si="10"/>
        <v>-3</v>
      </c>
      <c r="AY21" s="252">
        <f t="shared" si="11"/>
        <v>5</v>
      </c>
      <c r="AZ21" s="247">
        <f t="shared" si="17"/>
        <v>5</v>
      </c>
      <c r="BA21" s="82">
        <f t="shared" si="12"/>
        <v>-6</v>
      </c>
      <c r="BB21" s="252">
        <f t="shared" si="13"/>
        <v>13</v>
      </c>
      <c r="BC21" s="32">
        <f t="shared" si="14"/>
        <v>-6</v>
      </c>
      <c r="BD21" s="47">
        <f t="shared" si="15"/>
        <v>0</v>
      </c>
      <c r="BE21" s="304">
        <f t="shared" si="16"/>
        <v>23.058700209999998</v>
      </c>
      <c r="BF21" s="82">
        <f>IF(AP21="","",SMALL(BE$9:BE$62,ROWS(AZ$9:AZ21)))</f>
        <v>6.9280001999999996</v>
      </c>
      <c r="BH21" s="78" t="str">
        <f>IF(OR(AP21="",AZ21=""),"",INDEX($AP$9:$AP$63,MATCH(BF21,$BE$9:BE$62,0)))</f>
        <v>A12</v>
      </c>
      <c r="BI21" s="255">
        <f t="shared" si="0"/>
        <v>7</v>
      </c>
      <c r="BJ21" s="7">
        <f t="shared" si="1"/>
        <v>7</v>
      </c>
      <c r="BK21" s="7">
        <f t="shared" si="2"/>
        <v>20</v>
      </c>
      <c r="BL21" s="17">
        <f>IF(BF21="","",IF(AND(BI20=BI21,BJ20=BJ21,BK20=BK21),BL20,$BL$9+12))</f>
        <v>13</v>
      </c>
      <c r="BM21" s="22"/>
      <c r="BN21" s="225"/>
    </row>
    <row r="22" spans="1:66" ht="21" x14ac:dyDescent="0.3">
      <c r="A22" s="111">
        <v>13</v>
      </c>
      <c r="B22" s="330" t="s">
        <v>78</v>
      </c>
      <c r="C22" s="235">
        <f>IF($Q$5&gt;=37,13,0)</f>
        <v>13</v>
      </c>
      <c r="D22" s="335" t="s">
        <v>96</v>
      </c>
      <c r="E22" s="235">
        <f>IF($Q$5&gt;=38,13,0)</f>
        <v>13</v>
      </c>
      <c r="F22" s="333" t="s">
        <v>114</v>
      </c>
      <c r="G22" s="235">
        <f>IF($Q$5&gt;=39,13,0)</f>
        <v>13</v>
      </c>
      <c r="H22" s="18"/>
      <c r="I22" s="165">
        <v>13</v>
      </c>
      <c r="J22" s="172" t="str">
        <f>IF(ISNA(MATCH(I22,$C$10:$C$27,0)),"",INDEX(B$10:$B$27,MATCH(I22,$C$10:$C$27,0)))</f>
        <v>A13</v>
      </c>
      <c r="K22" s="117" t="str">
        <f>IF(ISNA(MATCH(I22,$E$10:$E$27,0)),"",INDEX($D$10:D$27,MATCH(I22,$E$10:$E$27,0)))</f>
        <v>B13</v>
      </c>
      <c r="L22" s="160" t="str">
        <f>IF(ISNA(MATCH(I22,$G$10:$G$27,0)),"",INDEX($F$10:F$27,MATCH(I22,$G$10:$G$27,0)))</f>
        <v>C13</v>
      </c>
      <c r="M22" s="130"/>
      <c r="N22" s="67">
        <v>7</v>
      </c>
      <c r="O22" s="127" t="str">
        <f>IF($Q$5=36,0,IF($Q$5=37,J22,IF($Q$5=38,J22,IF($Q$5=39,J22,IF($Q$5=40,J22,IF($Q$5=41,J22,IF($Q$5=42,J22,IF($Q$5=43,J22,IF($Q$5=44,J22,IF($Q$5=45,J22,IF($Q$5=46,J22,IF($Q$5=47,J22,IF($Q$5=48,J22,IF($Q$5=49,J22,IF($Q$5=50,J22,IF($Q$5=51,J22,IF($Q$5=52,J22,IF($Q$5=53,J22,IF($Q$5=54,J22,0)))))))))))))))))))</f>
        <v>A13</v>
      </c>
      <c r="P22" s="122" t="str">
        <f>IF($Q$5=36,0,IF($Q$5=37,L20,IF($Q$5=38,L20,IF($Q$5=39,L21,IF($Q$5=40,K22,IF($Q$5=41,K22,IF($Q$5=42,K22,IF($Q$5=43,K22,IF($Q$5=44,K22,IF($Q$5=45,K22,IF($Q$5=46,K22,IF($Q$5=47,K22,IF($Q$5=48,K22,IF($Q$5=49,K22,IF($Q$5=50,K22,IF($Q$5=51,K22,IF($Q$5=52,K22,IF($Q$5=53,K22,IF($Q$5=54,K22,0)))))))))))))))))))</f>
        <v>B13</v>
      </c>
      <c r="Q22" s="128" t="str">
        <f>IF($Q$5=39,0,IF($Q$5=40,0,IF($Q$5=41,L22,IF($Q$5=42,L22,IF($Q$5=43,0,IF($Q$5=44,0,IF($Q$5=45,L22,IF($Q$5=46,L22,IF($Q$5=47,L22,IF($Q$5=48,L22,IF($Q$5=49,L22,IF($Q$5=50,L22,IF($Q$5=51,L22,IF($Q$5=52,L22,IF($Q$5=53,L22,IF($Q$5=54,L22,0))))))))))))))))</f>
        <v>C13</v>
      </c>
      <c r="R22" s="140" t="str">
        <f>IF($Q$5=33,0,IF($Q$5=34,0,IF($Q$5=35,0,IF($Q$5=36,0,IF($Q$5=37,J10,IF($Q$5=38,J10,IF($Q$5=39,J10,IF($Q$5=40,J23,IF($Q$5=41,J23,IF($Q$5=42,J23,IF($Q$5=43,J23,IF($Q$5=44,J23,IF($Q$5=45,J23,IF($Q$5=46,J23,IF($Q$5=47,J23,IF($Q$5=48,J23,IF($Q$5=49,J23,IF($Q$5=50,J23,IF($Q$5=51,J23,IF($Q$5=52,J23,IF($Q$5=53,J23,IF($Q$5=54,J23,0))))))))))))))))))))))</f>
        <v>A14</v>
      </c>
      <c r="S22" s="132" t="str">
        <f>IF($Q$5=37,L11,IF($Q$5=38,L11,IF($Q$5=39,P23,IF($Q$5=40,K11,IF($Q$5=41,K10,IF($Q$5=42,K10,IF($Q$5=43,K10,IF($Q$5=44,P10,IF($Q$5=45,P11,IF($Q$5=46,K24,IF($Q$5=47,K24,IF($Q$5=48,K24,IF($Q$5=49,K24,IF($Q$5=50,K24,IF($Q$5=51,K24,IF($Q$5=52,K24,IF($Q$5=53,K24,IF($Q$5=54,K24,0))))))))))))))))))</f>
        <v>B2</v>
      </c>
      <c r="T22" s="151" t="str">
        <f>IF($Q$5=41,L12,IF($Q$5=42,L11,IF($Q$5=43,0,IF($Q$5=44,0,IF($Q$5=45,L10,IF($Q$5=46,L10,IF($Q$5=47,L10,IF($Q$5=48,L25,IF($Q$5=49,L12,IF($Q$5=50,P27,IF($Q$5=51,L10,IF($Q$5=52,L25,IF($Q$5=53,L25,IF($Q$5=54,L25,0))))))))))))))</f>
        <v>C1</v>
      </c>
      <c r="U22" s="135" t="str">
        <f>IF($Q$5=37,O11,IF($Q$5=38,R10,IF($Q$5=39,R10,IF($Q$5=40,R23,IF($Q$5=41,R23,IF($Q$5=42,R23,IF($Q$5=43,R23,IF($Q$5=44,O24,IF($Q$5=45,R23,IF($Q$5=46,R23,IF($Q$5=47,R23,IF($Q$5=48,R23,IF($Q$5=49,R23,IF($Q$5=50,R23,IF($Q$5=51,R23,IF($Q$5=52,R23,IF($Q$5=53,R23,IF($Q$5=54,O24,0))))))))))))))))))</f>
        <v>A15</v>
      </c>
      <c r="V22" s="138" t="str">
        <f>IF($Q$5=37,T11,IF($Q$5=38,T12,IF($Q$5=39,T11,IF($Q$5=40,S11,IF($Q$5=41,S10,IF($Q$5=42,S10,IF($Q$5=43,S10,IF($Q$5=44,S25,IF($Q$5=45,S11,IF($Q$5=46,S24,IF($Q$5=47,S24,IF($Q$5=48,S24,IF($Q$5=49,S24,IF($Q$5=50,S11,IF($Q$5=51,S11,IF($Q$5=52,S24,IF($Q$5=53,S24,IF($Q$5=54,S24,0))))))))))))))))))</f>
        <v>B4</v>
      </c>
      <c r="W22" s="145" t="str">
        <f>IF($Q$5=41,T12,IF($Q$5=42,T11,IF($Q$5=43,0,IF($Q$5=44,0,IF($Q$5=45,T10,IF($Q$5=46,T10,IF($Q$5=47,T10,IF($Q$5=48,T25,IF($Q$5=49,T12,IF($Q$5=50,S27,IF($Q$5=51,T23,IF($Q$5=52,T24,IF($Q$5=53,T25,IF($Q$5=54,T25,0))))))))))))))</f>
        <v>C4</v>
      </c>
      <c r="X22" s="18"/>
      <c r="Y22" s="383"/>
      <c r="Z22" s="24"/>
      <c r="AA22" s="16" t="s">
        <v>5</v>
      </c>
      <c r="AB22" s="16"/>
      <c r="AC22" s="17"/>
      <c r="AD22" s="1"/>
      <c r="AE22" s="24"/>
      <c r="AF22" s="16" t="s">
        <v>5</v>
      </c>
      <c r="AG22" s="16"/>
      <c r="AH22" s="17"/>
      <c r="AI22" s="1"/>
      <c r="AJ22" s="24"/>
      <c r="AK22" s="16" t="s">
        <v>5</v>
      </c>
      <c r="AL22" s="16"/>
      <c r="AM22" s="17"/>
      <c r="AN22" s="18"/>
      <c r="AO22" s="44">
        <v>14</v>
      </c>
      <c r="AP22" s="278" t="str">
        <f>+Inscrits!B16</f>
        <v>A14</v>
      </c>
      <c r="AQ22" s="247">
        <f t="shared" si="3"/>
        <v>3</v>
      </c>
      <c r="AR22" s="82">
        <f t="shared" si="4"/>
        <v>9</v>
      </c>
      <c r="AS22" s="184">
        <f t="shared" si="5"/>
        <v>10</v>
      </c>
      <c r="AT22" s="250">
        <f t="shared" si="6"/>
        <v>1</v>
      </c>
      <c r="AU22" s="82">
        <f t="shared" si="7"/>
        <v>-11</v>
      </c>
      <c r="AV22" s="252">
        <f t="shared" si="8"/>
        <v>1</v>
      </c>
      <c r="AW22" s="247">
        <f t="shared" si="9"/>
        <v>3</v>
      </c>
      <c r="AX22" s="82">
        <f t="shared" si="10"/>
        <v>3</v>
      </c>
      <c r="AY22" s="252">
        <f t="shared" si="11"/>
        <v>8</v>
      </c>
      <c r="AZ22" s="247">
        <f t="shared" si="17"/>
        <v>7</v>
      </c>
      <c r="BA22" s="82">
        <f t="shared" si="12"/>
        <v>1</v>
      </c>
      <c r="BB22" s="252">
        <f t="shared" si="13"/>
        <v>19</v>
      </c>
      <c r="BC22" s="32">
        <f t="shared" si="14"/>
        <v>0</v>
      </c>
      <c r="BD22" s="47">
        <f t="shared" si="15"/>
        <v>1</v>
      </c>
      <c r="BE22" s="304">
        <f t="shared" si="16"/>
        <v>6.9881002200000006</v>
      </c>
      <c r="BF22" s="82">
        <f>IF(AP22="","",SMALL(BE$9:BE$62,ROWS(AZ$9:AZ22)))</f>
        <v>6.9378005600000003</v>
      </c>
      <c r="BH22" s="78" t="str">
        <f>IF(OR(AP22="",AZ22=""),"",INDEX($AP$9:$AP$63,MATCH(BF22,$BE$9:BE$62,0)))</f>
        <v>C12</v>
      </c>
      <c r="BI22" s="255">
        <f t="shared" si="0"/>
        <v>7</v>
      </c>
      <c r="BJ22" s="7">
        <f t="shared" si="1"/>
        <v>6</v>
      </c>
      <c r="BK22" s="7">
        <f t="shared" si="2"/>
        <v>22</v>
      </c>
      <c r="BL22" s="17">
        <f>IF(BF22="","",IF(AND(BI21=BI22,BJ21=BJ22,BK21=BK22),BL21,$BL$9+13))</f>
        <v>14</v>
      </c>
      <c r="BM22" s="22"/>
      <c r="BN22" s="225"/>
    </row>
    <row r="23" spans="1:66" ht="21.6" thickBot="1" x14ac:dyDescent="0.35">
      <c r="A23" s="111">
        <v>14</v>
      </c>
      <c r="B23" s="330" t="s">
        <v>79</v>
      </c>
      <c r="C23" s="237">
        <f>IF($Q$5&gt;=40,14,0)</f>
        <v>14</v>
      </c>
      <c r="D23" s="335" t="s">
        <v>97</v>
      </c>
      <c r="E23" s="237">
        <f>IF($Q$5&gt;=41,14,0)</f>
        <v>14</v>
      </c>
      <c r="F23" s="333" t="s">
        <v>115</v>
      </c>
      <c r="G23" s="237">
        <f>IF($Q$5&gt;=42,14,0)</f>
        <v>14</v>
      </c>
      <c r="H23" s="18"/>
      <c r="I23" s="165">
        <v>14</v>
      </c>
      <c r="J23" s="172" t="str">
        <f>IF(ISNA(MATCH(I23,$C$10:$C$27,0)),"",INDEX(B$10:$B$27,MATCH(I23,$C$10:$C$27,0)))</f>
        <v>A14</v>
      </c>
      <c r="K23" s="117" t="str">
        <f>IF(ISNA(MATCH(I23,$E$10:$E$27,0)),"",INDEX($D$10:D$27,MATCH(I23,$E$10:$E$27,0)))</f>
        <v>B14</v>
      </c>
      <c r="L23" s="160" t="str">
        <f>IF(ISNA(MATCH(I23,$G$10:$G$27,0)),"",INDEX($F$10:F$27,MATCH(I23,$G$10:$G$27,0)))</f>
        <v>C14</v>
      </c>
      <c r="M23" s="130"/>
      <c r="N23" s="42" t="s">
        <v>5</v>
      </c>
      <c r="O23" s="121" t="str">
        <f>IF($Q$5=36,0,IF($Q$5=37,K21,IF($Q$5=38,K22,IF($Q$5=39,K22,IF($Q$5=40,J23,IF($Q$5=41,J23,IF($Q$5=42,J23,IF($Q$5=43,J23,IF($Q$5=44,J23,IF($Q$5=45,J23,IF($Q$5=46,J23,IF($Q$5=47,J23,IF($Q$5=48,J23,IF($Q$5=49,J23,IF($Q$5=50,J23,IF($Q$5=51,J23,IF($Q$5=52,J23,IF($Q$5=53,J23,IF($Q$5=54,J23,0)))))))))))))))))))</f>
        <v>A14</v>
      </c>
      <c r="P23" s="126" t="str">
        <f>IF($Q$5=36,0,IF($Q$5=37,L19,IF($Q$5=38,L21,IF($Q$5=39,L22,IF($Q$5=40,L22,IF($Q$5=41,K23,IF($Q$5=42,K23,IF($Q$5=43,L22,IF($Q$5=44,K23,IF($Q$5=45,K23,IF($Q$5=46,K2:K23,IF($Q$5=47,K23,IF($Q$5=48,K23,IF($Q$5=49,K23,IF($Q$5=50,K23,IF($Q$5=51,K23,IF($Q$5=52,K23,IF($Q$5=53,K23,IF($Q$5=54,K23,0)))))))))))))))))))</f>
        <v>B14</v>
      </c>
      <c r="Q23" s="123">
        <f>IF($Q$5=40,0,IF($Q$5=41,0,IF($Q$5=42,L23,IF($Q$5=43,0,IF($Q$5=44,0,IF($Q$5=45,0,IF($Q$5=46,L23,IF($Q$5=47,L23,IF($Q$5=48,L23,IF($Q$5=49,0,IF($Q$5=50,L23,IF($Q$5=51,L23,IF($Q$5=52,L23,IF($Q$5=53,L23,IF($Q$5=54,L23,0)))))))))))))))</f>
        <v>0</v>
      </c>
      <c r="R23" s="142" t="str">
        <f>IF($Q$5=37,O23,IF($Q$5=38,O23,IF($Q$5=39,O23,IF($Q$5=40,J10,IF($Q$5=41,J10,IF($Q$5=42,J10,IF($Q$5=43,J24,IF($Q$5=44,J24,IF($Q$5=45,J24,IF($Q$5=46,J24,IF($Q$5=47,J24,IF($Q$5=48,J24,IF($Q$5=49,J24,IF($Q$5=50,J24,IF($Q$5=51,J24,IF($Q$5=52,J24,IF($Q$5=53,J24,IF($Q$5=54,J24,0))))))))))))))))))</f>
        <v>A15</v>
      </c>
      <c r="S23" s="143" t="str">
        <f>IF($Q$5=37,L12,IF($Q$5=38,L12,IF($Q$5=39,P22,IF($Q$5=40,L12,IF($Q$5=41,K11,IF($Q$5=42,K11,IF($Q$5=43,L11,IF($Q$5=44,L11,IF($Q$5=45,K10,IF($Q$5=46,K10,IF($Q$5=47,K25,IF($Q$5=48,K25,IF($Q$5=49,P11,IF($Q$5=50,K25,IF($Q$5=51,K25,IF($Q$5=52,K25,IF($Q$5=53,K25,IF($Q$5=54,K25,0))))))))))))))))))</f>
        <v>B1</v>
      </c>
      <c r="T23" s="153">
        <f>IF($Q$5=42,L12,IF($Q$5=46,L11,IF($Q$5=47,L11,IF($Q$5=48,L10,IF($Q$5=49,0,IF($Q$5=50,L10,IF($Q$5=51,L11,IF($Q$5=52,L10,IF($Q$5=53,L26,IF($Q$5=54,L26,0))))))))))</f>
        <v>0</v>
      </c>
      <c r="U23" s="157" t="str">
        <f>IF($Q$5=32,0,IF($Q$5=33,0,IF($Q$5=34,0,IF($Q$5=35,0,IF($Q$5=36,0,IF($Q$5=37,R23,IF($Q$5=38,R23,IF($Q$5=39,R23,IF($Q$5=40,R10,IF($Q$5=41,R10,IF($Q$5=42,R10,IF($Q$5=43,R24,IF($Q$5=44,R24,IF($Q$5=45,R24,IF($Q$5=46,R24,IF($Q$5=47,R24,IF($Q$5=48,R24,IF($Q$5=49,R24,IF($Q$5=50,R24,IF($Q$5=51,R24,IF($Q$5=52,R24,IF($Q$5=53,R24,IF($Q$5=54,O25,0)))))))))))))))))))))))</f>
        <v>A1</v>
      </c>
      <c r="V23" s="148" t="str">
        <f>IF($Q$5=37,T12,IF($Q$5=38,T11,IF($Q$5=39,T12,IF($Q$5=40,T12,IF($Q$5=41,S11,IF($Q$5=42,S11,IF($Q$5=43,T12,IF($Q$5=44,S10,IF($Q$5=45,S10,IF($Q$5=46,S10,IF($Q$5=47,S25,IF($Q$5=48,S25,IF($Q$5=49,S11,IF($Q$5=50,S24,IF($Q$5=51,S24,IF($Q$5=52,S25,IF($Q$5=53,S25,IF($Q$5=54,S25,0))))))))))))))))))</f>
        <v>B3</v>
      </c>
      <c r="W23" s="149">
        <f>IF($Q$5=42,T12,IF($Q$5=43,0,IF($Q$5=44,0,IF($Q$5=45,0,IF($Q$5=46,T11,IF($Q$5=47,T11,IF($Q$5=48,T10,IF($Q$5=49,0,IF($Q$5=50,T10,IF($Q$5=51,T24,IF($Q$5=52,T25,IF($Q$5=53,T26,IF($Q$5=54,T26,0)))))))))))))</f>
        <v>0</v>
      </c>
      <c r="X23" s="18"/>
      <c r="Y23" s="383"/>
      <c r="Z23" s="11" t="str">
        <f>+O13</f>
        <v>A4</v>
      </c>
      <c r="AA23" s="27">
        <v>10</v>
      </c>
      <c r="AB23" s="23">
        <f>IF(AA19+AA23=0,0,IF(AA19=AA23,2,IF(AA19&lt;AA23,3,1)))</f>
        <v>3</v>
      </c>
      <c r="AC23" s="12">
        <f>AA23-AA19</f>
        <v>5</v>
      </c>
      <c r="AD23" s="6"/>
      <c r="AE23" s="11" t="str">
        <f>+R13</f>
        <v>A5</v>
      </c>
      <c r="AF23" s="108">
        <v>12</v>
      </c>
      <c r="AG23" s="23">
        <f>IF(AF19+AF23=0,0,IF(AF19=AF23,2,IF(AF19&lt;AF23,3,1)))</f>
        <v>3</v>
      </c>
      <c r="AH23" s="12">
        <f>AF23-AF19</f>
        <v>7</v>
      </c>
      <c r="AI23" s="6"/>
      <c r="AJ23" s="11" t="str">
        <f>+U13</f>
        <v>A6</v>
      </c>
      <c r="AK23" s="29">
        <v>9</v>
      </c>
      <c r="AL23" s="23">
        <f>IF(AK19+AK23=0,0,IF(AK19=AK23,2,IF(AK19&lt;AK23,3,1)))</f>
        <v>1</v>
      </c>
      <c r="AM23" s="12">
        <f>AK23-AK19</f>
        <v>-4</v>
      </c>
      <c r="AN23" s="18"/>
      <c r="AO23" s="44">
        <v>15</v>
      </c>
      <c r="AP23" s="278" t="str">
        <f>+Inscrits!B17</f>
        <v>A15</v>
      </c>
      <c r="AQ23" s="247">
        <f t="shared" si="3"/>
        <v>1</v>
      </c>
      <c r="AR23" s="82">
        <f t="shared" si="4"/>
        <v>-10</v>
      </c>
      <c r="AS23" s="184">
        <f t="shared" si="5"/>
        <v>1</v>
      </c>
      <c r="AT23" s="250">
        <f t="shared" si="6"/>
        <v>3</v>
      </c>
      <c r="AU23" s="82">
        <f t="shared" si="7"/>
        <v>11</v>
      </c>
      <c r="AV23" s="252">
        <f t="shared" si="8"/>
        <v>12</v>
      </c>
      <c r="AW23" s="247">
        <f t="shared" si="9"/>
        <v>1</v>
      </c>
      <c r="AX23" s="82">
        <f t="shared" si="10"/>
        <v>-8</v>
      </c>
      <c r="AY23" s="252">
        <f t="shared" si="11"/>
        <v>1</v>
      </c>
      <c r="AZ23" s="247">
        <f t="shared" si="17"/>
        <v>5</v>
      </c>
      <c r="BA23" s="82">
        <f t="shared" si="12"/>
        <v>-7</v>
      </c>
      <c r="BB23" s="252">
        <f t="shared" si="13"/>
        <v>14</v>
      </c>
      <c r="BC23" s="32">
        <f t="shared" si="14"/>
        <v>-7</v>
      </c>
      <c r="BD23" s="47">
        <f t="shared" si="15"/>
        <v>0</v>
      </c>
      <c r="BE23" s="304">
        <f t="shared" si="16"/>
        <v>23.068600230000001</v>
      </c>
      <c r="BF23" s="82">
        <f>IF(AP23="","",SMALL(BE$9:BE$62,ROWS(AZ$9:AZ23)))</f>
        <v>6.9573001300000001</v>
      </c>
      <c r="BH23" s="78" t="str">
        <f>IF(OR(AP23="",AZ23=""),"",INDEX($AP$9:$AP$63,MATCH(BF23,$BE$9:BE$62,0)))</f>
        <v>A5</v>
      </c>
      <c r="BI23" s="255">
        <f t="shared" si="0"/>
        <v>7</v>
      </c>
      <c r="BJ23" s="7">
        <f t="shared" si="1"/>
        <v>4</v>
      </c>
      <c r="BK23" s="7">
        <f t="shared" si="2"/>
        <v>27</v>
      </c>
      <c r="BL23" s="17">
        <f>IF(BF23="","",IF(AND(BI22=BI23,BJ22=BJ23,BK22=BK23),BL22,$BL$9+14))</f>
        <v>15</v>
      </c>
      <c r="BM23" s="22"/>
      <c r="BN23" s="225"/>
    </row>
    <row r="24" spans="1:66" ht="21.6" thickBot="1" x14ac:dyDescent="0.35">
      <c r="A24" s="111">
        <v>15</v>
      </c>
      <c r="B24" s="330" t="s">
        <v>80</v>
      </c>
      <c r="C24" s="237">
        <f>IF($Q$5&gt;=43,15,0)</f>
        <v>15</v>
      </c>
      <c r="D24" s="335" t="s">
        <v>98</v>
      </c>
      <c r="E24" s="237">
        <f>IF($Q$5&gt;=44,15,0)</f>
        <v>15</v>
      </c>
      <c r="F24" s="333" t="s">
        <v>116</v>
      </c>
      <c r="G24" s="237">
        <f>IF($Q$5&gt;=45,15,0)</f>
        <v>15</v>
      </c>
      <c r="H24" s="18"/>
      <c r="I24" s="165">
        <v>15</v>
      </c>
      <c r="J24" s="172" t="str">
        <f>IF(ISNA(MATCH(I24,$C$10:$C$27,0)),"",INDEX(B$10:$B$27,MATCH(I24,$C$10:$C$27,0)))</f>
        <v>A15</v>
      </c>
      <c r="K24" s="117" t="str">
        <f>IF(ISNA(MATCH(I24,$E$10:$E$27,0)),"",INDEX($D$10:D$27,MATCH(I24,$E$10:$E$27,0)))</f>
        <v>B15</v>
      </c>
      <c r="L24" s="160" t="str">
        <f>IF(ISNA(MATCH(I24,$G$10:$G$27,0)),"",INDEX($F$10:F$27,MATCH(I24,$G$10:$G$27,0)))</f>
        <v>C15</v>
      </c>
      <c r="M24" s="130"/>
      <c r="N24" s="67">
        <v>8</v>
      </c>
      <c r="O24" s="127" t="str">
        <f>IF($Q$5=43,J24,IF($Q$5=44,J24,IF($Q$5=45,J24,IF($Q$5=46,J24,IF($Q$5=47,J24,IF($Q$5=48,J24,IF($Q$5=49,J24,IF($Q$5=50,J24,IF($Q$5=51,J24,IF($Q$5=52,J24,IF($Q$5=53,J24,IF($Q$5=54,J24,0))))))))))))</f>
        <v>A15</v>
      </c>
      <c r="P24" s="122" t="str">
        <f>IF($Q$5=43,L23,IF($Q$5=44,L22,IF($Q$5=45,L23,IF($Q$5=46,K24,IF($Q$5=47,K24,IF($Q$5=48,K24,IF($Q$5=49,K24,IF($Q$5=50,K24,IF($Q$5=51,K24,IF($Q$5=52,K24,IF($Q$5=53,K24,IF($Q$5=54,K24,0))))))))))))</f>
        <v>C14</v>
      </c>
      <c r="Q24" s="128">
        <f>IF($Q$5=43,0,IF($Q$5=44,0,IF($Q$5=45,0,IF($Q$5=46,0,IF($Q$5=47,L24,IF($Q$5=48,L24,IF($Q$5=49,0,IF($Q$5=50,0,IF($Q$5=51,L24,IF($Q$5=52,L24,IF($Q$5=53,L24,IF($Q$5=54,L24,0))))))))))))</f>
        <v>0</v>
      </c>
      <c r="R24" s="140" t="str">
        <f>IF($Q$5=43,J10,IF($Q$5=44,J10,IF($Q$5=45,J10,IF($Q$5=46,J25,IF($Q$5=47,J25,IF($Q$5=48,J25,IF($Q$5=49,J25,IF($Q$5=50,J25,IF($Q$5=51,J25,IF($Q$5=52,J25,IF($Q$5=53,J25,IF($Q$5=54,J25,0))))))))))))</f>
        <v>A1</v>
      </c>
      <c r="S24" s="132" t="str">
        <f>IF($Q$5=43,L12,IF($Q$5=44,L12,IF($Q$5=45,L11,IF($Q$5=46,K11,IF($Q$5=47,K10,IF($Q$5=48,K10,IF($Q$5=49,K10,IF($Q$5=50,K10,IF($Q$5=51,K10,IF($Q$5=52,K26,IF($Q$5=53,K26,IF($Q$5=54,K26,0))))))))))))</f>
        <v>C2</v>
      </c>
      <c r="T24" s="151">
        <f>IF($Q$5=47,L12,IF($Q$5=48,L11,IF($Q$5=49,0,IF($Q$5=50,0,IF($Q$5=51,L12,IF($Q$5=52,L11,IF($Q$5=53,L10,IF($Q$5=54,L27,0))))))))</f>
        <v>0</v>
      </c>
      <c r="U24" s="140" t="str">
        <f>IF($Q$5=42,0,IF($Q$5=43,R10,IF($Q$5=44,R10,IF($Q$5=45,R10,IF($Q$5=46,R25,IF($Q$5=47,R25,IF($Q$5=48,O10,IF($Q$5=49,R25,IF($Q$5=50,R25,IF($Q$5=51,R25,IF($Q$5=52,R25,IF($Q$5=53,O26,IF($Q$5=54,O26,0)))))))))))))</f>
        <v>A2</v>
      </c>
      <c r="V24" s="138" t="str">
        <f>IF($Q$5=43,T10,IF($Q$5=44,T11,IF($Q$5=45,T11,IF($Q$5=46,S11,IF($Q$5=47,S10,IF($Q$5=48,S10,IF($Q$5=49,S10,IF($Q$5=50,S25,IF($Q$5=51,S25,IF($Q$5=52,S26,IF($Q$5=53,S26,IF($Q$5=54,S26,0))))))))))))</f>
        <v>C5</v>
      </c>
      <c r="W24" s="145">
        <f>IF($Q$5=47,T12,IF($Q$5=48,T11,IF($Q$5=49,0,IF($Q$5=50,0,IF($Q$5=51,T10,IF($Q$5=52,T10,IF($Q$5=53,T10,IF($Q$5=54,T27,0))))))))</f>
        <v>0</v>
      </c>
      <c r="X24" s="18"/>
      <c r="Y24" s="383"/>
      <c r="Z24" s="11" t="str">
        <f>+P13</f>
        <v>B4</v>
      </c>
      <c r="AA24" s="57">
        <f>IF(ISTEXT(Z24),AA23,0)</f>
        <v>10</v>
      </c>
      <c r="AB24" s="14">
        <f>IF(ISTEXT(Z24),AB23,0)</f>
        <v>3</v>
      </c>
      <c r="AC24" s="15">
        <f>IF(ISTEXT(Z24),AC23,0)</f>
        <v>5</v>
      </c>
      <c r="AD24" s="6"/>
      <c r="AE24" s="11" t="str">
        <f>+S13</f>
        <v>B6</v>
      </c>
      <c r="AF24" s="14">
        <f>IF(ISTEXT(AE24),AF23,0)</f>
        <v>12</v>
      </c>
      <c r="AG24" s="14">
        <f>IF(ISTEXT(AE24),AG23,0)</f>
        <v>3</v>
      </c>
      <c r="AH24" s="15">
        <f>IF(ISTEXT(AE24),AH23,0)</f>
        <v>7</v>
      </c>
      <c r="AI24" s="6"/>
      <c r="AJ24" s="11" t="str">
        <f>+V13</f>
        <v>B8</v>
      </c>
      <c r="AK24" s="14">
        <f>IF(ISTEXT(AJ24),AK23,0)</f>
        <v>9</v>
      </c>
      <c r="AL24" s="14">
        <f>IF(ISTEXT(AJ24),AL23,0)</f>
        <v>1</v>
      </c>
      <c r="AM24" s="15">
        <f>IF(ISTEXT(AJ24),AM23,0)</f>
        <v>-4</v>
      </c>
      <c r="AN24" s="18"/>
      <c r="AO24" s="44">
        <v>16</v>
      </c>
      <c r="AP24" s="278" t="str">
        <f>+Inscrits!B18</f>
        <v>A16</v>
      </c>
      <c r="AQ24" s="247" t="str">
        <f t="shared" si="3"/>
        <v xml:space="preserve"> </v>
      </c>
      <c r="AR24" s="82" t="str">
        <f t="shared" si="4"/>
        <v xml:space="preserve"> </v>
      </c>
      <c r="AS24" s="184" t="str">
        <f t="shared" si="5"/>
        <v xml:space="preserve"> </v>
      </c>
      <c r="AT24" s="250" t="str">
        <f t="shared" si="6"/>
        <v xml:space="preserve"> </v>
      </c>
      <c r="AU24" s="82" t="str">
        <f t="shared" si="7"/>
        <v xml:space="preserve"> </v>
      </c>
      <c r="AV24" s="252" t="str">
        <f t="shared" si="8"/>
        <v xml:space="preserve"> </v>
      </c>
      <c r="AW24" s="247" t="str">
        <f t="shared" si="9"/>
        <v xml:space="preserve"> </v>
      </c>
      <c r="AX24" s="82" t="str">
        <f t="shared" si="10"/>
        <v xml:space="preserve"> </v>
      </c>
      <c r="AY24" s="252" t="str">
        <f t="shared" si="11"/>
        <v xml:space="preserve"> </v>
      </c>
      <c r="AZ24" s="247">
        <f t="shared" si="17"/>
        <v>0</v>
      </c>
      <c r="BA24" s="82">
        <f t="shared" si="12"/>
        <v>0</v>
      </c>
      <c r="BB24" s="252">
        <f t="shared" si="13"/>
        <v>0</v>
      </c>
      <c r="BC24" s="32">
        <f t="shared" si="14"/>
        <v>0</v>
      </c>
      <c r="BD24" s="47">
        <f t="shared" si="15"/>
        <v>0</v>
      </c>
      <c r="BE24" s="304">
        <f t="shared" si="16"/>
        <v>46.000000239999999</v>
      </c>
      <c r="BF24" s="82">
        <f>IF(AP24="","",SMALL(BE$9:BE$62,ROWS(AZ$9:AZ24)))</f>
        <v>6.9779002999999999</v>
      </c>
      <c r="BH24" s="78" t="str">
        <f>IF(OR(AP24="",AZ24=""),"",INDEX($AP$9:$AP$63,MATCH(BF24,$BE$9:BE$62,0)))</f>
        <v>B4</v>
      </c>
      <c r="BI24" s="255">
        <f t="shared" si="0"/>
        <v>7</v>
      </c>
      <c r="BJ24" s="7">
        <f t="shared" si="1"/>
        <v>2</v>
      </c>
      <c r="BK24" s="7">
        <f t="shared" si="2"/>
        <v>21</v>
      </c>
      <c r="BL24" s="17">
        <f>IF(BF24="","",IF(AND(BI23=BI24,BJ23=BJ24,BK23=BK24),BL23,$BL$9+15))</f>
        <v>16</v>
      </c>
      <c r="BM24" s="22"/>
      <c r="BN24" s="225"/>
    </row>
    <row r="25" spans="1:66" ht="21.6" thickBot="1" x14ac:dyDescent="0.35">
      <c r="A25" s="111">
        <v>16</v>
      </c>
      <c r="B25" s="330"/>
      <c r="C25" s="237">
        <f>IF($Q$5&gt;=46,16,0)</f>
        <v>0</v>
      </c>
      <c r="D25" s="330"/>
      <c r="E25" s="237">
        <f>IF($Q$5&gt;=47,16,0)</f>
        <v>0</v>
      </c>
      <c r="F25" s="333"/>
      <c r="G25" s="237">
        <f>IF($Q$5&gt;=48,16,0)</f>
        <v>0</v>
      </c>
      <c r="H25" s="18"/>
      <c r="I25" s="165">
        <v>16</v>
      </c>
      <c r="J25" s="172" t="str">
        <f>IF(ISNA(MATCH(I25,$C$10:$C$27,0)),"",INDEX(B$10:$B$27,MATCH(I25,$C$10:$C$27,0)))</f>
        <v/>
      </c>
      <c r="K25" s="117" t="str">
        <f>IF(ISNA(MATCH(I25,$E$10:$E$27,0)),"",INDEX($D$10:D$27,MATCH(I25,$E$10:$E$27,0)))</f>
        <v/>
      </c>
      <c r="L25" s="160" t="str">
        <f>IF(ISNA(MATCH(I25,$G$10:$G$27,0)),"",INDEX($F$10:F$27,MATCH(I25,$G$10:$G$27,0)))</f>
        <v/>
      </c>
      <c r="M25" s="130"/>
      <c r="N25" s="42" t="s">
        <v>5</v>
      </c>
      <c r="O25" s="121" t="str">
        <f>IF($Q$5=43,K23,IF($Q$5=44,K24,IF($Q$5=45,K24,IF($Q$5=46,J25,IF($Q$5=47,J25,IF($Q$5=48,J25,IF($Q$5=49,J25,IF($Q$5=50,J25,IF($Q$5=51,J25,IF($Q$5=52,J25,IF($Q$5=53,J25,IF($Q$5=54,J25,0))))))))))))</f>
        <v>B15</v>
      </c>
      <c r="P25" s="126" t="str">
        <f>IF($Q$5=43,L21,IF($Q$5=44,L23,IF($Q$5=45,L24,IF($Q$5=46,L24,IF($Q$5=47,K25,IF($Q$5=48,K25,IF($Q$5=49,L25,IF($Q$5=50,K25,IF($Q$5=51,K25,IF($Q$5=52,K25,IF($Q$5=53,K25,IF($Q$5=54,K25,0))))))))))))</f>
        <v>C15</v>
      </c>
      <c r="Q25" s="123">
        <f>IF($Q$5=48,L25,IF($Q$5=49,0,IF($Q$5=50,0,IF($Q$5=51,0,IF($Q$5=52,L25,IF($Q$5=53,L25,IF($Q$5=54,L25,0)))))))</f>
        <v>0</v>
      </c>
      <c r="R25" s="142" t="str">
        <f>IF($Q$5=43,O25,IF($Q$5=44,O25,IF($Q$5=45,O25,IF($Q$5=46,J10,IF($Q$5=47,J10,IF($Q$5=48,J10,IF($Q$5=49,J26,IF($Q$5=50,J26,IF($Q$5=51,J26,IF($Q$5=52,J26,IF($Q$5=53,J26,IF($Q$5=54,J26,0))))))))))))</f>
        <v>B15</v>
      </c>
      <c r="S25" s="143" t="str">
        <f>IF($Q$5=43,L10,IF($Q$5=44,K11,IF($Q$5=45,L12,IF($Q$5=46,L12,IF($Q$5=47,K11,IF($Q$5=48,K11,IF($Q$5=49,P27,IF($Q$5=50,K11,IF($Q$5=51,K11,IF($Q$5=52,K10,IF($Q$5=53,K27,IF($Q$5=54,K27,0))))))))))))</f>
        <v>C3</v>
      </c>
      <c r="T25" s="153">
        <f>IF($Q$5=48,L12,IF($Q$5=49,0,IF($Q$5=50,0,IF($Q$5=51,0,IF($Q$5=52,L12,IF($Q$5=53,L11,IF($Q$5=54,L10,0)))))))</f>
        <v>0</v>
      </c>
      <c r="U25" s="156" t="str">
        <f>IF($Q$5=43,R25,IF($Q$5=44,R25,IF($Q$5=45,R25,IF($Q$5=46,R10,IF($Q$5=47,R10,IF($Q$5=48,R10,IF($Q$5=49,R26,IF($Q$5=50,R26,IF($Q$5=51,R26,IF($Q$5=52,O27,IF($Q$5=53,R26,IF($Q$5=54,O27,0))))))))))))</f>
        <v>B15</v>
      </c>
      <c r="V25" s="148" t="str">
        <f>IF($Q$5=43,T11,IF($Q$5=44,T12,IF($Q$5=45,T12,IF($Q$5=46,T12,IF($Q$5=47,S11,IF($Q$5=48,S11,IF($Q$5=49,S25,IF($Q$5=50,S10,IF($Q$5=51,S10,IF($Q$5=52,S10,IF($Q$5=53,S27,IF($Q$5=54,S27,0))))))))))))</f>
        <v>C6</v>
      </c>
      <c r="W25" s="149">
        <f>IF($Q$5=48,T12,IF($Q$5=49,0,IF($Q$5=50,0,IF($Q$5=51,0,IF($Q$5=52,T11,IF($Q$5=53,T11,IF($Q$5=54,T10,0)))))))</f>
        <v>0</v>
      </c>
      <c r="X25" s="18"/>
      <c r="Y25" s="384"/>
      <c r="Z25" s="13" t="str">
        <f>+Q13</f>
        <v>C4</v>
      </c>
      <c r="AA25" s="57">
        <f>IF(ISTEXT(Z25),AA23,0)</f>
        <v>10</v>
      </c>
      <c r="AB25" s="14">
        <f>IF(ISTEXT(Z25),AB23,0)</f>
        <v>3</v>
      </c>
      <c r="AC25" s="15">
        <f>IF(ISTEXT(Z25),AC23,0)</f>
        <v>5</v>
      </c>
      <c r="AD25" s="6"/>
      <c r="AE25" s="13" t="str">
        <f>+T13</f>
        <v>C7</v>
      </c>
      <c r="AF25" s="14">
        <f>IF(ISTEXT(AE25),AF23,0)</f>
        <v>12</v>
      </c>
      <c r="AG25" s="14">
        <f>IF(ISTEXT(AE25),AG23,0)</f>
        <v>3</v>
      </c>
      <c r="AH25" s="15">
        <f>IF(ISTEXT(AE25),AH23,0)</f>
        <v>7</v>
      </c>
      <c r="AI25" s="6"/>
      <c r="AJ25" s="13" t="str">
        <f>+W13</f>
        <v>C10</v>
      </c>
      <c r="AK25" s="14">
        <f>IF(ISTEXT(AJ25),AK23,0)</f>
        <v>9</v>
      </c>
      <c r="AL25" s="14">
        <f>IF(ISTEXT(AJ25),AL23,0)</f>
        <v>1</v>
      </c>
      <c r="AM25" s="15">
        <f>IF(ISTEXT(AJ25),AM23,0)</f>
        <v>-4</v>
      </c>
      <c r="AN25" s="18"/>
      <c r="AO25" s="44">
        <v>17</v>
      </c>
      <c r="AP25" s="278" t="str">
        <f>+Inscrits!B19</f>
        <v>A17</v>
      </c>
      <c r="AQ25" s="247" t="str">
        <f t="shared" si="3"/>
        <v xml:space="preserve"> </v>
      </c>
      <c r="AR25" s="82" t="str">
        <f t="shared" si="4"/>
        <v xml:space="preserve"> </v>
      </c>
      <c r="AS25" s="184" t="str">
        <f t="shared" si="5"/>
        <v xml:space="preserve"> </v>
      </c>
      <c r="AT25" s="250" t="str">
        <f t="shared" si="6"/>
        <v xml:space="preserve"> </v>
      </c>
      <c r="AU25" s="82" t="str">
        <f t="shared" si="7"/>
        <v xml:space="preserve"> </v>
      </c>
      <c r="AV25" s="252" t="str">
        <f t="shared" si="8"/>
        <v xml:space="preserve"> </v>
      </c>
      <c r="AW25" s="247" t="str">
        <f t="shared" si="9"/>
        <v xml:space="preserve"> </v>
      </c>
      <c r="AX25" s="82" t="str">
        <f t="shared" si="10"/>
        <v xml:space="preserve"> </v>
      </c>
      <c r="AY25" s="252" t="str">
        <f t="shared" si="11"/>
        <v xml:space="preserve"> </v>
      </c>
      <c r="AZ25" s="247">
        <f t="shared" si="17"/>
        <v>0</v>
      </c>
      <c r="BA25" s="82">
        <f t="shared" si="12"/>
        <v>0</v>
      </c>
      <c r="BB25" s="252">
        <f t="shared" si="13"/>
        <v>0</v>
      </c>
      <c r="BC25" s="32">
        <f t="shared" si="14"/>
        <v>0</v>
      </c>
      <c r="BD25" s="47">
        <f t="shared" si="15"/>
        <v>0</v>
      </c>
      <c r="BE25" s="304">
        <f t="shared" si="16"/>
        <v>46.000000249999999</v>
      </c>
      <c r="BF25" s="82">
        <f>IF(AP25="","",SMALL(BE$9:BE$62,ROWS(AZ$9:AZ25)))</f>
        <v>6.98770033</v>
      </c>
      <c r="BH25" s="78" t="str">
        <f>IF(OR(AP25="",AZ25=""),"",INDEX($AP$9:$AP$63,MATCH(BF25,$BE$9:BE$62,0)))</f>
        <v>B7</v>
      </c>
      <c r="BI25" s="255">
        <f t="shared" si="0"/>
        <v>7</v>
      </c>
      <c r="BJ25" s="7">
        <f t="shared" si="1"/>
        <v>1</v>
      </c>
      <c r="BK25" s="7">
        <f t="shared" si="2"/>
        <v>23</v>
      </c>
      <c r="BL25" s="17">
        <f>IF(BF25="","",IF(AND(BI24=BI25,BJ24=BJ25,BK24=BK25),BL24,$BL$9+16))</f>
        <v>17</v>
      </c>
      <c r="BM25" s="22"/>
      <c r="BN25" s="225"/>
    </row>
    <row r="26" spans="1:66" ht="21.6" thickBot="1" x14ac:dyDescent="0.35">
      <c r="A26" s="111">
        <v>17</v>
      </c>
      <c r="B26" s="330"/>
      <c r="C26" s="235">
        <f>IF($Q$5&gt;=49,17,0)</f>
        <v>0</v>
      </c>
      <c r="D26" s="330"/>
      <c r="E26" s="235">
        <f>IF($Q$5&gt;=50,17,0)</f>
        <v>0</v>
      </c>
      <c r="F26" s="333"/>
      <c r="G26" s="235">
        <f>IF($Q$5&gt;=51,17,0)</f>
        <v>0</v>
      </c>
      <c r="H26" s="114"/>
      <c r="I26" s="168">
        <v>17</v>
      </c>
      <c r="J26" s="173" t="str">
        <f>IF(ISNA(MATCH(I26,$C$10:$C$27,0)),"",INDEX(B$10:$B$27,MATCH(I26,$C$10:$C$27,0)))</f>
        <v/>
      </c>
      <c r="K26" s="169" t="str">
        <f>IF(ISNA(MATCH(I26,$E$10:$E$27,0)),"",INDEX($D$10:D$27,MATCH(I26,$E$10:$E$27,0)))</f>
        <v/>
      </c>
      <c r="L26" s="174" t="str">
        <f>IF(ISNA(MATCH(I26,$G$10:$G$27,0)),"",INDEX($F$10:F$27,MATCH(I26,$G$10:$G$27,0)))</f>
        <v/>
      </c>
      <c r="N26" s="67">
        <v>9</v>
      </c>
      <c r="O26" s="127">
        <f>IF($Q$5=49,J26,IF($Q$5=50,J26,IF($Q$5=51,J26,IF($Q$5=52,J26,IF($Q$5=53,J26,IF($Q$5=54,J26,0))))))</f>
        <v>0</v>
      </c>
      <c r="P26" s="122">
        <f>IF($Q$5=49,L24,IF($Q$5=50,L24,IF($Q$5=51,L25,IF($Q$5=52,K26,IF($Q$5=53,K26,IF($Q$5=54,K26,0))))))</f>
        <v>0</v>
      </c>
      <c r="Q26" s="128">
        <f>IF($Q$5=51,0,IF($Q$5=52,0,IF($Q$5=53,L26,IF($Q$5=54,L26,0))))</f>
        <v>0</v>
      </c>
      <c r="R26" s="140">
        <f>IF($Q$5=43,0,IF($Q$5=44,0,IF($Q$5=45,0,IF($Q$5=46,0,IF($Q$5=47,0,IF($Q$5=48,0,IF($Q$5=49,O10,IF($Q$5=50,O10,IF($Q$5=51,O10,IF($Q$5=52,O27,IF($Q$5=53,O27,IF($Q$5=54,O27,0))))))))))))</f>
        <v>0</v>
      </c>
      <c r="S26" s="132">
        <f>IF($Q$5=43,0,IF($Q$5=44,0,IF($Q$5=45,0,IF($Q$5=46,0,IF($Q$5=47,0,IF($Q$5=48,0,IF($Q$5=49,P26,IF($Q$5=50,Q11,IF($Q$5=51,P27,IF($Q$5=52,P11,IF($Q$5=53,P10,IF($Q$5=54,P10,0))))))))))))</f>
        <v>0</v>
      </c>
      <c r="T26" s="177">
        <f>IF($Q$5=53,Q12,IF($Q$5=54,Q11,0))</f>
        <v>0</v>
      </c>
      <c r="U26" s="180">
        <f>IF($Q$5=43,0,IF($Q$5=44,0,IF($Q$5=45,0,IF($Q$5=46,0,IF($Q$5=47,0,IF($Q$5=48,0,IF($Q$5=49,R10,IF($Q$5=50,R10,IF($Q$5=51,R10,IF($Q$5=52,R27,IF($Q$5=53,R27,IF($Q$5=54,R27,0))))))))))))</f>
        <v>0</v>
      </c>
      <c r="V26" s="138">
        <f>IF($Q$5=43,0,IF($Q$5=44,0,IF($Q$5=45,0,IF($Q$5=46,0,IF($Q$5=47,0,IF($Q$5=48,0,IF($Q$5=49,S27,IF($Q$5=50,T11,IF($Q$5=51,T11,IF($Q$5=52,S11,IF($Q$5=53,S10,IF($Q$5=54,S10,0))))))))))))</f>
        <v>0</v>
      </c>
      <c r="W26" s="145">
        <f>IF($Q$5=43,0,IF($Q$5=44,0,IF($Q$5=45,0,IF($Q$5=46,0,IF($Q$5=47,0,IF($Q$5=48,0,IF($Q$5=49,0,IF($Q$5=50,0,IF($Q$5=51,0,IF($Q$5=52,0,IF($Q$5=53,T12,IF($Q$5=54,T11,0))))))))))))</f>
        <v>0</v>
      </c>
      <c r="X26" s="18"/>
      <c r="Y26" s="20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18"/>
      <c r="AO26" s="44">
        <v>18</v>
      </c>
      <c r="AP26" s="278" t="str">
        <f>+Inscrits!B20</f>
        <v>A18</v>
      </c>
      <c r="AQ26" s="247" t="str">
        <f t="shared" si="3"/>
        <v xml:space="preserve"> </v>
      </c>
      <c r="AR26" s="82" t="str">
        <f t="shared" si="4"/>
        <v xml:space="preserve"> </v>
      </c>
      <c r="AS26" s="184" t="str">
        <f t="shared" si="5"/>
        <v xml:space="preserve"> </v>
      </c>
      <c r="AT26" s="250" t="str">
        <f t="shared" si="6"/>
        <v xml:space="preserve"> </v>
      </c>
      <c r="AU26" s="82" t="str">
        <f t="shared" si="7"/>
        <v xml:space="preserve"> </v>
      </c>
      <c r="AV26" s="252" t="str">
        <f t="shared" si="8"/>
        <v xml:space="preserve"> </v>
      </c>
      <c r="AW26" s="247" t="str">
        <f t="shared" si="9"/>
        <v xml:space="preserve"> </v>
      </c>
      <c r="AX26" s="82" t="str">
        <f t="shared" si="10"/>
        <v xml:space="preserve"> </v>
      </c>
      <c r="AY26" s="252" t="str">
        <f t="shared" si="11"/>
        <v xml:space="preserve"> </v>
      </c>
      <c r="AZ26" s="247">
        <f t="shared" si="17"/>
        <v>0</v>
      </c>
      <c r="BA26" s="82">
        <f t="shared" si="12"/>
        <v>0</v>
      </c>
      <c r="BB26" s="252">
        <f t="shared" si="13"/>
        <v>0</v>
      </c>
      <c r="BC26" s="32">
        <f t="shared" si="14"/>
        <v>0</v>
      </c>
      <c r="BD26" s="47">
        <f t="shared" si="15"/>
        <v>0</v>
      </c>
      <c r="BE26" s="304">
        <f t="shared" si="16"/>
        <v>46.00000026</v>
      </c>
      <c r="BF26" s="82">
        <f>IF(AP26="","",SMALL(BE$9:BE$62,ROWS(AZ$9:AZ26)))</f>
        <v>6.9881002200000006</v>
      </c>
      <c r="BH26" s="78" t="str">
        <f>IF(OR(AP26="",AZ26=""),"",INDEX($AP$9:$AP$63,MATCH(BF26,$BE$9:BE$62,0)))</f>
        <v>A14</v>
      </c>
      <c r="BI26" s="255">
        <f t="shared" si="0"/>
        <v>7</v>
      </c>
      <c r="BJ26" s="7">
        <f t="shared" si="1"/>
        <v>1</v>
      </c>
      <c r="BK26" s="7">
        <f t="shared" si="2"/>
        <v>19</v>
      </c>
      <c r="BL26" s="17">
        <f>IF(BF26="","",IF(AND(BI25=BI26,BJ25=BJ26,BK25=BK26),BL25,$BL$9+17))</f>
        <v>18</v>
      </c>
      <c r="BM26" s="22"/>
      <c r="BN26" s="225"/>
    </row>
    <row r="27" spans="1:66" ht="21.6" thickBot="1" x14ac:dyDescent="0.35">
      <c r="A27" s="166">
        <v>18</v>
      </c>
      <c r="B27" s="331"/>
      <c r="C27" s="238">
        <f>IF($Q$5&gt;=52,18,0)</f>
        <v>0</v>
      </c>
      <c r="D27" s="331"/>
      <c r="E27" s="238">
        <f>IF($Q$5&gt;=53,18,0)</f>
        <v>0</v>
      </c>
      <c r="F27" s="334"/>
      <c r="G27" s="238">
        <f>IF($Q$5&gt;=54,18,0)</f>
        <v>0</v>
      </c>
      <c r="H27" s="114"/>
      <c r="I27" s="167">
        <v>18</v>
      </c>
      <c r="J27" s="175" t="str">
        <f>IF(ISNA(MATCH(I27,$C$10:$C$27,0)),"",INDEX(B$10:$B$27,MATCH(I27,$C$10:$C$27,0)))</f>
        <v/>
      </c>
      <c r="K27" s="161" t="str">
        <f>IF(ISNA(MATCH(I27,$E$10:$E$27,0)),"",INDEX($D$10:D$27,MATCH(I27,$E$10:$E$27,0)))</f>
        <v/>
      </c>
      <c r="L27" s="162" t="str">
        <f>IF(ISNA(MATCH(I27,$G$10:$G$27,0)),"",INDEX($F$10:F$27,MATCH(I27,$G$10:$G$27,0)))</f>
        <v/>
      </c>
      <c r="N27" s="42" t="s">
        <v>5</v>
      </c>
      <c r="O27" s="121">
        <f>IF($Q$5=49,K25,IF($Q$5=50,K26,IF($Q$5=51,K26,IF($Q$5=52,J27,IF($Q$5=53,J27,IF($Q$5=54,J27,0))))))</f>
        <v>0</v>
      </c>
      <c r="P27" s="126">
        <f>IF($Q$5=49,L23,IF($Q$5=50,L25,IF($Q$5=51,L26,IF($Q$5=52,L26,IF($Q$5=53,K27,IF($Q$5=54,K27,0))))))</f>
        <v>0</v>
      </c>
      <c r="Q27" s="176">
        <f>IF($Q$5=54,L27,0)</f>
        <v>0</v>
      </c>
      <c r="R27" s="178">
        <f>IF($Q$5=43,0,IF($Q$5=44,0,IF($Q$5=45,0,IF($Q$5=46,0,IF($Q$5=47,0,IF($Q$5=48,0,IF($Q$5=49,O27,IF($Q$5=50,O27,IF($Q$5=51,O27,IF($Q$5=52,O10,IF($Q$5=53,O10,IF($Q$5=54,O10,0))))))))))))</f>
        <v>0</v>
      </c>
      <c r="S27" s="126">
        <f>IF($Q$5=43,0,IF($Q$5=44,0,IF($Q$5=45,0,IF($Q$5=46,0,IF($Q$5=47,0,IF($Q$5=48,0,IF($Q$5=49,P25,IF($Q$5=50,Q12,IF($Q$5=51,P26,IF($Q$5=52,P27,IF($Q$5=53,P11,IF($Q$5=54,P11,0))))))))))))</f>
        <v>0</v>
      </c>
      <c r="T27" s="179">
        <f>IF($Q$5=54,Q12,0)</f>
        <v>0</v>
      </c>
      <c r="U27" s="181">
        <f>IF($Q$5=43,0,IF($Q$5=44,0,IF($Q$5=45,0,IF($Q$5=46,0,IF($Q$5=47,0,IF($Q$5=48,0,IF($Q$5=49,R27,IF($Q$5=50,R27,IF($Q$5=51,R27,IF($Q$5=52,R10,IF($Q$5=53,R10,IF($Q$5=54,R10,0))))))))))))</f>
        <v>0</v>
      </c>
      <c r="V27" s="148">
        <f>IF($Q$5=43,0,IF($Q$5=44,0,IF($Q$5=45,0,IF($Q$5=46,0,IF($Q$5=47,0,IF($Q$5=48,0,IF($Q$5=49,S26,IF($Q$5=50,T12,IF($Q$5=51,T12,IF($Q$5=52,T12,IF($Q$5=53,S11,IF($Q$5=54,S11,0))))))))))))</f>
        <v>0</v>
      </c>
      <c r="W27" s="149">
        <f>IF($Q$5=43,0,IF($Q$5=44,0,IF($Q$5=45,0,IF($Q$5=46,0,IF($Q$5=47,0,IF($Q$5=48,0,IF($Q$5=49,0,IF($Q$5=50,0,IF($Q$5=51,0,IF($Q$5=52,0,IF($Q$5=53,0,IF($Q$5=54,T12,0))))))))))))</f>
        <v>0</v>
      </c>
      <c r="X27" s="18"/>
      <c r="Y27" s="382">
        <v>3</v>
      </c>
      <c r="Z27" s="9" t="str">
        <f>+O14</f>
        <v>A5</v>
      </c>
      <c r="AA27" s="25">
        <v>2</v>
      </c>
      <c r="AB27" s="38">
        <f>IF(AA27+AA31=0,0,IF(AA27=AA31,2,IF(AA27&gt;AA31,3,1)))</f>
        <v>1</v>
      </c>
      <c r="AC27" s="10">
        <f>AA27-AA31</f>
        <v>-7</v>
      </c>
      <c r="AD27" s="6"/>
      <c r="AE27" s="9" t="str">
        <f>+R14</f>
        <v>A6</v>
      </c>
      <c r="AF27" s="107">
        <v>9</v>
      </c>
      <c r="AG27" s="38">
        <f>IF(AF27+AF31=0,0,IF(AF27=AF31,2,IF(AF27&gt;AF31,3,1)))</f>
        <v>3</v>
      </c>
      <c r="AH27" s="10">
        <f>AF27-AF31</f>
        <v>8</v>
      </c>
      <c r="AI27" s="6"/>
      <c r="AJ27" s="9" t="str">
        <f>+U14</f>
        <v>A7</v>
      </c>
      <c r="AK27" s="28">
        <v>5</v>
      </c>
      <c r="AL27" s="38">
        <f>IF(AK27+AK31=0,0,IF(AK27=AK31,2,IF(AK27&gt;AK31,3,1)))</f>
        <v>1</v>
      </c>
      <c r="AM27" s="10">
        <f>AK27-AK31</f>
        <v>-1</v>
      </c>
      <c r="AN27" s="18"/>
      <c r="AO27" s="44">
        <v>19</v>
      </c>
      <c r="AP27" s="279" t="str">
        <f>+Inscrits!D3</f>
        <v>B1</v>
      </c>
      <c r="AQ27" s="247">
        <f t="shared" si="3"/>
        <v>3</v>
      </c>
      <c r="AR27" s="82">
        <f t="shared" si="4"/>
        <v>3</v>
      </c>
      <c r="AS27" s="184">
        <f t="shared" si="5"/>
        <v>9</v>
      </c>
      <c r="AT27" s="250">
        <f t="shared" si="6"/>
        <v>3</v>
      </c>
      <c r="AU27" s="82">
        <f t="shared" si="7"/>
        <v>11</v>
      </c>
      <c r="AV27" s="252">
        <f t="shared" si="8"/>
        <v>12</v>
      </c>
      <c r="AW27" s="247">
        <f t="shared" si="9"/>
        <v>3</v>
      </c>
      <c r="AX27" s="82">
        <f t="shared" si="10"/>
        <v>3</v>
      </c>
      <c r="AY27" s="252">
        <f t="shared" si="11"/>
        <v>8</v>
      </c>
      <c r="AZ27" s="247">
        <f t="shared" si="17"/>
        <v>9</v>
      </c>
      <c r="BA27" s="82">
        <f t="shared" si="12"/>
        <v>17</v>
      </c>
      <c r="BB27" s="252">
        <f t="shared" si="13"/>
        <v>29</v>
      </c>
      <c r="BC27" s="32">
        <f t="shared" si="14"/>
        <v>0</v>
      </c>
      <c r="BD27" s="47">
        <f t="shared" si="15"/>
        <v>17</v>
      </c>
      <c r="BE27" s="304">
        <f t="shared" si="16"/>
        <v>0.82710026999999997</v>
      </c>
      <c r="BF27" s="82">
        <f>IF(AP27="","",SMALL(BE$9:BE$62,ROWS(AZ$9:AZ27)))</f>
        <v>7.0080001200000002</v>
      </c>
      <c r="BH27" s="78" t="str">
        <f>IF(OR(AP27="",AZ27=""),"",INDEX($AP$9:$AP$63,MATCH(BF27,$BE$9:BE$62,0)))</f>
        <v>A4</v>
      </c>
      <c r="BI27" s="255">
        <f t="shared" si="0"/>
        <v>7</v>
      </c>
      <c r="BJ27" s="7">
        <f t="shared" si="1"/>
        <v>-1</v>
      </c>
      <c r="BK27" s="7">
        <f t="shared" si="2"/>
        <v>20</v>
      </c>
      <c r="BL27" s="17">
        <f>IF(BF27="","",IF(AND(BI26=BI27,BJ26=BJ27,BK26=BK27),BL26,$BL$9+18))</f>
        <v>19</v>
      </c>
      <c r="BM27" s="22"/>
      <c r="BN27" s="225"/>
    </row>
    <row r="28" spans="1:66" ht="16.2" thickBot="1" x14ac:dyDescent="0.3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0"/>
      <c r="P28" s="18"/>
      <c r="Q28" s="18"/>
      <c r="R28" s="18"/>
      <c r="S28" s="18"/>
      <c r="T28" s="18"/>
      <c r="U28" s="22"/>
      <c r="V28" s="18"/>
      <c r="W28" s="18"/>
      <c r="X28" s="18"/>
      <c r="Y28" s="383"/>
      <c r="Z28" s="11" t="str">
        <f>+P14</f>
        <v>B5</v>
      </c>
      <c r="AA28" s="14">
        <f>IF(ISTEXT(Z28),AA27,0)</f>
        <v>2</v>
      </c>
      <c r="AB28" s="14">
        <f>IF(ISTEXT(Z28),AB27,0)</f>
        <v>1</v>
      </c>
      <c r="AC28" s="15">
        <f>IF(ISTEXT(Z28),AC27,0)</f>
        <v>-7</v>
      </c>
      <c r="AD28" s="6"/>
      <c r="AE28" s="11" t="str">
        <f>+S14</f>
        <v>B7</v>
      </c>
      <c r="AF28" s="14">
        <f>IF(ISTEXT(AE28),AF27,0)</f>
        <v>9</v>
      </c>
      <c r="AG28" s="48">
        <f>IF(ISTEXT(AE28),AG27,0)</f>
        <v>3</v>
      </c>
      <c r="AH28" s="15">
        <f>IF(ISTEXT(AE28),AH27,0)</f>
        <v>8</v>
      </c>
      <c r="AI28" s="6"/>
      <c r="AJ28" s="11" t="str">
        <f>+V14</f>
        <v>B9</v>
      </c>
      <c r="AK28" s="14">
        <f>IF(ISTEXT(AJ28),AK27,0)</f>
        <v>5</v>
      </c>
      <c r="AL28" s="48">
        <f>IF(ISTEXT(AJ28),AL27,0)</f>
        <v>1</v>
      </c>
      <c r="AM28" s="15">
        <f>IF(ISTEXT(AJ28),AM27,0)</f>
        <v>-1</v>
      </c>
      <c r="AN28" s="18"/>
      <c r="AO28" s="44">
        <v>20</v>
      </c>
      <c r="AP28" s="279" t="str">
        <f>+Inscrits!D4</f>
        <v>B2</v>
      </c>
      <c r="AQ28" s="247">
        <f t="shared" si="3"/>
        <v>1</v>
      </c>
      <c r="AR28" s="82">
        <f t="shared" si="4"/>
        <v>-3</v>
      </c>
      <c r="AS28" s="184">
        <f t="shared" si="5"/>
        <v>6</v>
      </c>
      <c r="AT28" s="250">
        <f t="shared" si="6"/>
        <v>1</v>
      </c>
      <c r="AU28" s="82">
        <f t="shared" si="7"/>
        <v>-11</v>
      </c>
      <c r="AV28" s="252">
        <f t="shared" si="8"/>
        <v>1</v>
      </c>
      <c r="AW28" s="247">
        <f t="shared" si="9"/>
        <v>1</v>
      </c>
      <c r="AX28" s="82">
        <f t="shared" si="10"/>
        <v>-3</v>
      </c>
      <c r="AY28" s="252">
        <f t="shared" si="11"/>
        <v>5</v>
      </c>
      <c r="AZ28" s="247">
        <f t="shared" si="17"/>
        <v>3</v>
      </c>
      <c r="BA28" s="82">
        <f t="shared" si="12"/>
        <v>-17</v>
      </c>
      <c r="BB28" s="252">
        <f t="shared" si="13"/>
        <v>12</v>
      </c>
      <c r="BC28" s="32">
        <f t="shared" si="14"/>
        <v>-17</v>
      </c>
      <c r="BD28" s="47">
        <f t="shared" si="15"/>
        <v>0</v>
      </c>
      <c r="BE28" s="304">
        <f t="shared" si="16"/>
        <v>39.168800280000006</v>
      </c>
      <c r="BF28" s="82">
        <f>IF(AP28="","",SMALL(BE$9:BE$62,ROWS(AZ$9:AZ28)))</f>
        <v>7.0081000900000001</v>
      </c>
      <c r="BH28" s="78" t="str">
        <f>IF(OR(AP28="",AZ28=""),"",INDEX($AP$9:$AP$63,MATCH(BF28,$BE$9:BE$62,0)))</f>
        <v>A1</v>
      </c>
      <c r="BI28" s="255">
        <f t="shared" si="0"/>
        <v>7</v>
      </c>
      <c r="BJ28" s="7">
        <f t="shared" si="1"/>
        <v>-1</v>
      </c>
      <c r="BK28" s="7">
        <f t="shared" si="2"/>
        <v>19</v>
      </c>
      <c r="BL28" s="17">
        <f>IF(BF28="","",IF(AND(BI27=BI28,BJ27=BJ28,BK27=BK28),BL27,$BL$9+19))</f>
        <v>20</v>
      </c>
      <c r="BM28" s="22"/>
      <c r="BN28" s="225"/>
    </row>
    <row r="29" spans="1:66" ht="15.6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P29" s="18"/>
      <c r="Q29" s="18"/>
      <c r="R29" s="18"/>
      <c r="S29" s="18"/>
      <c r="T29" s="18"/>
      <c r="U29" s="22"/>
      <c r="V29" s="18"/>
      <c r="W29" s="18"/>
      <c r="X29" s="18"/>
      <c r="Y29" s="383"/>
      <c r="Z29" s="11" t="str">
        <f>+Q14</f>
        <v>C5</v>
      </c>
      <c r="AA29" s="55">
        <f>IF(ISTEXT(Z29),AA27,0)</f>
        <v>2</v>
      </c>
      <c r="AB29" s="55">
        <f>IF(ISTEXT(Z29),AB27,0)</f>
        <v>1</v>
      </c>
      <c r="AC29" s="56">
        <f>IF(ISTEXT(Z29),AC27,0)</f>
        <v>-7</v>
      </c>
      <c r="AD29" s="6"/>
      <c r="AE29" s="11" t="str">
        <f>+T14</f>
        <v>C8</v>
      </c>
      <c r="AF29" s="55">
        <f>IF(ISTEXT(AE29),AF27,0)</f>
        <v>9</v>
      </c>
      <c r="AG29" s="52">
        <f>IF(ISTEXT(AE29),AG27,0)</f>
        <v>3</v>
      </c>
      <c r="AH29" s="56">
        <f>IF(ISTEXT(AE29),AH27,0)</f>
        <v>8</v>
      </c>
      <c r="AI29" s="6"/>
      <c r="AJ29" s="11" t="str">
        <f>+W14</f>
        <v>C11</v>
      </c>
      <c r="AK29" s="55">
        <f>IF(ISTEXT(AJ29),AK27,0)</f>
        <v>5</v>
      </c>
      <c r="AL29" s="52">
        <f>IF(ISTEXT(AJ29),AL27,0)</f>
        <v>1</v>
      </c>
      <c r="AM29" s="56">
        <f>IF(ISTEXT(AJ29),AM27,0)</f>
        <v>-1</v>
      </c>
      <c r="AN29" s="18"/>
      <c r="AO29" s="44">
        <v>21</v>
      </c>
      <c r="AP29" s="279" t="str">
        <f>+Inscrits!D5</f>
        <v>B3</v>
      </c>
      <c r="AQ29" s="247">
        <f t="shared" si="3"/>
        <v>1</v>
      </c>
      <c r="AR29" s="82">
        <f t="shared" si="4"/>
        <v>-5</v>
      </c>
      <c r="AS29" s="184">
        <f t="shared" si="5"/>
        <v>5</v>
      </c>
      <c r="AT29" s="250">
        <f t="shared" si="6"/>
        <v>1</v>
      </c>
      <c r="AU29" s="82">
        <f t="shared" si="7"/>
        <v>-5</v>
      </c>
      <c r="AV29" s="252">
        <f t="shared" si="8"/>
        <v>5</v>
      </c>
      <c r="AW29" s="247">
        <f t="shared" si="9"/>
        <v>3</v>
      </c>
      <c r="AX29" s="82">
        <f t="shared" si="10"/>
        <v>8</v>
      </c>
      <c r="AY29" s="252">
        <f t="shared" si="11"/>
        <v>9</v>
      </c>
      <c r="AZ29" s="247">
        <f t="shared" si="17"/>
        <v>5</v>
      </c>
      <c r="BA29" s="82">
        <f t="shared" si="12"/>
        <v>-2</v>
      </c>
      <c r="BB29" s="252">
        <f t="shared" si="13"/>
        <v>19</v>
      </c>
      <c r="BC29" s="32">
        <f t="shared" si="14"/>
        <v>-2</v>
      </c>
      <c r="BD29" s="47">
        <f t="shared" si="15"/>
        <v>0</v>
      </c>
      <c r="BE29" s="304">
        <f t="shared" si="16"/>
        <v>23.01810029</v>
      </c>
      <c r="BF29" s="82">
        <f>IF(AP29="","",SMALL(BE$9:BE$62,ROWS(AZ$9:AZ29)))</f>
        <v>7.0176005300000002</v>
      </c>
      <c r="BH29" s="78" t="str">
        <f>IF(OR(AP29="",AZ29=""),"",INDEX($AP$9:$AP$63,MATCH(BF29,$BE$9:BE$62,0)))</f>
        <v>C9</v>
      </c>
      <c r="BI29" s="255">
        <f t="shared" si="0"/>
        <v>7</v>
      </c>
      <c r="BJ29" s="7">
        <f t="shared" si="1"/>
        <v>-2</v>
      </c>
      <c r="BK29" s="7">
        <f t="shared" si="2"/>
        <v>24</v>
      </c>
      <c r="BL29" s="17">
        <f>IF(BF29="","",IF(AND(BI28=BI29,BJ28=BJ29,BK28=BK29),BL28,$BL$9+20))</f>
        <v>21</v>
      </c>
      <c r="BM29" s="22"/>
      <c r="BN29" s="225"/>
    </row>
    <row r="30" spans="1:66" ht="15.6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P30" s="18"/>
      <c r="Q30" s="18"/>
      <c r="R30" s="18"/>
      <c r="S30" s="18"/>
      <c r="T30" s="18"/>
      <c r="U30" s="22"/>
      <c r="V30" s="18"/>
      <c r="W30" s="18"/>
      <c r="X30" s="18"/>
      <c r="Y30" s="383"/>
      <c r="Z30" s="24"/>
      <c r="AA30" s="16" t="s">
        <v>5</v>
      </c>
      <c r="AB30" s="16"/>
      <c r="AC30" s="17"/>
      <c r="AD30" s="1"/>
      <c r="AE30" s="24"/>
      <c r="AF30" s="16" t="s">
        <v>5</v>
      </c>
      <c r="AG30" s="16"/>
      <c r="AH30" s="17"/>
      <c r="AI30" s="1"/>
      <c r="AJ30" s="24"/>
      <c r="AK30" s="16" t="s">
        <v>5</v>
      </c>
      <c r="AL30" s="16"/>
      <c r="AM30" s="17"/>
      <c r="AN30" s="18"/>
      <c r="AO30" s="44">
        <v>22</v>
      </c>
      <c r="AP30" s="279" t="str">
        <f>+Inscrits!D6</f>
        <v>B4</v>
      </c>
      <c r="AQ30" s="247">
        <f t="shared" si="3"/>
        <v>3</v>
      </c>
      <c r="AR30" s="82">
        <f t="shared" si="4"/>
        <v>5</v>
      </c>
      <c r="AS30" s="184">
        <f t="shared" si="5"/>
        <v>10</v>
      </c>
      <c r="AT30" s="250">
        <f t="shared" si="6"/>
        <v>3</v>
      </c>
      <c r="AU30" s="82">
        <f t="shared" si="7"/>
        <v>5</v>
      </c>
      <c r="AV30" s="252">
        <f t="shared" si="8"/>
        <v>10</v>
      </c>
      <c r="AW30" s="247">
        <f t="shared" si="9"/>
        <v>1</v>
      </c>
      <c r="AX30" s="82">
        <f t="shared" si="10"/>
        <v>-8</v>
      </c>
      <c r="AY30" s="252">
        <f t="shared" si="11"/>
        <v>1</v>
      </c>
      <c r="AZ30" s="247">
        <f t="shared" si="17"/>
        <v>7</v>
      </c>
      <c r="BA30" s="82">
        <f t="shared" si="12"/>
        <v>2</v>
      </c>
      <c r="BB30" s="252">
        <f t="shared" si="13"/>
        <v>21</v>
      </c>
      <c r="BC30" s="32">
        <f t="shared" si="14"/>
        <v>0</v>
      </c>
      <c r="BD30" s="47">
        <f t="shared" si="15"/>
        <v>2</v>
      </c>
      <c r="BE30" s="304">
        <f t="shared" si="16"/>
        <v>6.9779002999999999</v>
      </c>
      <c r="BF30" s="82">
        <f>IF(AP30="","",SMALL(BE$9:BE$62,ROWS(AZ$9:AZ30)))</f>
        <v>7.03810045</v>
      </c>
      <c r="BH30" s="78" t="str">
        <f>IF(OR(AP30="",AZ30=""),"",INDEX($AP$9:$AP$63,MATCH(BF30,$BE$9:BE$62,0)))</f>
        <v>C1</v>
      </c>
      <c r="BI30" s="255">
        <f t="shared" si="0"/>
        <v>7</v>
      </c>
      <c r="BJ30" s="7">
        <f t="shared" si="1"/>
        <v>-4</v>
      </c>
      <c r="BK30" s="7">
        <f t="shared" si="2"/>
        <v>19</v>
      </c>
      <c r="BL30" s="17">
        <f>IF(BF30="","",IF(AND(BI29=BI30,BJ29=BJ30,BK29=BK30),BL29,$BL$9+21))</f>
        <v>22</v>
      </c>
      <c r="BM30" s="22"/>
      <c r="BN30" s="225"/>
    </row>
    <row r="31" spans="1:66" ht="15.6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P31" s="18"/>
      <c r="Q31" s="18"/>
      <c r="R31" s="18"/>
      <c r="S31" s="18"/>
      <c r="T31" s="18"/>
      <c r="U31" s="18"/>
      <c r="V31" s="18"/>
      <c r="W31" s="18"/>
      <c r="X31" s="18"/>
      <c r="Y31" s="383"/>
      <c r="Z31" s="11" t="str">
        <f>+O15</f>
        <v>A6</v>
      </c>
      <c r="AA31" s="27">
        <v>9</v>
      </c>
      <c r="AB31" s="23">
        <f>IF(AA27+AA31=0,0,IF(AA27=AA31,2,IF(AA27&lt;AA31,3,1)))</f>
        <v>3</v>
      </c>
      <c r="AC31" s="12">
        <f>AA31-AA27</f>
        <v>7</v>
      </c>
      <c r="AD31" s="6"/>
      <c r="AE31" s="11" t="str">
        <f>+R15</f>
        <v>A7</v>
      </c>
      <c r="AF31" s="108">
        <v>1</v>
      </c>
      <c r="AG31" s="23">
        <f>IF(AF27+AF31=0,0,IF(AF27=AF31,2,IF(AF27&lt;AF31,3,1)))</f>
        <v>1</v>
      </c>
      <c r="AH31" s="12">
        <f>AF31-AF27</f>
        <v>-8</v>
      </c>
      <c r="AI31" s="6"/>
      <c r="AJ31" s="11" t="str">
        <f>+U15</f>
        <v>A8</v>
      </c>
      <c r="AK31" s="29">
        <v>6</v>
      </c>
      <c r="AL31" s="23">
        <f>IF(AK27+AK31=0,0,IF(AK27=AK31,2,IF(AK27&lt;AK31,3,1)))</f>
        <v>3</v>
      </c>
      <c r="AM31" s="12">
        <f>AK31-AK27</f>
        <v>1</v>
      </c>
      <c r="AN31" s="18"/>
      <c r="AO31" s="44">
        <v>23</v>
      </c>
      <c r="AP31" s="279" t="str">
        <f>+Inscrits!D7</f>
        <v>B5</v>
      </c>
      <c r="AQ31" s="247">
        <f t="shared" si="3"/>
        <v>1</v>
      </c>
      <c r="AR31" s="82">
        <f t="shared" si="4"/>
        <v>-7</v>
      </c>
      <c r="AS31" s="184">
        <f t="shared" si="5"/>
        <v>2</v>
      </c>
      <c r="AT31" s="250">
        <f t="shared" si="6"/>
        <v>1</v>
      </c>
      <c r="AU31" s="82">
        <f t="shared" si="7"/>
        <v>-7</v>
      </c>
      <c r="AV31" s="252">
        <f t="shared" si="8"/>
        <v>5</v>
      </c>
      <c r="AW31" s="247">
        <f t="shared" si="9"/>
        <v>1</v>
      </c>
      <c r="AX31" s="82">
        <f t="shared" si="10"/>
        <v>-1</v>
      </c>
      <c r="AY31" s="252">
        <f t="shared" si="11"/>
        <v>4</v>
      </c>
      <c r="AZ31" s="247">
        <f t="shared" si="17"/>
        <v>3</v>
      </c>
      <c r="BA31" s="82">
        <f t="shared" si="12"/>
        <v>-15</v>
      </c>
      <c r="BB31" s="252">
        <f t="shared" si="13"/>
        <v>11</v>
      </c>
      <c r="BC31" s="32">
        <f t="shared" si="14"/>
        <v>-15</v>
      </c>
      <c r="BD31" s="47">
        <f t="shared" si="15"/>
        <v>0</v>
      </c>
      <c r="BE31" s="304">
        <f t="shared" si="16"/>
        <v>39.148900309999995</v>
      </c>
      <c r="BF31" s="82">
        <f>IF(AP31="","",SMALL(BE$9:BE$62,ROWS(AZ$9:AZ31)))</f>
        <v>22.967000539999997</v>
      </c>
      <c r="BH31" s="78" t="str">
        <f>IF(OR(AP31="",AZ31=""),"",INDEX($AP$9:$AP$63,MATCH(BF31,$BE$9:BE$62,0)))</f>
        <v>C10</v>
      </c>
      <c r="BI31" s="255">
        <f t="shared" si="0"/>
        <v>5</v>
      </c>
      <c r="BJ31" s="7">
        <f t="shared" si="1"/>
        <v>3</v>
      </c>
      <c r="BK31" s="7">
        <f t="shared" si="2"/>
        <v>30</v>
      </c>
      <c r="BL31" s="17">
        <f>IF(BF31="","",IF(AND(BI30=BI31,BJ30=BJ31,BK30=BK31),BL30,$BL$9+22))</f>
        <v>23</v>
      </c>
      <c r="BM31" s="22"/>
      <c r="BN31" s="225"/>
    </row>
    <row r="32" spans="1:66" ht="16.2" thickBot="1" x14ac:dyDescent="0.3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P32" s="18"/>
      <c r="Q32" s="18"/>
      <c r="R32" s="18"/>
      <c r="S32" s="18"/>
      <c r="T32" s="18"/>
      <c r="U32" s="18"/>
      <c r="V32" s="18"/>
      <c r="W32" s="18"/>
      <c r="X32" s="18"/>
      <c r="Y32" s="383"/>
      <c r="Z32" s="11" t="str">
        <f>+P15</f>
        <v>B6</v>
      </c>
      <c r="AA32" s="14">
        <f>IF(ISTEXT(Z32),AA31,0)</f>
        <v>9</v>
      </c>
      <c r="AB32" s="14">
        <f>IF(ISTEXT(Z32),AB31,0)</f>
        <v>3</v>
      </c>
      <c r="AC32" s="15">
        <f>IF(ISTEXT(Z32),AC31,0)</f>
        <v>7</v>
      </c>
      <c r="AD32" s="6"/>
      <c r="AE32" s="11" t="str">
        <f>+S15</f>
        <v>B8</v>
      </c>
      <c r="AF32" s="14">
        <f>IF(ISTEXT(AE32),AF31,0)</f>
        <v>1</v>
      </c>
      <c r="AG32" s="14">
        <f>IF(ISTEXT(AE32),AG31,0)</f>
        <v>1</v>
      </c>
      <c r="AH32" s="15">
        <f>IF(ISTEXT(AE32),AH31,0)</f>
        <v>-8</v>
      </c>
      <c r="AI32" s="6"/>
      <c r="AJ32" s="11" t="str">
        <f>+V15</f>
        <v>B10</v>
      </c>
      <c r="AK32" s="14">
        <f>IF(ISTEXT(AJ32),AK31,0)</f>
        <v>6</v>
      </c>
      <c r="AL32" s="14">
        <f>IF(ISTEXT(AJ32),AL31,0)</f>
        <v>3</v>
      </c>
      <c r="AM32" s="15">
        <f>IF(ISTEXT(AJ32),AM31,0)</f>
        <v>1</v>
      </c>
      <c r="AN32" s="18"/>
      <c r="AO32" s="44">
        <v>24</v>
      </c>
      <c r="AP32" s="279" t="str">
        <f>+Inscrits!D8</f>
        <v>B6</v>
      </c>
      <c r="AQ32" s="247">
        <f t="shared" si="3"/>
        <v>3</v>
      </c>
      <c r="AR32" s="82">
        <f t="shared" si="4"/>
        <v>7</v>
      </c>
      <c r="AS32" s="184">
        <f t="shared" si="5"/>
        <v>9</v>
      </c>
      <c r="AT32" s="250">
        <f t="shared" si="6"/>
        <v>3</v>
      </c>
      <c r="AU32" s="82">
        <f t="shared" si="7"/>
        <v>7</v>
      </c>
      <c r="AV32" s="252">
        <f t="shared" si="8"/>
        <v>12</v>
      </c>
      <c r="AW32" s="247">
        <f t="shared" si="9"/>
        <v>3</v>
      </c>
      <c r="AX32" s="82">
        <f t="shared" si="10"/>
        <v>1</v>
      </c>
      <c r="AY32" s="252">
        <f t="shared" si="11"/>
        <v>5</v>
      </c>
      <c r="AZ32" s="247">
        <f t="shared" si="17"/>
        <v>9</v>
      </c>
      <c r="BA32" s="82">
        <f t="shared" si="12"/>
        <v>15</v>
      </c>
      <c r="BB32" s="252">
        <f t="shared" si="13"/>
        <v>26</v>
      </c>
      <c r="BC32" s="32">
        <f t="shared" si="14"/>
        <v>0</v>
      </c>
      <c r="BD32" s="47">
        <f t="shared" si="15"/>
        <v>15</v>
      </c>
      <c r="BE32" s="304">
        <f t="shared" si="16"/>
        <v>0.84740031999999998</v>
      </c>
      <c r="BF32" s="82">
        <f>IF(AP32="","",SMALL(BE$9:BE$62,ROWS(AZ$9:AZ32)))</f>
        <v>22.967600099999999</v>
      </c>
      <c r="BH32" s="78" t="str">
        <f>IF(OR(AP32="",AZ32=""),"",INDEX($AP$9:$AP$63,MATCH(BF32,$BE$9:BE$62,0)))</f>
        <v>A2</v>
      </c>
      <c r="BI32" s="255">
        <f t="shared" si="0"/>
        <v>5</v>
      </c>
      <c r="BJ32" s="7">
        <f t="shared" si="1"/>
        <v>3</v>
      </c>
      <c r="BK32" s="7">
        <f t="shared" si="2"/>
        <v>24</v>
      </c>
      <c r="BL32" s="17">
        <f>IF(BF32="","",IF(AND(BI31=BI32,BJ31=BJ32,BK31=BK32),BL31,$BL$9+23))</f>
        <v>24</v>
      </c>
      <c r="BM32" s="22"/>
      <c r="BN32" s="225"/>
    </row>
    <row r="33" spans="1:66" ht="16.2" thickBot="1" x14ac:dyDescent="0.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P33" s="18"/>
      <c r="Q33" s="18"/>
      <c r="R33" s="18"/>
      <c r="S33" s="18"/>
      <c r="T33" s="18"/>
      <c r="U33" s="18"/>
      <c r="V33" s="18"/>
      <c r="W33" s="18"/>
      <c r="X33" s="18"/>
      <c r="Y33" s="384"/>
      <c r="Z33" s="13" t="str">
        <f>+Q15</f>
        <v>C6</v>
      </c>
      <c r="AA33" s="14">
        <f>IF(ISTEXT(Z33),AA31,0)</f>
        <v>9</v>
      </c>
      <c r="AB33" s="14">
        <f>IF(ISTEXT(Z33),AB31,0)</f>
        <v>3</v>
      </c>
      <c r="AC33" s="15">
        <f>IF(ISTEXT(Z33),AC31,0)</f>
        <v>7</v>
      </c>
      <c r="AD33" s="6"/>
      <c r="AE33" s="13" t="str">
        <f>+T15</f>
        <v>C9</v>
      </c>
      <c r="AF33" s="14">
        <f>IF(ISTEXT(AE33),AF31,0)</f>
        <v>1</v>
      </c>
      <c r="AG33" s="14">
        <f>IF(ISTEXT(AE33),AG31,0)</f>
        <v>1</v>
      </c>
      <c r="AH33" s="15">
        <f>IF(ISTEXT(AE33),AH31,0)</f>
        <v>-8</v>
      </c>
      <c r="AI33" s="6"/>
      <c r="AJ33" s="13" t="str">
        <f>+W15</f>
        <v>C12</v>
      </c>
      <c r="AK33" s="14">
        <f>IF(ISTEXT(AJ33),AK31,0)</f>
        <v>6</v>
      </c>
      <c r="AL33" s="14">
        <f>IF(ISTEXT(AJ33),AL31,0)</f>
        <v>3</v>
      </c>
      <c r="AM33" s="15">
        <f>IF(ISTEXT(AJ33),AM31,0)</f>
        <v>1</v>
      </c>
      <c r="AN33" s="18"/>
      <c r="AO33" s="44">
        <v>25</v>
      </c>
      <c r="AP33" s="279" t="str">
        <f>+Inscrits!D9</f>
        <v>B7</v>
      </c>
      <c r="AQ33" s="247">
        <f t="shared" si="3"/>
        <v>1</v>
      </c>
      <c r="AR33" s="82">
        <f t="shared" si="4"/>
        <v>-11</v>
      </c>
      <c r="AS33" s="184">
        <f t="shared" si="5"/>
        <v>1</v>
      </c>
      <c r="AT33" s="250">
        <f t="shared" si="6"/>
        <v>3</v>
      </c>
      <c r="AU33" s="82">
        <f t="shared" si="7"/>
        <v>8</v>
      </c>
      <c r="AV33" s="252">
        <f t="shared" si="8"/>
        <v>9</v>
      </c>
      <c r="AW33" s="247">
        <f t="shared" si="9"/>
        <v>3</v>
      </c>
      <c r="AX33" s="82">
        <f t="shared" si="10"/>
        <v>4</v>
      </c>
      <c r="AY33" s="252">
        <f t="shared" si="11"/>
        <v>13</v>
      </c>
      <c r="AZ33" s="247">
        <f t="shared" si="17"/>
        <v>7</v>
      </c>
      <c r="BA33" s="82">
        <f t="shared" si="12"/>
        <v>1</v>
      </c>
      <c r="BB33" s="252">
        <f t="shared" si="13"/>
        <v>23</v>
      </c>
      <c r="BC33" s="32">
        <f t="shared" si="14"/>
        <v>0</v>
      </c>
      <c r="BD33" s="47">
        <f t="shared" si="15"/>
        <v>1</v>
      </c>
      <c r="BE33" s="304">
        <f t="shared" si="16"/>
        <v>6.98770033</v>
      </c>
      <c r="BF33" s="82">
        <f>IF(AP33="","",SMALL(BE$9:BE$62,ROWS(AZ$9:AZ33)))</f>
        <v>22.977700179999999</v>
      </c>
      <c r="BH33" s="78" t="str">
        <f>IF(OR(AP33="",AZ33=""),"",INDEX($AP$9:$AP$63,MATCH(BF33,$BE$9:BE$62,0)))</f>
        <v>A10</v>
      </c>
      <c r="BI33" s="255">
        <f t="shared" si="0"/>
        <v>5</v>
      </c>
      <c r="BJ33" s="7">
        <f t="shared" si="1"/>
        <v>2</v>
      </c>
      <c r="BK33" s="7">
        <f t="shared" si="2"/>
        <v>23</v>
      </c>
      <c r="BL33" s="17">
        <f>IF(BF33="","",IF(AND(BI32=BI33,BJ32=BJ33,BK32=BK33),BL32,$BL$9+24))</f>
        <v>25</v>
      </c>
      <c r="BM33" s="22"/>
      <c r="BN33" s="225"/>
    </row>
    <row r="34" spans="1:66" ht="16.2" thickBot="1" x14ac:dyDescent="0.3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P34" s="18"/>
      <c r="Q34" s="18"/>
      <c r="R34" s="18"/>
      <c r="S34" s="18"/>
      <c r="T34" s="18"/>
      <c r="U34" s="18"/>
      <c r="V34" s="18"/>
      <c r="W34" s="18"/>
      <c r="X34" s="18"/>
      <c r="Y34" s="20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18"/>
      <c r="AO34" s="44">
        <v>26</v>
      </c>
      <c r="AP34" s="279" t="str">
        <f>+Inscrits!D10</f>
        <v>B8</v>
      </c>
      <c r="AQ34" s="247">
        <f t="shared" si="3"/>
        <v>3</v>
      </c>
      <c r="AR34" s="82">
        <f t="shared" si="4"/>
        <v>11</v>
      </c>
      <c r="AS34" s="184">
        <f t="shared" si="5"/>
        <v>12</v>
      </c>
      <c r="AT34" s="250">
        <f t="shared" si="6"/>
        <v>1</v>
      </c>
      <c r="AU34" s="82">
        <f t="shared" si="7"/>
        <v>-8</v>
      </c>
      <c r="AV34" s="252">
        <f t="shared" si="8"/>
        <v>1</v>
      </c>
      <c r="AW34" s="247">
        <f t="shared" si="9"/>
        <v>1</v>
      </c>
      <c r="AX34" s="82">
        <f t="shared" si="10"/>
        <v>-4</v>
      </c>
      <c r="AY34" s="252">
        <f t="shared" si="11"/>
        <v>9</v>
      </c>
      <c r="AZ34" s="247">
        <f t="shared" si="17"/>
        <v>5</v>
      </c>
      <c r="BA34" s="82">
        <f t="shared" si="12"/>
        <v>-1</v>
      </c>
      <c r="BB34" s="252">
        <f t="shared" si="13"/>
        <v>22</v>
      </c>
      <c r="BC34" s="32">
        <f t="shared" si="14"/>
        <v>-1</v>
      </c>
      <c r="BD34" s="47">
        <f t="shared" si="15"/>
        <v>0</v>
      </c>
      <c r="BE34" s="304">
        <f t="shared" si="16"/>
        <v>23.007800340000003</v>
      </c>
      <c r="BF34" s="82">
        <f>IF(AP34="","",SMALL(BE$9:BE$62,ROWS(AZ$9:AZ34)))</f>
        <v>23.007800340000003</v>
      </c>
      <c r="BH34" s="78" t="str">
        <f>IF(OR(AP34="",AZ34=""),"",INDEX($AP$9:$AP$63,MATCH(BF34,$BE$9:BE$62,0)))</f>
        <v>B8</v>
      </c>
      <c r="BI34" s="255">
        <f t="shared" si="0"/>
        <v>5</v>
      </c>
      <c r="BJ34" s="7">
        <f t="shared" si="1"/>
        <v>-1</v>
      </c>
      <c r="BK34" s="7">
        <f t="shared" si="2"/>
        <v>22</v>
      </c>
      <c r="BL34" s="17">
        <f>IF(BF34="","",IF(AND(BI33=BI34,BJ33=BJ34,BK33=BK34),BL33,$BL$9+25))</f>
        <v>26</v>
      </c>
      <c r="BM34" s="22"/>
      <c r="BN34" s="225"/>
    </row>
    <row r="35" spans="1:66" ht="15.6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P35" s="18"/>
      <c r="Q35" s="18"/>
      <c r="R35" s="18"/>
      <c r="S35" s="18"/>
      <c r="T35" s="18"/>
      <c r="U35" s="18"/>
      <c r="V35" s="18"/>
      <c r="W35" s="18"/>
      <c r="X35" s="18"/>
      <c r="Y35" s="382">
        <v>4</v>
      </c>
      <c r="Z35" s="9" t="str">
        <f>+O16</f>
        <v>A7</v>
      </c>
      <c r="AA35" s="25">
        <v>1</v>
      </c>
      <c r="AB35" s="38">
        <f>IF(AA35+AA39=0,0,IF(AA35=AA39,2,IF(AA35&gt;AA39,3,1)))</f>
        <v>1</v>
      </c>
      <c r="AC35" s="10">
        <f>AA35-AA39</f>
        <v>-11</v>
      </c>
      <c r="AD35" s="6"/>
      <c r="AE35" s="9" t="str">
        <f>+R16</f>
        <v>A8</v>
      </c>
      <c r="AF35" s="107">
        <v>13</v>
      </c>
      <c r="AG35" s="38">
        <f>IF(AF35+AF39=0,0,IF(AF35=AF39,2,IF(AF35&gt;AF39,3,1)))</f>
        <v>3</v>
      </c>
      <c r="AH35" s="10">
        <f>AF35-AF39</f>
        <v>9</v>
      </c>
      <c r="AI35" s="6"/>
      <c r="AJ35" s="9" t="str">
        <f>+U16</f>
        <v>A9</v>
      </c>
      <c r="AK35" s="28">
        <v>1</v>
      </c>
      <c r="AL35" s="38">
        <f>IF(AK35+AK39=0,0,IF(AK35=AK39,2,IF(AK35&gt;AK39,3,1)))</f>
        <v>1</v>
      </c>
      <c r="AM35" s="10">
        <f>AK35-AK39</f>
        <v>-8</v>
      </c>
      <c r="AN35" s="18"/>
      <c r="AO35" s="44">
        <v>27</v>
      </c>
      <c r="AP35" s="279" t="str">
        <f>+Inscrits!D11</f>
        <v>B9</v>
      </c>
      <c r="AQ35" s="247">
        <f t="shared" si="3"/>
        <v>3</v>
      </c>
      <c r="AR35" s="82">
        <f t="shared" si="4"/>
        <v>2</v>
      </c>
      <c r="AS35" s="184">
        <f t="shared" si="5"/>
        <v>10</v>
      </c>
      <c r="AT35" s="250">
        <f t="shared" si="6"/>
        <v>3</v>
      </c>
      <c r="AU35" s="82">
        <f t="shared" si="7"/>
        <v>9</v>
      </c>
      <c r="AV35" s="252">
        <f t="shared" si="8"/>
        <v>13</v>
      </c>
      <c r="AW35" s="247">
        <f t="shared" si="9"/>
        <v>1</v>
      </c>
      <c r="AX35" s="82">
        <f t="shared" si="10"/>
        <v>-1</v>
      </c>
      <c r="AY35" s="252">
        <f t="shared" si="11"/>
        <v>5</v>
      </c>
      <c r="AZ35" s="247">
        <f t="shared" si="17"/>
        <v>7</v>
      </c>
      <c r="BA35" s="82">
        <f t="shared" si="12"/>
        <v>10</v>
      </c>
      <c r="BB35" s="252">
        <f t="shared" si="13"/>
        <v>28</v>
      </c>
      <c r="BC35" s="32">
        <f t="shared" si="14"/>
        <v>0</v>
      </c>
      <c r="BD35" s="47">
        <f t="shared" si="15"/>
        <v>10</v>
      </c>
      <c r="BE35" s="304">
        <f t="shared" si="16"/>
        <v>6.8972003500000003</v>
      </c>
      <c r="BF35" s="82">
        <f>IF(AP35="","",SMALL(BE$9:BE$62,ROWS(AZ$9:AZ35)))</f>
        <v>23.008100110000001</v>
      </c>
      <c r="BH35" s="78" t="str">
        <f>IF(OR(AP35="",AZ35=""),"",INDEX($AP$9:$AP$63,MATCH(BF35,$BE$9:BE$62,0)))</f>
        <v>A3</v>
      </c>
      <c r="BI35" s="255">
        <f t="shared" si="0"/>
        <v>5</v>
      </c>
      <c r="BJ35" s="7">
        <f t="shared" si="1"/>
        <v>-1</v>
      </c>
      <c r="BK35" s="7">
        <f t="shared" si="2"/>
        <v>19</v>
      </c>
      <c r="BL35" s="17">
        <f>IF(BF35="","",IF(AND(BI34=BI35,BJ34=BJ35,BK34=BK35),BL34,$BL$9+26))</f>
        <v>27</v>
      </c>
      <c r="BM35" s="22"/>
      <c r="BN35" s="225"/>
    </row>
    <row r="36" spans="1:66" ht="16.2" thickBot="1" x14ac:dyDescent="0.3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P36" s="18"/>
      <c r="Q36" s="18"/>
      <c r="R36" s="18"/>
      <c r="S36" s="18"/>
      <c r="T36" s="18"/>
      <c r="U36" s="18"/>
      <c r="V36" s="18"/>
      <c r="W36" s="18"/>
      <c r="X36" s="18"/>
      <c r="Y36" s="383"/>
      <c r="Z36" s="11" t="str">
        <f>+P16</f>
        <v>B7</v>
      </c>
      <c r="AA36" s="14">
        <f>IF(ISTEXT(Z36),AA35,0)</f>
        <v>1</v>
      </c>
      <c r="AB36" s="14">
        <f>IF(ISTEXT(Z36),AB35,0)</f>
        <v>1</v>
      </c>
      <c r="AC36" s="15">
        <f>IF(ISTEXT(Z36),AC35,0)</f>
        <v>-11</v>
      </c>
      <c r="AD36" s="6"/>
      <c r="AE36" s="11" t="str">
        <f>+S16</f>
        <v>B9</v>
      </c>
      <c r="AF36" s="14">
        <f>IF(ISTEXT(AE36),AF35,0)</f>
        <v>13</v>
      </c>
      <c r="AG36" s="48">
        <f>IF(ISTEXT(AE36),AG35,0)</f>
        <v>3</v>
      </c>
      <c r="AH36" s="15">
        <f>IF(ISTEXT(AE36),AH35,0)</f>
        <v>9</v>
      </c>
      <c r="AI36" s="6"/>
      <c r="AJ36" s="11" t="str">
        <f>+V16</f>
        <v>B11</v>
      </c>
      <c r="AK36" s="14">
        <f>IF(ISTEXT(AJ36),AK35,0)</f>
        <v>1</v>
      </c>
      <c r="AL36" s="48">
        <f>IF(ISTEXT(AJ36),AL35,0)</f>
        <v>1</v>
      </c>
      <c r="AM36" s="15">
        <f>IF(ISTEXT(AJ36),AM35,0)</f>
        <v>-8</v>
      </c>
      <c r="AN36" s="18"/>
      <c r="AO36" s="44">
        <v>28</v>
      </c>
      <c r="AP36" s="279" t="str">
        <f>+Inscrits!D12</f>
        <v>B10</v>
      </c>
      <c r="AQ36" s="247">
        <f t="shared" si="3"/>
        <v>1</v>
      </c>
      <c r="AR36" s="82">
        <f t="shared" si="4"/>
        <v>-2</v>
      </c>
      <c r="AS36" s="184">
        <f t="shared" si="5"/>
        <v>8</v>
      </c>
      <c r="AT36" s="250">
        <f t="shared" si="6"/>
        <v>1</v>
      </c>
      <c r="AU36" s="82">
        <f t="shared" si="7"/>
        <v>-9</v>
      </c>
      <c r="AV36" s="252">
        <f t="shared" si="8"/>
        <v>4</v>
      </c>
      <c r="AW36" s="247">
        <f t="shared" si="9"/>
        <v>3</v>
      </c>
      <c r="AX36" s="82">
        <f t="shared" si="10"/>
        <v>1</v>
      </c>
      <c r="AY36" s="252">
        <f t="shared" si="11"/>
        <v>6</v>
      </c>
      <c r="AZ36" s="247">
        <f t="shared" si="17"/>
        <v>5</v>
      </c>
      <c r="BA36" s="82">
        <f t="shared" si="12"/>
        <v>-10</v>
      </c>
      <c r="BB36" s="252">
        <f t="shared" si="13"/>
        <v>18</v>
      </c>
      <c r="BC36" s="32">
        <f t="shared" si="14"/>
        <v>-10</v>
      </c>
      <c r="BD36" s="47">
        <f t="shared" si="15"/>
        <v>0</v>
      </c>
      <c r="BE36" s="304">
        <f t="shared" si="16"/>
        <v>23.098200360000003</v>
      </c>
      <c r="BF36" s="82">
        <f>IF(AP36="","",SMALL(BE$9:BE$62,ROWS(AZ$9:AZ36)))</f>
        <v>23.01810029</v>
      </c>
      <c r="BH36" s="78" t="str">
        <f>IF(OR(AP36="",AZ36=""),"",INDEX($AP$9:$AP$63,MATCH(BF36,$BE$9:BE$62,0)))</f>
        <v>B3</v>
      </c>
      <c r="BI36" s="255">
        <f t="shared" si="0"/>
        <v>5</v>
      </c>
      <c r="BJ36" s="7">
        <f t="shared" si="1"/>
        <v>-2</v>
      </c>
      <c r="BK36" s="7">
        <f t="shared" si="2"/>
        <v>19</v>
      </c>
      <c r="BL36" s="17">
        <f>IF(BF36="","",IF(AND(BI35=BI36,BJ35=BJ36,BK35=BK36),BL35,$BL$9+27))</f>
        <v>28</v>
      </c>
      <c r="BM36" s="22"/>
      <c r="BN36" s="225"/>
    </row>
    <row r="37" spans="1:66" ht="15.6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P37" s="18"/>
      <c r="Q37" s="18"/>
      <c r="R37" s="18"/>
      <c r="S37" s="18"/>
      <c r="T37" s="18"/>
      <c r="U37" s="18"/>
      <c r="V37" s="18"/>
      <c r="W37" s="18"/>
      <c r="X37" s="18"/>
      <c r="Y37" s="383"/>
      <c r="Z37" s="11" t="str">
        <f>+Q16</f>
        <v>C7</v>
      </c>
      <c r="AA37" s="55">
        <f>IF(ISTEXT(Z37),AA35,0)</f>
        <v>1</v>
      </c>
      <c r="AB37" s="55">
        <f>IF(ISTEXT(Z37),AB35,0)</f>
        <v>1</v>
      </c>
      <c r="AC37" s="56">
        <f>IF(ISTEXT(Z37),AC35,0)</f>
        <v>-11</v>
      </c>
      <c r="AD37" s="6"/>
      <c r="AE37" s="11" t="str">
        <f>+T16</f>
        <v>C10</v>
      </c>
      <c r="AF37" s="55">
        <f>IF(ISTEXT(AE37),AF35,0)</f>
        <v>13</v>
      </c>
      <c r="AG37" s="52">
        <f>IF(ISTEXT(AE37),AG35,0)</f>
        <v>3</v>
      </c>
      <c r="AH37" s="56">
        <f>IF(ISTEXT(AE37),AH35,0)</f>
        <v>9</v>
      </c>
      <c r="AI37" s="6"/>
      <c r="AJ37" s="11" t="str">
        <f>+W16</f>
        <v>C13</v>
      </c>
      <c r="AK37" s="55">
        <f>IF(ISTEXT(AJ37),AK35,0)</f>
        <v>1</v>
      </c>
      <c r="AL37" s="52">
        <f>IF(ISTEXT(AJ37),AL35,0)</f>
        <v>1</v>
      </c>
      <c r="AM37" s="56">
        <f>IF(ISTEXT(AJ37),AM35,0)</f>
        <v>-8</v>
      </c>
      <c r="AN37" s="18"/>
      <c r="AO37" s="44">
        <v>29</v>
      </c>
      <c r="AP37" s="279" t="str">
        <f>+Inscrits!D13</f>
        <v>B11</v>
      </c>
      <c r="AQ37" s="247">
        <f t="shared" si="3"/>
        <v>1</v>
      </c>
      <c r="AR37" s="82">
        <f t="shared" si="4"/>
        <v>-9</v>
      </c>
      <c r="AS37" s="184">
        <f t="shared" si="5"/>
        <v>1</v>
      </c>
      <c r="AT37" s="250">
        <f t="shared" si="6"/>
        <v>1</v>
      </c>
      <c r="AU37" s="82">
        <f t="shared" si="7"/>
        <v>-4</v>
      </c>
      <c r="AV37" s="252">
        <f t="shared" si="8"/>
        <v>6</v>
      </c>
      <c r="AW37" s="247">
        <f t="shared" si="9"/>
        <v>1</v>
      </c>
      <c r="AX37" s="82">
        <f t="shared" si="10"/>
        <v>-8</v>
      </c>
      <c r="AY37" s="252">
        <f t="shared" si="11"/>
        <v>1</v>
      </c>
      <c r="AZ37" s="247">
        <f t="shared" si="17"/>
        <v>3</v>
      </c>
      <c r="BA37" s="82">
        <f t="shared" si="12"/>
        <v>-21</v>
      </c>
      <c r="BB37" s="252">
        <f t="shared" si="13"/>
        <v>8</v>
      </c>
      <c r="BC37" s="32">
        <f t="shared" si="14"/>
        <v>-21</v>
      </c>
      <c r="BD37" s="47">
        <f t="shared" si="15"/>
        <v>0</v>
      </c>
      <c r="BE37" s="304">
        <f t="shared" si="16"/>
        <v>39.209200370000005</v>
      </c>
      <c r="BF37" s="82">
        <f>IF(AP37="","",SMALL(BE$9:BE$62,ROWS(AZ$9:AZ37)))</f>
        <v>23.048300510000001</v>
      </c>
      <c r="BH37" s="78" t="str">
        <f>IF(OR(AP37="",AZ37=""),"",INDEX($AP$9:$AP$63,MATCH(BF37,$BE$9:BE$62,0)))</f>
        <v>C7</v>
      </c>
      <c r="BI37" s="255">
        <f t="shared" si="0"/>
        <v>5</v>
      </c>
      <c r="BJ37" s="7">
        <f t="shared" si="1"/>
        <v>-5</v>
      </c>
      <c r="BK37" s="7">
        <f t="shared" si="2"/>
        <v>17</v>
      </c>
      <c r="BL37" s="17">
        <f>IF(BF37="","",IF(AND(BI36=BI37,BJ36=BJ37,BK36=BK37),BL36,$BL$9+28))</f>
        <v>29</v>
      </c>
      <c r="BM37" s="22"/>
      <c r="BN37" s="225"/>
    </row>
    <row r="38" spans="1:66" ht="15.6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P38" s="18"/>
      <c r="Q38" s="18"/>
      <c r="R38" s="18"/>
      <c r="S38" s="18"/>
      <c r="T38" s="18"/>
      <c r="U38" s="18"/>
      <c r="V38" s="18"/>
      <c r="W38" s="18"/>
      <c r="X38" s="18"/>
      <c r="Y38" s="383"/>
      <c r="Z38" s="24"/>
      <c r="AA38" s="16" t="s">
        <v>5</v>
      </c>
      <c r="AB38" s="16"/>
      <c r="AC38" s="17"/>
      <c r="AD38" s="1"/>
      <c r="AE38" s="24"/>
      <c r="AF38" s="16" t="s">
        <v>5</v>
      </c>
      <c r="AG38" s="16"/>
      <c r="AH38" s="17"/>
      <c r="AI38" s="1"/>
      <c r="AJ38" s="24"/>
      <c r="AK38" s="16" t="s">
        <v>5</v>
      </c>
      <c r="AL38" s="16"/>
      <c r="AM38" s="17"/>
      <c r="AN38" s="18"/>
      <c r="AO38" s="44">
        <v>30</v>
      </c>
      <c r="AP38" s="279" t="str">
        <f>+Inscrits!D14</f>
        <v>B12</v>
      </c>
      <c r="AQ38" s="247">
        <f t="shared" si="3"/>
        <v>3</v>
      </c>
      <c r="AR38" s="82">
        <f t="shared" si="4"/>
        <v>9</v>
      </c>
      <c r="AS38" s="184">
        <f t="shared" si="5"/>
        <v>10</v>
      </c>
      <c r="AT38" s="250">
        <f t="shared" si="6"/>
        <v>3</v>
      </c>
      <c r="AU38" s="82">
        <f t="shared" si="7"/>
        <v>4</v>
      </c>
      <c r="AV38" s="252">
        <f t="shared" si="8"/>
        <v>10</v>
      </c>
      <c r="AW38" s="247">
        <f t="shared" si="9"/>
        <v>3</v>
      </c>
      <c r="AX38" s="82">
        <f t="shared" si="10"/>
        <v>8</v>
      </c>
      <c r="AY38" s="252">
        <f t="shared" si="11"/>
        <v>9</v>
      </c>
      <c r="AZ38" s="247">
        <f t="shared" si="17"/>
        <v>9</v>
      </c>
      <c r="BA38" s="82">
        <f t="shared" si="12"/>
        <v>21</v>
      </c>
      <c r="BB38" s="252">
        <f t="shared" si="13"/>
        <v>29</v>
      </c>
      <c r="BC38" s="32">
        <f t="shared" si="14"/>
        <v>0</v>
      </c>
      <c r="BD38" s="47">
        <f t="shared" si="15"/>
        <v>21</v>
      </c>
      <c r="BE38" s="304">
        <f t="shared" si="16"/>
        <v>0.78710038000000004</v>
      </c>
      <c r="BF38" s="82">
        <f>IF(AP38="","",SMALL(BE$9:BE$62,ROWS(AZ$9:AZ38)))</f>
        <v>23.058700209999998</v>
      </c>
      <c r="BH38" s="78" t="str">
        <f>IF(OR(AP38="",AZ38=""),"",INDEX($AP$9:$AP$63,MATCH(BF38,$BE$9:BE$62,0)))</f>
        <v>A13</v>
      </c>
      <c r="BI38" s="255">
        <f t="shared" si="0"/>
        <v>5</v>
      </c>
      <c r="BJ38" s="7">
        <f t="shared" si="1"/>
        <v>-6</v>
      </c>
      <c r="BK38" s="7">
        <f t="shared" si="2"/>
        <v>13</v>
      </c>
      <c r="BL38" s="17">
        <f>IF(BF38="","",IF(AND(BI37=BI38,BJ37=BJ38,BK37=BK38),BL37,$BL$9+29))</f>
        <v>30</v>
      </c>
      <c r="BM38" s="22"/>
      <c r="BN38" s="225"/>
    </row>
    <row r="39" spans="1:66" ht="15.6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P39" s="18"/>
      <c r="Q39" s="18"/>
      <c r="R39" s="18"/>
      <c r="S39" s="18"/>
      <c r="T39" s="18"/>
      <c r="U39" s="18"/>
      <c r="V39" s="18"/>
      <c r="W39" s="18"/>
      <c r="X39" s="18"/>
      <c r="Y39" s="383"/>
      <c r="Z39" s="11" t="str">
        <f>+O17</f>
        <v>A8</v>
      </c>
      <c r="AA39" s="27">
        <v>12</v>
      </c>
      <c r="AB39" s="23">
        <f>IF(AA35+AA39=0,0,IF(AA35=AA39,2,IF(AA35&lt;AA39,3,1)))</f>
        <v>3</v>
      </c>
      <c r="AC39" s="12">
        <f>AA39-AA35</f>
        <v>11</v>
      </c>
      <c r="AD39" s="6"/>
      <c r="AE39" s="11" t="str">
        <f>+R17</f>
        <v>A9</v>
      </c>
      <c r="AF39" s="108">
        <v>4</v>
      </c>
      <c r="AG39" s="23">
        <f>IF(AF35+AF39=0,0,IF(AF35=AF39,2,IF(AF35&lt;AF39,3,1)))</f>
        <v>1</v>
      </c>
      <c r="AH39" s="12">
        <f>AF39-AF35</f>
        <v>-9</v>
      </c>
      <c r="AI39" s="6"/>
      <c r="AJ39" s="11" t="str">
        <f>+U17</f>
        <v>A10</v>
      </c>
      <c r="AK39" s="29">
        <v>9</v>
      </c>
      <c r="AL39" s="23">
        <f>IF(AK35+AK39=0,0,IF(AK35=AK39,2,IF(AK35&lt;AK39,3,1)))</f>
        <v>3</v>
      </c>
      <c r="AM39" s="12">
        <f>AK39-AK35</f>
        <v>8</v>
      </c>
      <c r="AN39" s="18"/>
      <c r="AO39" s="44">
        <v>31</v>
      </c>
      <c r="AP39" s="279" t="str">
        <f>+Inscrits!D15</f>
        <v>B13</v>
      </c>
      <c r="AQ39" s="247">
        <f t="shared" si="3"/>
        <v>1</v>
      </c>
      <c r="AR39" s="82">
        <f t="shared" si="4"/>
        <v>-9</v>
      </c>
      <c r="AS39" s="184">
        <f t="shared" si="5"/>
        <v>1</v>
      </c>
      <c r="AT39" s="250">
        <f t="shared" si="6"/>
        <v>1</v>
      </c>
      <c r="AU39" s="82">
        <f t="shared" si="7"/>
        <v>-6</v>
      </c>
      <c r="AV39" s="252">
        <f t="shared" si="8"/>
        <v>1</v>
      </c>
      <c r="AW39" s="247">
        <f t="shared" si="9"/>
        <v>1</v>
      </c>
      <c r="AX39" s="82">
        <f t="shared" si="10"/>
        <v>-4</v>
      </c>
      <c r="AY39" s="252">
        <f t="shared" si="11"/>
        <v>5</v>
      </c>
      <c r="AZ39" s="247">
        <f t="shared" si="17"/>
        <v>3</v>
      </c>
      <c r="BA39" s="82">
        <f t="shared" si="12"/>
        <v>-19</v>
      </c>
      <c r="BB39" s="252">
        <f t="shared" si="13"/>
        <v>7</v>
      </c>
      <c r="BC39" s="32">
        <f t="shared" si="14"/>
        <v>-19</v>
      </c>
      <c r="BD39" s="47">
        <f t="shared" si="15"/>
        <v>0</v>
      </c>
      <c r="BE39" s="304">
        <f t="shared" si="16"/>
        <v>39.189300389999993</v>
      </c>
      <c r="BF39" s="82">
        <f>IF(AP39="","",SMALL(BE$9:BE$62,ROWS(AZ$9:AZ39)))</f>
        <v>23.068600230000001</v>
      </c>
      <c r="BH39" s="78" t="str">
        <f>IF(OR(AP39="",AZ39=""),"",INDEX($AP$9:$AP$63,MATCH(BF39,$BE$9:BE$62,0)))</f>
        <v>A15</v>
      </c>
      <c r="BI39" s="255">
        <f t="shared" si="0"/>
        <v>5</v>
      </c>
      <c r="BJ39" s="7">
        <f t="shared" si="1"/>
        <v>-7</v>
      </c>
      <c r="BK39" s="7">
        <f t="shared" si="2"/>
        <v>14</v>
      </c>
      <c r="BL39" s="17">
        <f>IF(BF39="","",IF(AND(BI38=BI39,BJ38=BJ39,BK38=BK39),BL38,$BL$9+30))</f>
        <v>31</v>
      </c>
      <c r="BM39" s="22"/>
      <c r="BN39" s="225"/>
    </row>
    <row r="40" spans="1:66" ht="16.2" thickBot="1" x14ac:dyDescent="0.3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P40" s="18"/>
      <c r="Q40" s="18"/>
      <c r="R40" s="18"/>
      <c r="S40" s="18"/>
      <c r="T40" s="18"/>
      <c r="U40" s="18"/>
      <c r="V40" s="18"/>
      <c r="W40" s="18"/>
      <c r="X40" s="18"/>
      <c r="Y40" s="383"/>
      <c r="Z40" s="11" t="str">
        <f>+P17</f>
        <v>B8</v>
      </c>
      <c r="AA40" s="14">
        <f>IF(ISTEXT(Z40),AA39,0)</f>
        <v>12</v>
      </c>
      <c r="AB40" s="14">
        <f>IF(ISTEXT(Z40),AB39,0)</f>
        <v>3</v>
      </c>
      <c r="AC40" s="15">
        <f>IF(ISTEXT(Z40),AC39,0)</f>
        <v>11</v>
      </c>
      <c r="AD40" s="6"/>
      <c r="AE40" s="11" t="str">
        <f>+S17</f>
        <v>B10</v>
      </c>
      <c r="AF40" s="14">
        <f>IF(ISTEXT(AE40),AF39,0)</f>
        <v>4</v>
      </c>
      <c r="AG40" s="14">
        <f>IF(ISTEXT(AE40),AG39,0)</f>
        <v>1</v>
      </c>
      <c r="AH40" s="15">
        <f>IF(ISTEXT(AE40),AH39,0)</f>
        <v>-9</v>
      </c>
      <c r="AI40" s="6"/>
      <c r="AJ40" s="11" t="str">
        <f>+V17</f>
        <v>B12</v>
      </c>
      <c r="AK40" s="14">
        <f>IF(ISTEXT(AJ40),AK39,0)</f>
        <v>9</v>
      </c>
      <c r="AL40" s="14">
        <f>IF(ISTEXT(AJ40),AL39,0)</f>
        <v>3</v>
      </c>
      <c r="AM40" s="15">
        <f>IF(ISTEXT(AJ40),AM39,0)</f>
        <v>8</v>
      </c>
      <c r="AN40" s="18"/>
      <c r="AO40" s="44">
        <v>32</v>
      </c>
      <c r="AP40" s="279" t="str">
        <f>+Inscrits!D16</f>
        <v>B14</v>
      </c>
      <c r="AQ40" s="247">
        <f t="shared" si="3"/>
        <v>3</v>
      </c>
      <c r="AR40" s="82">
        <f t="shared" si="4"/>
        <v>9</v>
      </c>
      <c r="AS40" s="184">
        <f t="shared" si="5"/>
        <v>10</v>
      </c>
      <c r="AT40" s="250">
        <f t="shared" si="6"/>
        <v>3</v>
      </c>
      <c r="AU40" s="82">
        <f t="shared" si="7"/>
        <v>6</v>
      </c>
      <c r="AV40" s="252">
        <f t="shared" si="8"/>
        <v>7</v>
      </c>
      <c r="AW40" s="247">
        <f t="shared" si="9"/>
        <v>3</v>
      </c>
      <c r="AX40" s="82">
        <f t="shared" si="10"/>
        <v>4</v>
      </c>
      <c r="AY40" s="252">
        <f t="shared" si="11"/>
        <v>9</v>
      </c>
      <c r="AZ40" s="247">
        <f t="shared" si="17"/>
        <v>9</v>
      </c>
      <c r="BA40" s="82">
        <f t="shared" si="12"/>
        <v>19</v>
      </c>
      <c r="BB40" s="252">
        <f t="shared" si="13"/>
        <v>26</v>
      </c>
      <c r="BC40" s="32">
        <f t="shared" si="14"/>
        <v>0</v>
      </c>
      <c r="BD40" s="47">
        <f t="shared" si="15"/>
        <v>19</v>
      </c>
      <c r="BE40" s="304">
        <f t="shared" si="16"/>
        <v>0.80740040000000002</v>
      </c>
      <c r="BF40" s="82">
        <f>IF(AP40="","",SMALL(BE$9:BE$62,ROWS(AZ$9:AZ40)))</f>
        <v>23.078400479999999</v>
      </c>
      <c r="BH40" s="78" t="str">
        <f>IF(OR(AP40="",AZ40=""),"",INDEX($AP$9:$AP$63,MATCH(BF40,$BE$9:BE$62,0)))</f>
        <v>C4</v>
      </c>
      <c r="BI40" s="255">
        <f t="shared" si="0"/>
        <v>5</v>
      </c>
      <c r="BJ40" s="7">
        <f t="shared" si="1"/>
        <v>-8</v>
      </c>
      <c r="BK40" s="7">
        <f t="shared" si="2"/>
        <v>16</v>
      </c>
      <c r="BL40" s="17">
        <f>IF(BF40="","",IF(AND(BI39=BI40,BJ39=BJ40,BK39=BK40),BL39,$BL$9+31))</f>
        <v>32</v>
      </c>
      <c r="BM40" s="22"/>
      <c r="BN40" s="225"/>
    </row>
    <row r="41" spans="1:66" ht="16.2" thickBot="1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P41" s="18"/>
      <c r="Q41" s="18"/>
      <c r="R41" s="18"/>
      <c r="S41" s="18"/>
      <c r="T41" s="18"/>
      <c r="U41" s="18"/>
      <c r="V41" s="18"/>
      <c r="W41" s="18"/>
      <c r="X41" s="18"/>
      <c r="Y41" s="384"/>
      <c r="Z41" s="13" t="str">
        <f>+Q17</f>
        <v>C8</v>
      </c>
      <c r="AA41" s="14">
        <f>IF(ISTEXT(Z41),AA39,0)</f>
        <v>12</v>
      </c>
      <c r="AB41" s="14">
        <f>IF(ISTEXT(Z41),AB39,0)</f>
        <v>3</v>
      </c>
      <c r="AC41" s="15">
        <f>IF(ISTEXT(Z41),AC39,0)</f>
        <v>11</v>
      </c>
      <c r="AD41" s="6"/>
      <c r="AE41" s="13" t="str">
        <f>+T17</f>
        <v>C11</v>
      </c>
      <c r="AF41" s="14">
        <f>IF(ISTEXT(AE41),AF39,0)</f>
        <v>4</v>
      </c>
      <c r="AG41" s="14">
        <f>IF(ISTEXT(AE41),AG39,0)</f>
        <v>1</v>
      </c>
      <c r="AH41" s="15">
        <f>IF(ISTEXT(AE41),AH39,0)</f>
        <v>-9</v>
      </c>
      <c r="AI41" s="6"/>
      <c r="AJ41" s="13" t="str">
        <f>+W17</f>
        <v>C14</v>
      </c>
      <c r="AK41" s="14">
        <f>IF(ISTEXT(AJ41),AK39,0)</f>
        <v>9</v>
      </c>
      <c r="AL41" s="14">
        <f>IF(ISTEXT(AJ41),AL39,0)</f>
        <v>3</v>
      </c>
      <c r="AM41" s="15">
        <f>IF(ISTEXT(AJ41),AM39,0)</f>
        <v>8</v>
      </c>
      <c r="AN41" s="18"/>
      <c r="AO41" s="44">
        <v>33</v>
      </c>
      <c r="AP41" s="279" t="str">
        <f>+Inscrits!D17</f>
        <v>B15</v>
      </c>
      <c r="AQ41" s="247">
        <f t="shared" si="3"/>
        <v>3</v>
      </c>
      <c r="AR41" s="82">
        <f t="shared" si="4"/>
        <v>10</v>
      </c>
      <c r="AS41" s="184">
        <f t="shared" si="5"/>
        <v>11</v>
      </c>
      <c r="AT41" s="250">
        <f t="shared" si="6"/>
        <v>3</v>
      </c>
      <c r="AU41" s="82">
        <f t="shared" si="7"/>
        <v>12</v>
      </c>
      <c r="AV41" s="252">
        <f t="shared" si="8"/>
        <v>13</v>
      </c>
      <c r="AW41" s="247">
        <f t="shared" si="9"/>
        <v>1</v>
      </c>
      <c r="AX41" s="82">
        <f t="shared" si="10"/>
        <v>-11</v>
      </c>
      <c r="AY41" s="252">
        <f t="shared" si="11"/>
        <v>2</v>
      </c>
      <c r="AZ41" s="247">
        <f t="shared" si="17"/>
        <v>7</v>
      </c>
      <c r="BA41" s="82">
        <f t="shared" si="12"/>
        <v>11</v>
      </c>
      <c r="BB41" s="252">
        <f t="shared" si="13"/>
        <v>26</v>
      </c>
      <c r="BC41" s="32">
        <f t="shared" si="14"/>
        <v>0</v>
      </c>
      <c r="BD41" s="47">
        <f t="shared" si="15"/>
        <v>11</v>
      </c>
      <c r="BE41" s="304">
        <f t="shared" si="16"/>
        <v>6.8874004099999997</v>
      </c>
      <c r="BF41" s="82">
        <f>IF(AP41="","",SMALL(BE$9:BE$62,ROWS(AZ$9:AZ41)))</f>
        <v>23.078900579999996</v>
      </c>
      <c r="BH41" s="78" t="str">
        <f>IF(OR(AP41="",AZ41=""),"",INDEX($AP$9:$AP$63,MATCH(BF41,$BE$9:BE$62,0)))</f>
        <v>C14</v>
      </c>
      <c r="BI41" s="255">
        <f t="shared" ref="BI41:BI62" si="18">IF(AP41="","",INDEX($AZ$9:$AZ$63,MATCH(BF41,$BE$9:$BE$62,0)))</f>
        <v>5</v>
      </c>
      <c r="BJ41" s="7">
        <f t="shared" ref="BJ41:BJ62" si="19">IF(AP41="","",INDEX($BA$9:$BA$63,MATCH(BF41,$BE$9:$BE$62,0)))</f>
        <v>-8</v>
      </c>
      <c r="BK41" s="7">
        <f t="shared" ref="BK41:BK62" si="20">IF(AP41="","",INDEX($BB$9:$BB$63,MATCH(BF41,$BE$9:$BE$62,0)))</f>
        <v>11</v>
      </c>
      <c r="BL41" s="17">
        <f>IF(BF41="","",IF(AND(BI40=BI41,BJ40=BJ41,BK40=BK41),BL40,$BL$9+32))</f>
        <v>33</v>
      </c>
      <c r="BM41" s="22"/>
      <c r="BN41" s="225"/>
    </row>
    <row r="42" spans="1:66" ht="16.2" thickBot="1" x14ac:dyDescent="0.3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P42" s="18"/>
      <c r="Q42" s="18"/>
      <c r="R42" s="18"/>
      <c r="S42" s="18"/>
      <c r="T42" s="18"/>
      <c r="U42" s="18"/>
      <c r="V42" s="18"/>
      <c r="W42" s="18"/>
      <c r="X42" s="18"/>
      <c r="Y42" s="20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18"/>
      <c r="AO42" s="44">
        <v>34</v>
      </c>
      <c r="AP42" s="279" t="str">
        <f>+Inscrits!D18</f>
        <v>B16</v>
      </c>
      <c r="AQ42" s="247" t="str">
        <f t="shared" si="3"/>
        <v xml:space="preserve"> </v>
      </c>
      <c r="AR42" s="82" t="str">
        <f t="shared" si="4"/>
        <v xml:space="preserve"> </v>
      </c>
      <c r="AS42" s="184" t="str">
        <f t="shared" si="5"/>
        <v xml:space="preserve"> </v>
      </c>
      <c r="AT42" s="250" t="str">
        <f t="shared" si="6"/>
        <v xml:space="preserve"> </v>
      </c>
      <c r="AU42" s="82" t="str">
        <f t="shared" si="7"/>
        <v xml:space="preserve"> </v>
      </c>
      <c r="AV42" s="252" t="str">
        <f t="shared" si="8"/>
        <v xml:space="preserve"> </v>
      </c>
      <c r="AW42" s="247" t="str">
        <f t="shared" si="9"/>
        <v xml:space="preserve"> </v>
      </c>
      <c r="AX42" s="82" t="str">
        <f t="shared" si="10"/>
        <v xml:space="preserve"> </v>
      </c>
      <c r="AY42" s="252" t="str">
        <f t="shared" si="11"/>
        <v xml:space="preserve"> </v>
      </c>
      <c r="AZ42" s="247">
        <f t="shared" si="17"/>
        <v>0</v>
      </c>
      <c r="BA42" s="82">
        <f t="shared" si="12"/>
        <v>0</v>
      </c>
      <c r="BB42" s="252">
        <f t="shared" si="13"/>
        <v>0</v>
      </c>
      <c r="BC42" s="32">
        <f t="shared" si="14"/>
        <v>0</v>
      </c>
      <c r="BD42" s="47">
        <f t="shared" si="15"/>
        <v>0</v>
      </c>
      <c r="BE42" s="304">
        <f t="shared" si="16"/>
        <v>46.000000419999999</v>
      </c>
      <c r="BF42" s="82">
        <f>IF(AP42="","",SMALL(BE$9:BE$62,ROWS(AZ$9:AZ42)))</f>
        <v>23.088400190000002</v>
      </c>
      <c r="BH42" s="78" t="str">
        <f>IF(OR(AP42="",AZ42=""),"",INDEX($AP$9:$AP$63,MATCH(BF42,$BE$9:BE$62,0)))</f>
        <v>A11</v>
      </c>
      <c r="BI42" s="255">
        <f t="shared" si="18"/>
        <v>5</v>
      </c>
      <c r="BJ42" s="7">
        <f t="shared" si="19"/>
        <v>-9</v>
      </c>
      <c r="BK42" s="7">
        <f t="shared" si="20"/>
        <v>16</v>
      </c>
      <c r="BL42" s="17">
        <f>IF(BF42="","",IF(AND(BI41=BI42,BJ41=BJ42,BK41=BK42),BL41,$BL$9+33))</f>
        <v>34</v>
      </c>
      <c r="BM42" s="22"/>
      <c r="BN42" s="225"/>
    </row>
    <row r="43" spans="1:66" ht="15.6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P43" s="18"/>
      <c r="Q43" s="18"/>
      <c r="R43" s="18"/>
      <c r="S43" s="18"/>
      <c r="T43" s="18"/>
      <c r="U43" s="18"/>
      <c r="V43" s="18"/>
      <c r="W43" s="18"/>
      <c r="X43" s="18"/>
      <c r="Y43" s="382">
        <v>5</v>
      </c>
      <c r="Z43" s="9" t="str">
        <f>+O18</f>
        <v>A9</v>
      </c>
      <c r="AA43" s="25">
        <v>10</v>
      </c>
      <c r="AB43" s="38">
        <f>IF(AA43+AA47=0,0,IF(AA43=AA47,2,IF(AA43&gt;AA47,3,1)))</f>
        <v>3</v>
      </c>
      <c r="AC43" s="10">
        <f>AA43-AA47</f>
        <v>2</v>
      </c>
      <c r="AD43" s="6"/>
      <c r="AE43" s="9" t="str">
        <f>+R18</f>
        <v>A10</v>
      </c>
      <c r="AF43" s="107">
        <v>6</v>
      </c>
      <c r="AG43" s="38">
        <f>IF(AF43+AF47=0,0,IF(AF43=AF47,2,IF(AF43&gt;AF47,3,1)))</f>
        <v>1</v>
      </c>
      <c r="AH43" s="10">
        <f>AF43-AF47</f>
        <v>-4</v>
      </c>
      <c r="AI43" s="6"/>
      <c r="AJ43" s="9" t="str">
        <f>+U18</f>
        <v>A11</v>
      </c>
      <c r="AK43" s="28">
        <v>5</v>
      </c>
      <c r="AL43" s="38">
        <f>IF(AK43+AK47=0,0,IF(AK43=AK47,2,IF(AK43&gt;AK47,3,1)))</f>
        <v>1</v>
      </c>
      <c r="AM43" s="10">
        <f>AK43-AK47</f>
        <v>-4</v>
      </c>
      <c r="AN43" s="18"/>
      <c r="AO43" s="44">
        <v>35</v>
      </c>
      <c r="AP43" s="279" t="str">
        <f>+Inscrits!D19</f>
        <v>B17</v>
      </c>
      <c r="AQ43" s="247" t="str">
        <f t="shared" si="3"/>
        <v xml:space="preserve"> </v>
      </c>
      <c r="AR43" s="82" t="str">
        <f t="shared" si="4"/>
        <v xml:space="preserve"> </v>
      </c>
      <c r="AS43" s="184" t="str">
        <f t="shared" si="5"/>
        <v xml:space="preserve"> </v>
      </c>
      <c r="AT43" s="250" t="str">
        <f t="shared" si="6"/>
        <v xml:space="preserve"> </v>
      </c>
      <c r="AU43" s="82" t="str">
        <f t="shared" si="7"/>
        <v xml:space="preserve"> </v>
      </c>
      <c r="AV43" s="252" t="str">
        <f t="shared" si="8"/>
        <v xml:space="preserve"> </v>
      </c>
      <c r="AW43" s="247" t="str">
        <f t="shared" si="9"/>
        <v xml:space="preserve"> </v>
      </c>
      <c r="AX43" s="82" t="str">
        <f t="shared" si="10"/>
        <v xml:space="preserve"> </v>
      </c>
      <c r="AY43" s="252" t="str">
        <f t="shared" si="11"/>
        <v xml:space="preserve"> </v>
      </c>
      <c r="AZ43" s="247">
        <f t="shared" si="17"/>
        <v>0</v>
      </c>
      <c r="BA43" s="82">
        <f t="shared" si="12"/>
        <v>0</v>
      </c>
      <c r="BB43" s="252">
        <f t="shared" si="13"/>
        <v>0</v>
      </c>
      <c r="BC43" s="32">
        <f t="shared" si="14"/>
        <v>0</v>
      </c>
      <c r="BD43" s="47">
        <f t="shared" si="15"/>
        <v>0</v>
      </c>
      <c r="BE43" s="304">
        <f t="shared" si="16"/>
        <v>46.00000043</v>
      </c>
      <c r="BF43" s="82">
        <f>IF(AP43="","",SMALL(BE$9:BE$62,ROWS(AZ$9:AZ43)))</f>
        <v>23.098200360000003</v>
      </c>
      <c r="BH43" s="78" t="str">
        <f>IF(OR(AP43="",AZ43=""),"",INDEX($AP$9:$AP$63,MATCH(BF43,$BE$9:BE$62,0)))</f>
        <v>B10</v>
      </c>
      <c r="BI43" s="255">
        <f t="shared" si="18"/>
        <v>5</v>
      </c>
      <c r="BJ43" s="7">
        <f t="shared" si="19"/>
        <v>-10</v>
      </c>
      <c r="BK43" s="7">
        <f t="shared" si="20"/>
        <v>18</v>
      </c>
      <c r="BL43" s="17">
        <f>IF(BF43="","",IF(AND(BI42=BI43,BJ42=BJ43,BK42=BK43),BL42,$BL$9+34))</f>
        <v>35</v>
      </c>
      <c r="BM43" s="22"/>
      <c r="BN43" s="225"/>
    </row>
    <row r="44" spans="1:66" ht="16.2" thickBot="1" x14ac:dyDescent="0.3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P44" s="18"/>
      <c r="Q44" s="18"/>
      <c r="R44" s="18"/>
      <c r="S44" s="18"/>
      <c r="T44" s="18"/>
      <c r="U44" s="18"/>
      <c r="V44" s="18"/>
      <c r="W44" s="18"/>
      <c r="X44" s="18"/>
      <c r="Y44" s="383"/>
      <c r="Z44" s="11" t="str">
        <f>+P18</f>
        <v>B9</v>
      </c>
      <c r="AA44" s="14">
        <f>IF(ISTEXT(Z44),AA43,0)</f>
        <v>10</v>
      </c>
      <c r="AB44" s="14">
        <f>IF(ISTEXT(Z44),AB43,0)</f>
        <v>3</v>
      </c>
      <c r="AC44" s="15">
        <f>IF(ISTEXT(Z44),AC43,0)</f>
        <v>2</v>
      </c>
      <c r="AD44" s="6"/>
      <c r="AE44" s="11" t="str">
        <f>+S18</f>
        <v>B11</v>
      </c>
      <c r="AF44" s="14">
        <f>IF(ISTEXT(AE44),AF43,0)</f>
        <v>6</v>
      </c>
      <c r="AG44" s="48">
        <f>IF(ISTEXT(AE44),AG43,0)</f>
        <v>1</v>
      </c>
      <c r="AH44" s="15">
        <f>IF(ISTEXT(AE44),AH43,0)</f>
        <v>-4</v>
      </c>
      <c r="AI44" s="6"/>
      <c r="AJ44" s="11" t="str">
        <f>+V18</f>
        <v>B13</v>
      </c>
      <c r="AK44" s="14">
        <f>IF(ISTEXT(AJ44),AK43,0)</f>
        <v>5</v>
      </c>
      <c r="AL44" s="48">
        <f>IF(ISTEXT(AJ44),AL43,0)</f>
        <v>1</v>
      </c>
      <c r="AM44" s="15">
        <f>IF(ISTEXT(AJ44),AM43,0)</f>
        <v>-4</v>
      </c>
      <c r="AN44" s="18"/>
      <c r="AO44" s="44">
        <v>36</v>
      </c>
      <c r="AP44" s="279" t="str">
        <f>+Inscrits!D20</f>
        <v>B18</v>
      </c>
      <c r="AQ44" s="247" t="str">
        <f t="shared" si="3"/>
        <v xml:space="preserve"> </v>
      </c>
      <c r="AR44" s="82" t="str">
        <f t="shared" si="4"/>
        <v xml:space="preserve"> </v>
      </c>
      <c r="AS44" s="184" t="str">
        <f t="shared" si="5"/>
        <v xml:space="preserve"> </v>
      </c>
      <c r="AT44" s="250" t="str">
        <f t="shared" si="6"/>
        <v xml:space="preserve"> </v>
      </c>
      <c r="AU44" s="82" t="str">
        <f t="shared" si="7"/>
        <v xml:space="preserve"> </v>
      </c>
      <c r="AV44" s="252" t="str">
        <f t="shared" si="8"/>
        <v xml:space="preserve"> </v>
      </c>
      <c r="AW44" s="247" t="str">
        <f t="shared" si="9"/>
        <v xml:space="preserve"> </v>
      </c>
      <c r="AX44" s="82" t="str">
        <f t="shared" si="10"/>
        <v xml:space="preserve"> </v>
      </c>
      <c r="AY44" s="252" t="str">
        <f t="shared" si="11"/>
        <v xml:space="preserve"> </v>
      </c>
      <c r="AZ44" s="247">
        <f t="shared" si="17"/>
        <v>0</v>
      </c>
      <c r="BA44" s="82">
        <f t="shared" si="12"/>
        <v>0</v>
      </c>
      <c r="BB44" s="252">
        <f t="shared" si="13"/>
        <v>0</v>
      </c>
      <c r="BC44" s="32">
        <f t="shared" si="14"/>
        <v>0</v>
      </c>
      <c r="BD44" s="47">
        <f t="shared" si="15"/>
        <v>0</v>
      </c>
      <c r="BE44" s="304">
        <f t="shared" si="16"/>
        <v>46.000000440000001</v>
      </c>
      <c r="BF44" s="82">
        <f>IF(AP44="","",SMALL(BE$9:BE$62,ROWS(AZ$9:AZ44)))</f>
        <v>23.108400499999998</v>
      </c>
      <c r="BH44" s="78" t="str">
        <f>IF(OR(AP44="",AZ44=""),"",INDEX($AP$9:$AP$63,MATCH(BF44,$BE$9:BE$62,0)))</f>
        <v>C6</v>
      </c>
      <c r="BI44" s="255">
        <f t="shared" si="18"/>
        <v>5</v>
      </c>
      <c r="BJ44" s="7">
        <f t="shared" si="19"/>
        <v>-11</v>
      </c>
      <c r="BK44" s="7">
        <f t="shared" si="20"/>
        <v>16</v>
      </c>
      <c r="BL44" s="17">
        <f>IF(BF44="","",IF(AND(BI43=BI44,BJ43=BJ44,BK43=BK44),BL43,$BL$9+35))</f>
        <v>36</v>
      </c>
      <c r="BM44" s="22"/>
      <c r="BN44" s="225"/>
    </row>
    <row r="45" spans="1:66" ht="15.6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P45" s="18"/>
      <c r="Q45" s="18"/>
      <c r="R45" s="18"/>
      <c r="S45" s="18"/>
      <c r="T45" s="18"/>
      <c r="U45" s="18"/>
      <c r="V45" s="18"/>
      <c r="W45" s="18"/>
      <c r="X45" s="18"/>
      <c r="Y45" s="383"/>
      <c r="Z45" s="11" t="str">
        <f>+Q18</f>
        <v>C9</v>
      </c>
      <c r="AA45" s="55">
        <f>IF(ISTEXT(Z45),AA43,0)</f>
        <v>10</v>
      </c>
      <c r="AB45" s="55">
        <f>IF(ISTEXT(Z45),AB43,0)</f>
        <v>3</v>
      </c>
      <c r="AC45" s="56">
        <f>IF(ISTEXT(Z45),AC43,0)</f>
        <v>2</v>
      </c>
      <c r="AD45" s="6"/>
      <c r="AE45" s="11" t="str">
        <f>+T18</f>
        <v>C12</v>
      </c>
      <c r="AF45" s="55">
        <f>IF(ISTEXT(AE45),AF43,0)</f>
        <v>6</v>
      </c>
      <c r="AG45" s="52">
        <f>IF(ISTEXT(AE45),AG43,0)</f>
        <v>1</v>
      </c>
      <c r="AH45" s="56">
        <f>IF(ISTEXT(AE45),AH43,0)</f>
        <v>-4</v>
      </c>
      <c r="AI45" s="6"/>
      <c r="AJ45" s="11" t="str">
        <f>+W18</f>
        <v>C15</v>
      </c>
      <c r="AK45" s="55">
        <f>IF(ISTEXT(AJ45),AK43,0)</f>
        <v>5</v>
      </c>
      <c r="AL45" s="52">
        <f>IF(ISTEXT(AJ45),AL43,0)</f>
        <v>1</v>
      </c>
      <c r="AM45" s="56">
        <f>IF(ISTEXT(AJ45),AM43,0)</f>
        <v>-4</v>
      </c>
      <c r="AN45" s="18"/>
      <c r="AO45" s="44">
        <v>37</v>
      </c>
      <c r="AP45" s="5" t="str">
        <f>+Inscrits!F3</f>
        <v>C1</v>
      </c>
      <c r="AQ45" s="247">
        <f t="shared" si="3"/>
        <v>3</v>
      </c>
      <c r="AR45" s="82">
        <f t="shared" si="4"/>
        <v>3</v>
      </c>
      <c r="AS45" s="184">
        <f t="shared" si="5"/>
        <v>9</v>
      </c>
      <c r="AT45" s="250">
        <f t="shared" si="6"/>
        <v>1</v>
      </c>
      <c r="AU45" s="82">
        <f t="shared" si="7"/>
        <v>-11</v>
      </c>
      <c r="AV45" s="252">
        <f t="shared" si="8"/>
        <v>1</v>
      </c>
      <c r="AW45" s="247">
        <f t="shared" si="9"/>
        <v>3</v>
      </c>
      <c r="AX45" s="82">
        <f t="shared" si="10"/>
        <v>4</v>
      </c>
      <c r="AY45" s="252">
        <f t="shared" si="11"/>
        <v>9</v>
      </c>
      <c r="AZ45" s="247">
        <f t="shared" si="17"/>
        <v>7</v>
      </c>
      <c r="BA45" s="82">
        <f t="shared" si="12"/>
        <v>-4</v>
      </c>
      <c r="BB45" s="252">
        <f t="shared" si="13"/>
        <v>19</v>
      </c>
      <c r="BC45" s="32">
        <f t="shared" si="14"/>
        <v>-4</v>
      </c>
      <c r="BD45" s="47">
        <f t="shared" si="15"/>
        <v>0</v>
      </c>
      <c r="BE45" s="304">
        <f t="shared" si="16"/>
        <v>7.03810045</v>
      </c>
      <c r="BF45" s="82">
        <f>IF(AP45="","",SMALL(BE$9:BE$62,ROWS(AZ$9:AZ45)))</f>
        <v>23.128800569999999</v>
      </c>
      <c r="BH45" s="78" t="str">
        <f>IF(OR(AP45="",AZ45=""),"",INDEX($AP$9:$AP$63,MATCH(BF45,$BE$9:BE$62,0)))</f>
        <v>C13</v>
      </c>
      <c r="BI45" s="255">
        <f t="shared" si="18"/>
        <v>5</v>
      </c>
      <c r="BJ45" s="7">
        <f t="shared" si="19"/>
        <v>-13</v>
      </c>
      <c r="BK45" s="7">
        <f t="shared" si="20"/>
        <v>12</v>
      </c>
      <c r="BL45" s="17">
        <f>IF(BF45="","",IF(AND(BI44=BI45,BJ44=BJ45,BK44=BK45),BL44,$BL$9+36))</f>
        <v>37</v>
      </c>
      <c r="BM45" s="22"/>
      <c r="BN45" s="225"/>
    </row>
    <row r="46" spans="1:66" ht="15.6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P46" s="18"/>
      <c r="Q46" s="18"/>
      <c r="R46" s="18"/>
      <c r="S46" s="18"/>
      <c r="T46" s="18"/>
      <c r="U46" s="18"/>
      <c r="V46" s="18"/>
      <c r="W46" s="18"/>
      <c r="X46" s="18"/>
      <c r="Y46" s="383"/>
      <c r="Z46" s="24"/>
      <c r="AA46" s="16" t="s">
        <v>5</v>
      </c>
      <c r="AB46" s="16"/>
      <c r="AC46" s="17"/>
      <c r="AD46" s="1"/>
      <c r="AE46" s="24"/>
      <c r="AF46" s="16" t="s">
        <v>5</v>
      </c>
      <c r="AG46" s="16"/>
      <c r="AH46" s="17"/>
      <c r="AI46" s="1"/>
      <c r="AJ46" s="24"/>
      <c r="AK46" s="16" t="s">
        <v>5</v>
      </c>
      <c r="AL46" s="16"/>
      <c r="AM46" s="17"/>
      <c r="AN46" s="18"/>
      <c r="AO46" s="44">
        <v>38</v>
      </c>
      <c r="AP46" s="5" t="str">
        <f>+Inscrits!F4</f>
        <v>C2</v>
      </c>
      <c r="AQ46" s="247">
        <f t="shared" si="3"/>
        <v>1</v>
      </c>
      <c r="AR46" s="82">
        <f t="shared" si="4"/>
        <v>-3</v>
      </c>
      <c r="AS46" s="184">
        <f t="shared" si="5"/>
        <v>6</v>
      </c>
      <c r="AT46" s="250">
        <f t="shared" si="6"/>
        <v>1</v>
      </c>
      <c r="AU46" s="82">
        <f t="shared" si="7"/>
        <v>-12</v>
      </c>
      <c r="AV46" s="252">
        <f t="shared" si="8"/>
        <v>1</v>
      </c>
      <c r="AW46" s="247">
        <f t="shared" si="9"/>
        <v>1</v>
      </c>
      <c r="AX46" s="82">
        <f t="shared" si="10"/>
        <v>-3</v>
      </c>
      <c r="AY46" s="252">
        <f t="shared" si="11"/>
        <v>5</v>
      </c>
      <c r="AZ46" s="247">
        <f t="shared" si="17"/>
        <v>3</v>
      </c>
      <c r="BA46" s="82">
        <f t="shared" si="12"/>
        <v>-18</v>
      </c>
      <c r="BB46" s="252">
        <f t="shared" si="13"/>
        <v>12</v>
      </c>
      <c r="BC46" s="32">
        <f t="shared" si="14"/>
        <v>-18</v>
      </c>
      <c r="BD46" s="47">
        <f t="shared" si="15"/>
        <v>0</v>
      </c>
      <c r="BE46" s="304">
        <f t="shared" si="16"/>
        <v>39.178800460000005</v>
      </c>
      <c r="BF46" s="82">
        <f>IF(AP46="","",SMALL(BE$9:BE$62,ROWS(AZ$9:AZ46)))</f>
        <v>23.148500169999998</v>
      </c>
      <c r="BH46" s="78" t="str">
        <f>IF(OR(AP46="",AZ46=""),"",INDEX($AP$9:$AP$63,MATCH(BF46,$BE$9:BE$62,0)))</f>
        <v>A9</v>
      </c>
      <c r="BI46" s="255">
        <f t="shared" si="18"/>
        <v>5</v>
      </c>
      <c r="BJ46" s="7">
        <f t="shared" si="19"/>
        <v>-15</v>
      </c>
      <c r="BK46" s="7">
        <f t="shared" si="20"/>
        <v>15</v>
      </c>
      <c r="BL46" s="17">
        <f>IF(BF46="","",IF(AND(BI45=BI46,BJ45=BJ46,BK45=BK46),BL45,$BL$9+37))</f>
        <v>38</v>
      </c>
      <c r="BM46" s="22"/>
      <c r="BN46" s="225"/>
    </row>
    <row r="47" spans="1:66" ht="15.6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P47" s="18"/>
      <c r="Q47" s="18"/>
      <c r="R47" s="18"/>
      <c r="S47" s="18"/>
      <c r="T47" s="18"/>
      <c r="U47" s="18"/>
      <c r="V47" s="18"/>
      <c r="W47" s="18"/>
      <c r="X47" s="18"/>
      <c r="Y47" s="383"/>
      <c r="Z47" s="11" t="str">
        <f>+O19</f>
        <v>A10</v>
      </c>
      <c r="AA47" s="27">
        <v>8</v>
      </c>
      <c r="AB47" s="23">
        <f>IF(AA43+AA47=0,0,IF(AA43=AA47,2,IF(AA43&lt;AA47,3,1)))</f>
        <v>1</v>
      </c>
      <c r="AC47" s="12">
        <f>AA47-AA43</f>
        <v>-2</v>
      </c>
      <c r="AD47" s="6"/>
      <c r="AE47" s="11" t="str">
        <f>+R19</f>
        <v>A11</v>
      </c>
      <c r="AF47" s="108">
        <v>10</v>
      </c>
      <c r="AG47" s="23">
        <f>IF(AF43+AF47=0,0,IF(AF43=AF47,2,IF(AF43&lt;AF47,3,1)))</f>
        <v>3</v>
      </c>
      <c r="AH47" s="12">
        <f>AF47-AF43</f>
        <v>4</v>
      </c>
      <c r="AI47" s="6"/>
      <c r="AJ47" s="11" t="str">
        <f>+U19</f>
        <v>A12</v>
      </c>
      <c r="AK47" s="29">
        <v>9</v>
      </c>
      <c r="AL47" s="23">
        <f>IF(AK43+AK47=0,0,IF(AK43=AK47,2,IF(AK43&lt;AK47,3,1)))</f>
        <v>3</v>
      </c>
      <c r="AM47" s="12">
        <f>AK47-AK43</f>
        <v>4</v>
      </c>
      <c r="AN47" s="18"/>
      <c r="AO47" s="44">
        <v>39</v>
      </c>
      <c r="AP47" s="5" t="str">
        <f>+Inscrits!F5</f>
        <v>C3</v>
      </c>
      <c r="AQ47" s="247">
        <f t="shared" si="3"/>
        <v>1</v>
      </c>
      <c r="AR47" s="82">
        <f t="shared" si="4"/>
        <v>-5</v>
      </c>
      <c r="AS47" s="184">
        <f t="shared" si="5"/>
        <v>5</v>
      </c>
      <c r="AT47" s="250">
        <f t="shared" si="6"/>
        <v>3</v>
      </c>
      <c r="AU47" s="82">
        <f t="shared" si="7"/>
        <v>12</v>
      </c>
      <c r="AV47" s="252">
        <f t="shared" si="8"/>
        <v>13</v>
      </c>
      <c r="AW47" s="247">
        <f t="shared" si="9"/>
        <v>3</v>
      </c>
      <c r="AX47" s="82">
        <f t="shared" si="10"/>
        <v>3</v>
      </c>
      <c r="AY47" s="252">
        <f t="shared" si="11"/>
        <v>8</v>
      </c>
      <c r="AZ47" s="247">
        <f t="shared" si="17"/>
        <v>7</v>
      </c>
      <c r="BA47" s="82">
        <f t="shared" si="12"/>
        <v>10</v>
      </c>
      <c r="BB47" s="252">
        <f t="shared" si="13"/>
        <v>26</v>
      </c>
      <c r="BC47" s="32">
        <f t="shared" si="14"/>
        <v>0</v>
      </c>
      <c r="BD47" s="47">
        <f t="shared" si="15"/>
        <v>10</v>
      </c>
      <c r="BE47" s="304">
        <f t="shared" si="16"/>
        <v>6.89740047</v>
      </c>
      <c r="BF47" s="82">
        <f>IF(AP47="","",SMALL(BE$9:BE$62,ROWS(AZ$9:AZ47)))</f>
        <v>39.148900309999995</v>
      </c>
      <c r="BH47" s="78" t="str">
        <f>IF(OR(AP47="",AZ47=""),"",INDEX($AP$9:$AP$63,MATCH(BF47,$BE$9:BE$62,0)))</f>
        <v>B5</v>
      </c>
      <c r="BI47" s="255">
        <f t="shared" si="18"/>
        <v>3</v>
      </c>
      <c r="BJ47" s="7">
        <f t="shared" si="19"/>
        <v>-15</v>
      </c>
      <c r="BK47" s="7">
        <f t="shared" si="20"/>
        <v>11</v>
      </c>
      <c r="BL47" s="17">
        <f>IF(BF47="","",IF(AND(BI46=BI47,BJ46=BJ47,BK46=BK47),BL46,$BL$9+38))</f>
        <v>39</v>
      </c>
      <c r="BM47" s="22"/>
      <c r="BN47" s="225"/>
    </row>
    <row r="48" spans="1:66" ht="16.2" thickBot="1" x14ac:dyDescent="0.3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P48" s="18"/>
      <c r="Q48" s="18"/>
      <c r="R48" s="18"/>
      <c r="S48" s="18"/>
      <c r="T48" s="18"/>
      <c r="U48" s="18"/>
      <c r="V48" s="18"/>
      <c r="W48" s="18"/>
      <c r="X48" s="18"/>
      <c r="Y48" s="383"/>
      <c r="Z48" s="11" t="str">
        <f>+P19</f>
        <v>B10</v>
      </c>
      <c r="AA48" s="14">
        <f>IF(ISTEXT(Z48),AA47,0)</f>
        <v>8</v>
      </c>
      <c r="AB48" s="14">
        <f>IF(ISTEXT(Z48),AB47,0)</f>
        <v>1</v>
      </c>
      <c r="AC48" s="15">
        <f>IF(ISTEXT(Z48),AC47,0)</f>
        <v>-2</v>
      </c>
      <c r="AD48" s="6"/>
      <c r="AE48" s="11" t="str">
        <f>+S19</f>
        <v>B12</v>
      </c>
      <c r="AF48" s="14">
        <f>IF(ISTEXT(AE48),AF47,0)</f>
        <v>10</v>
      </c>
      <c r="AG48" s="14">
        <f>IF(ISTEXT(AE48),AG47,0)</f>
        <v>3</v>
      </c>
      <c r="AH48" s="15">
        <f>IF(ISTEXT(AE48),AH47,0)</f>
        <v>4</v>
      </c>
      <c r="AI48" s="6"/>
      <c r="AJ48" s="11" t="str">
        <f>+V19</f>
        <v>B14</v>
      </c>
      <c r="AK48" s="14">
        <f>IF(ISTEXT(AJ48),AK47,0)</f>
        <v>9</v>
      </c>
      <c r="AL48" s="14">
        <f>IF(ISTEXT(AJ48),AL47,0)</f>
        <v>3</v>
      </c>
      <c r="AM48" s="15">
        <f>IF(ISTEXT(AJ48),AM47,0)</f>
        <v>4</v>
      </c>
      <c r="AN48" s="18"/>
      <c r="AO48" s="44">
        <v>40</v>
      </c>
      <c r="AP48" s="5" t="str">
        <f>+Inscrits!F6</f>
        <v>C4</v>
      </c>
      <c r="AQ48" s="247">
        <f t="shared" si="3"/>
        <v>3</v>
      </c>
      <c r="AR48" s="82">
        <f t="shared" si="4"/>
        <v>5</v>
      </c>
      <c r="AS48" s="184">
        <f t="shared" si="5"/>
        <v>10</v>
      </c>
      <c r="AT48" s="250">
        <f t="shared" si="6"/>
        <v>1</v>
      </c>
      <c r="AU48" s="82">
        <f t="shared" si="7"/>
        <v>-5</v>
      </c>
      <c r="AV48" s="252">
        <f t="shared" si="8"/>
        <v>5</v>
      </c>
      <c r="AW48" s="247">
        <f t="shared" si="9"/>
        <v>1</v>
      </c>
      <c r="AX48" s="82">
        <f t="shared" si="10"/>
        <v>-8</v>
      </c>
      <c r="AY48" s="252">
        <f t="shared" si="11"/>
        <v>1</v>
      </c>
      <c r="AZ48" s="247">
        <f t="shared" si="17"/>
        <v>5</v>
      </c>
      <c r="BA48" s="82">
        <f t="shared" si="12"/>
        <v>-8</v>
      </c>
      <c r="BB48" s="252">
        <f t="shared" si="13"/>
        <v>16</v>
      </c>
      <c r="BC48" s="32">
        <f t="shared" si="14"/>
        <v>-8</v>
      </c>
      <c r="BD48" s="47">
        <f t="shared" si="15"/>
        <v>0</v>
      </c>
      <c r="BE48" s="304">
        <f t="shared" si="16"/>
        <v>23.078400479999999</v>
      </c>
      <c r="BF48" s="82">
        <f>IF(AP48="","",SMALL(BE$9:BE$62,ROWS(AZ$9:AZ48)))</f>
        <v>39.168800280000006</v>
      </c>
      <c r="BH48" s="78" t="str">
        <f>IF(OR(AP48="",AZ48=""),"",INDEX($AP$9:$AP$63,MATCH(BF48,$BE$9:BE$62,0)))</f>
        <v>B2</v>
      </c>
      <c r="BI48" s="255">
        <f t="shared" si="18"/>
        <v>3</v>
      </c>
      <c r="BJ48" s="7">
        <f t="shared" si="19"/>
        <v>-17</v>
      </c>
      <c r="BK48" s="7">
        <f t="shared" si="20"/>
        <v>12</v>
      </c>
      <c r="BL48" s="17">
        <f>IF(BF48="","",IF(AND(BI47=BI48,BJ47=BJ48,BK47=BK48),BL47,$BL$9+39))</f>
        <v>40</v>
      </c>
      <c r="BM48" s="22"/>
      <c r="BN48" s="225"/>
    </row>
    <row r="49" spans="1:66" ht="16.2" thickBot="1" x14ac:dyDescent="0.3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P49" s="18"/>
      <c r="Q49" s="18"/>
      <c r="R49" s="18"/>
      <c r="S49" s="18"/>
      <c r="T49" s="18"/>
      <c r="U49" s="18"/>
      <c r="V49" s="18"/>
      <c r="W49" s="18"/>
      <c r="X49" s="18"/>
      <c r="Y49" s="384"/>
      <c r="Z49" s="13" t="str">
        <f>+Q19</f>
        <v>C10</v>
      </c>
      <c r="AA49" s="14">
        <f>IF(ISTEXT(Z49),AA47,0)</f>
        <v>8</v>
      </c>
      <c r="AB49" s="14">
        <f>IF(ISTEXT(Z49),AB47,0)</f>
        <v>1</v>
      </c>
      <c r="AC49" s="15">
        <f>IF(ISTEXT(Z49),AC47,0)</f>
        <v>-2</v>
      </c>
      <c r="AD49" s="6"/>
      <c r="AE49" s="13" t="str">
        <f>+T19</f>
        <v>C13</v>
      </c>
      <c r="AF49" s="14">
        <f>IF(ISTEXT(AE49),AF47,0)</f>
        <v>10</v>
      </c>
      <c r="AG49" s="14">
        <f>IF(ISTEXT(AE49),AG47,0)</f>
        <v>3</v>
      </c>
      <c r="AH49" s="15">
        <f>IF(ISTEXT(AE49),AH47,0)</f>
        <v>4</v>
      </c>
      <c r="AI49" s="6"/>
      <c r="AJ49" s="13" t="str">
        <f>+W19</f>
        <v>C1</v>
      </c>
      <c r="AK49" s="14">
        <f>IF(ISTEXT(AJ49),AK47,0)</f>
        <v>9</v>
      </c>
      <c r="AL49" s="14">
        <f>IF(ISTEXT(AJ49),AL47,0)</f>
        <v>3</v>
      </c>
      <c r="AM49" s="15">
        <f>IF(ISTEXT(AJ49),AM47,0)</f>
        <v>4</v>
      </c>
      <c r="AN49" s="18"/>
      <c r="AO49" s="44">
        <v>41</v>
      </c>
      <c r="AP49" s="5" t="str">
        <f>+Inscrits!F7</f>
        <v>C5</v>
      </c>
      <c r="AQ49" s="247">
        <f t="shared" si="3"/>
        <v>1</v>
      </c>
      <c r="AR49" s="82">
        <f t="shared" si="4"/>
        <v>-7</v>
      </c>
      <c r="AS49" s="184">
        <f t="shared" si="5"/>
        <v>2</v>
      </c>
      <c r="AT49" s="250">
        <f t="shared" si="6"/>
        <v>3</v>
      </c>
      <c r="AU49" s="82">
        <f t="shared" si="7"/>
        <v>5</v>
      </c>
      <c r="AV49" s="252">
        <f t="shared" si="8"/>
        <v>10</v>
      </c>
      <c r="AW49" s="247">
        <f t="shared" si="9"/>
        <v>3</v>
      </c>
      <c r="AX49" s="82">
        <f t="shared" si="10"/>
        <v>11</v>
      </c>
      <c r="AY49" s="252">
        <f t="shared" si="11"/>
        <v>13</v>
      </c>
      <c r="AZ49" s="247">
        <f t="shared" si="17"/>
        <v>7</v>
      </c>
      <c r="BA49" s="82">
        <f t="shared" si="12"/>
        <v>9</v>
      </c>
      <c r="BB49" s="252">
        <f t="shared" si="13"/>
        <v>25</v>
      </c>
      <c r="BC49" s="32">
        <f t="shared" si="14"/>
        <v>0</v>
      </c>
      <c r="BD49" s="47">
        <f t="shared" si="15"/>
        <v>9</v>
      </c>
      <c r="BE49" s="304">
        <f t="shared" si="16"/>
        <v>6.9075004899999994</v>
      </c>
      <c r="BF49" s="82">
        <f>IF(AP49="","",SMALL(BE$9:BE$62,ROWS(AZ$9:AZ49)))</f>
        <v>39.178800460000005</v>
      </c>
      <c r="BH49" s="78" t="str">
        <f>IF(OR(AP49="",AZ49=""),"",INDEX($AP$9:$AP$63,MATCH(BF49,$BE$9:BE$62,0)))</f>
        <v>C2</v>
      </c>
      <c r="BI49" s="255">
        <f t="shared" si="18"/>
        <v>3</v>
      </c>
      <c r="BJ49" s="7">
        <f t="shared" si="19"/>
        <v>-18</v>
      </c>
      <c r="BK49" s="7">
        <f t="shared" si="20"/>
        <v>12</v>
      </c>
      <c r="BL49" s="17">
        <f>IF(BF49="","",IF(AND(BI48=BI49,BJ48=BJ49,BK48=BK49),BL48,$BL$9+40))</f>
        <v>41</v>
      </c>
      <c r="BM49" s="22"/>
      <c r="BN49" s="225"/>
    </row>
    <row r="50" spans="1:66" ht="16.2" thickBot="1" x14ac:dyDescent="0.3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P50" s="18"/>
      <c r="Q50" s="18"/>
      <c r="R50" s="18"/>
      <c r="S50" s="18"/>
      <c r="T50" s="18"/>
      <c r="U50" s="18"/>
      <c r="V50" s="18"/>
      <c r="W50" s="18"/>
      <c r="X50" s="18"/>
      <c r="Y50" s="20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18"/>
      <c r="AO50" s="44">
        <v>42</v>
      </c>
      <c r="AP50" s="5" t="str">
        <f>+Inscrits!F8</f>
        <v>C6</v>
      </c>
      <c r="AQ50" s="247">
        <f t="shared" si="3"/>
        <v>3</v>
      </c>
      <c r="AR50" s="82">
        <f t="shared" si="4"/>
        <v>7</v>
      </c>
      <c r="AS50" s="184">
        <f t="shared" si="5"/>
        <v>9</v>
      </c>
      <c r="AT50" s="250">
        <f t="shared" si="6"/>
        <v>1</v>
      </c>
      <c r="AU50" s="82">
        <f t="shared" si="7"/>
        <v>-7</v>
      </c>
      <c r="AV50" s="252">
        <f t="shared" si="8"/>
        <v>5</v>
      </c>
      <c r="AW50" s="247">
        <f t="shared" si="9"/>
        <v>1</v>
      </c>
      <c r="AX50" s="82">
        <f t="shared" si="10"/>
        <v>-11</v>
      </c>
      <c r="AY50" s="252">
        <f t="shared" si="11"/>
        <v>2</v>
      </c>
      <c r="AZ50" s="247">
        <f t="shared" si="17"/>
        <v>5</v>
      </c>
      <c r="BA50" s="82">
        <f t="shared" si="12"/>
        <v>-11</v>
      </c>
      <c r="BB50" s="252">
        <f t="shared" si="13"/>
        <v>16</v>
      </c>
      <c r="BC50" s="32">
        <f t="shared" si="14"/>
        <v>-11</v>
      </c>
      <c r="BD50" s="47">
        <f t="shared" si="15"/>
        <v>0</v>
      </c>
      <c r="BE50" s="304">
        <f t="shared" si="16"/>
        <v>23.108400499999998</v>
      </c>
      <c r="BF50" s="82">
        <f>IF(AP50="","",SMALL(BE$9:BE$62,ROWS(AZ$9:AZ50)))</f>
        <v>39.189000550000003</v>
      </c>
      <c r="BH50" s="78" t="str">
        <f>IF(OR(AP50="",AZ50=""),"",INDEX($AP$9:$AP$63,MATCH(BF50,$BE$9:BE$62,0)))</f>
        <v>C11</v>
      </c>
      <c r="BI50" s="255">
        <f t="shared" si="18"/>
        <v>3</v>
      </c>
      <c r="BJ50" s="7">
        <f t="shared" si="19"/>
        <v>-19</v>
      </c>
      <c r="BK50" s="7">
        <f t="shared" si="20"/>
        <v>10</v>
      </c>
      <c r="BL50" s="17">
        <f>IF(BF50="","",IF(AND(BI49=BI50,BJ49=BJ50,BK49=BK50),BL49,$BL$9+41))</f>
        <v>42</v>
      </c>
      <c r="BM50" s="22"/>
      <c r="BN50" s="225"/>
    </row>
    <row r="51" spans="1:66" ht="15.6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P51" s="18"/>
      <c r="Q51" s="18"/>
      <c r="R51" s="18"/>
      <c r="S51" s="18"/>
      <c r="T51" s="18"/>
      <c r="U51" s="18"/>
      <c r="V51" s="18"/>
      <c r="W51" s="18"/>
      <c r="X51" s="18"/>
      <c r="Y51" s="382">
        <v>6</v>
      </c>
      <c r="Z51" s="9" t="str">
        <f>+O20</f>
        <v>A11</v>
      </c>
      <c r="AA51" s="25">
        <v>1</v>
      </c>
      <c r="AB51" s="38">
        <f>IF(AA51+AA55=0,0,IF(AA51=AA55,2,IF(AA51&gt;AA55,3,1)))</f>
        <v>1</v>
      </c>
      <c r="AC51" s="10">
        <f>AA51-AA55</f>
        <v>-9</v>
      </c>
      <c r="AD51" s="6"/>
      <c r="AE51" s="9" t="str">
        <f>+R20</f>
        <v>A12</v>
      </c>
      <c r="AF51" s="107">
        <v>1</v>
      </c>
      <c r="AG51" s="38">
        <f>IF(AF51+AF55=0,0,IF(AF51=AF55,2,IF(AF51&gt;AF55,3,1)))</f>
        <v>1</v>
      </c>
      <c r="AH51" s="10">
        <f>AF51-AF55</f>
        <v>-6</v>
      </c>
      <c r="AI51" s="6"/>
      <c r="AJ51" s="9" t="str">
        <f>+U20</f>
        <v>A13</v>
      </c>
      <c r="AK51" s="28">
        <v>5</v>
      </c>
      <c r="AL51" s="38">
        <f>IF(AK51+AK55=0,0,IF(AK51=AK55,2,IF(AK51&gt;AK55,3,1)))</f>
        <v>1</v>
      </c>
      <c r="AM51" s="10">
        <f>AK51-AK55</f>
        <v>-3</v>
      </c>
      <c r="AN51" s="18"/>
      <c r="AO51" s="44">
        <v>43</v>
      </c>
      <c r="AP51" s="5" t="str">
        <f>+Inscrits!F9</f>
        <v>C7</v>
      </c>
      <c r="AQ51" s="247">
        <f t="shared" si="3"/>
        <v>1</v>
      </c>
      <c r="AR51" s="82">
        <f t="shared" si="4"/>
        <v>-11</v>
      </c>
      <c r="AS51" s="184">
        <f t="shared" si="5"/>
        <v>1</v>
      </c>
      <c r="AT51" s="250">
        <f t="shared" si="6"/>
        <v>3</v>
      </c>
      <c r="AU51" s="82">
        <f t="shared" si="7"/>
        <v>7</v>
      </c>
      <c r="AV51" s="252">
        <f t="shared" si="8"/>
        <v>12</v>
      </c>
      <c r="AW51" s="247">
        <f t="shared" si="9"/>
        <v>1</v>
      </c>
      <c r="AX51" s="82">
        <f t="shared" si="10"/>
        <v>-1</v>
      </c>
      <c r="AY51" s="252">
        <f t="shared" si="11"/>
        <v>4</v>
      </c>
      <c r="AZ51" s="247">
        <f t="shared" si="17"/>
        <v>5</v>
      </c>
      <c r="BA51" s="82">
        <f t="shared" si="12"/>
        <v>-5</v>
      </c>
      <c r="BB51" s="252">
        <f t="shared" si="13"/>
        <v>17</v>
      </c>
      <c r="BC51" s="32">
        <f t="shared" si="14"/>
        <v>-5</v>
      </c>
      <c r="BD51" s="47">
        <f t="shared" si="15"/>
        <v>0</v>
      </c>
      <c r="BE51" s="304">
        <f t="shared" si="16"/>
        <v>23.048300510000001</v>
      </c>
      <c r="BF51" s="82">
        <f>IF(AP51="","",SMALL(BE$9:BE$62,ROWS(AZ$9:AZ51)))</f>
        <v>39.189300389999993</v>
      </c>
      <c r="BH51" s="78" t="str">
        <f>IF(OR(AP51="",AZ51=""),"",INDEX($AP$9:$AP$63,MATCH(BF51,$BE$9:BE$62,0)))</f>
        <v>B13</v>
      </c>
      <c r="BI51" s="255">
        <f t="shared" si="18"/>
        <v>3</v>
      </c>
      <c r="BJ51" s="7">
        <f t="shared" si="19"/>
        <v>-19</v>
      </c>
      <c r="BK51" s="7">
        <f t="shared" si="20"/>
        <v>7</v>
      </c>
      <c r="BL51" s="17">
        <f>IF(BF51="","",IF(AND(BI50=BI51,BJ50=BJ51,BK50=BK51),BL50,$BL$9+42))</f>
        <v>43</v>
      </c>
      <c r="BM51" s="22"/>
      <c r="BN51" s="225"/>
    </row>
    <row r="52" spans="1:66" ht="16.2" thickBot="1" x14ac:dyDescent="0.3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P52" s="18"/>
      <c r="Q52" s="18"/>
      <c r="R52" s="18"/>
      <c r="S52" s="18"/>
      <c r="T52" s="18"/>
      <c r="U52" s="18"/>
      <c r="V52" s="18"/>
      <c r="W52" s="18"/>
      <c r="X52" s="18"/>
      <c r="Y52" s="383"/>
      <c r="Z52" s="11" t="str">
        <f>+P20</f>
        <v>B11</v>
      </c>
      <c r="AA52" s="14">
        <f>IF(ISTEXT(Z52),AA51,0)</f>
        <v>1</v>
      </c>
      <c r="AB52" s="14">
        <f>IF(ISTEXT(Z52),AB51,0)</f>
        <v>1</v>
      </c>
      <c r="AC52" s="15">
        <f>IF(ISTEXT(Z52),AC51,0)</f>
        <v>-9</v>
      </c>
      <c r="AD52" s="6"/>
      <c r="AE52" s="11" t="str">
        <f>+S20</f>
        <v>B13</v>
      </c>
      <c r="AF52" s="14">
        <f>IF(ISTEXT(AE52),AF51,0)</f>
        <v>1</v>
      </c>
      <c r="AG52" s="48">
        <f>IF(ISTEXT(AE52),AG51,0)</f>
        <v>1</v>
      </c>
      <c r="AH52" s="15">
        <f>IF(ISTEXT(AE52),AH51,0)</f>
        <v>-6</v>
      </c>
      <c r="AI52" s="6"/>
      <c r="AJ52" s="11" t="str">
        <f>+V20</f>
        <v>B2</v>
      </c>
      <c r="AK52" s="14">
        <f>IF(ISTEXT(AJ52),AK51,0)</f>
        <v>5</v>
      </c>
      <c r="AL52" s="48">
        <f>IF(ISTEXT(AJ52),AL51,0)</f>
        <v>1</v>
      </c>
      <c r="AM52" s="15">
        <f>IF(ISTEXT(AJ52),AM51,0)</f>
        <v>-3</v>
      </c>
      <c r="AN52" s="18"/>
      <c r="AO52" s="44">
        <v>44</v>
      </c>
      <c r="AP52" s="5" t="str">
        <f>+Inscrits!F10</f>
        <v>C8</v>
      </c>
      <c r="AQ52" s="247">
        <f t="shared" si="3"/>
        <v>3</v>
      </c>
      <c r="AR52" s="82">
        <f t="shared" si="4"/>
        <v>11</v>
      </c>
      <c r="AS52" s="184">
        <f t="shared" si="5"/>
        <v>12</v>
      </c>
      <c r="AT52" s="250">
        <f t="shared" si="6"/>
        <v>3</v>
      </c>
      <c r="AU52" s="82">
        <f t="shared" si="7"/>
        <v>8</v>
      </c>
      <c r="AV52" s="252">
        <f t="shared" si="8"/>
        <v>9</v>
      </c>
      <c r="AW52" s="247">
        <f t="shared" si="9"/>
        <v>3</v>
      </c>
      <c r="AX52" s="82">
        <f t="shared" si="10"/>
        <v>1</v>
      </c>
      <c r="AY52" s="252">
        <f t="shared" si="11"/>
        <v>5</v>
      </c>
      <c r="AZ52" s="247">
        <f t="shared" si="17"/>
        <v>9</v>
      </c>
      <c r="BA52" s="82">
        <f t="shared" si="12"/>
        <v>20</v>
      </c>
      <c r="BB52" s="252">
        <f t="shared" si="13"/>
        <v>26</v>
      </c>
      <c r="BC52" s="32">
        <f t="shared" si="14"/>
        <v>0</v>
      </c>
      <c r="BD52" s="47">
        <f t="shared" si="15"/>
        <v>20</v>
      </c>
      <c r="BE52" s="304">
        <f t="shared" si="16"/>
        <v>0.79740051999999995</v>
      </c>
      <c r="BF52" s="82">
        <f>IF(AP52="","",SMALL(BE$9:BE$62,ROWS(AZ$9:AZ52)))</f>
        <v>39.199300149999999</v>
      </c>
      <c r="BH52" s="78" t="str">
        <f>IF(OR(AP52="",AZ52=""),"",INDEX($AP$9:$AP$63,MATCH(BF52,$BE$9:BE$62,0)))</f>
        <v>A7</v>
      </c>
      <c r="BI52" s="255">
        <f t="shared" si="18"/>
        <v>3</v>
      </c>
      <c r="BJ52" s="7">
        <f t="shared" si="19"/>
        <v>-20</v>
      </c>
      <c r="BK52" s="7">
        <f t="shared" si="20"/>
        <v>7</v>
      </c>
      <c r="BL52" s="17">
        <f>IF(BF52="","",IF(AND(BI51=BI52,BJ51=BJ52,BK51=BK52),BL51,$BL$9+43))</f>
        <v>44</v>
      </c>
      <c r="BM52" s="22"/>
      <c r="BN52" s="225"/>
    </row>
    <row r="53" spans="1:66" ht="15.6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P53" s="18"/>
      <c r="Q53" s="18"/>
      <c r="R53" s="18"/>
      <c r="S53" s="18"/>
      <c r="T53" s="18"/>
      <c r="U53" s="18"/>
      <c r="V53" s="18"/>
      <c r="W53" s="18"/>
      <c r="X53" s="18"/>
      <c r="Y53" s="383"/>
      <c r="Z53" s="11" t="str">
        <f>+Q20</f>
        <v>C11</v>
      </c>
      <c r="AA53" s="55">
        <f>IF(ISTEXT(Z53),AA51,0)</f>
        <v>1</v>
      </c>
      <c r="AB53" s="55">
        <f>IF(ISTEXT(Z53),AB51,0)</f>
        <v>1</v>
      </c>
      <c r="AC53" s="56">
        <f>IF(ISTEXT(Z53),AC51,0)</f>
        <v>-9</v>
      </c>
      <c r="AD53" s="6"/>
      <c r="AE53" s="11" t="str">
        <f>+T20</f>
        <v>C14</v>
      </c>
      <c r="AF53" s="55">
        <f>IF(ISTEXT(AE53),AF51,0)</f>
        <v>1</v>
      </c>
      <c r="AG53" s="52">
        <f>IF(ISTEXT(AE53),AG51,0)</f>
        <v>1</v>
      </c>
      <c r="AH53" s="56">
        <f>IF(ISTEXT(AE53),AH51,0)</f>
        <v>-6</v>
      </c>
      <c r="AI53" s="6"/>
      <c r="AJ53" s="11" t="str">
        <f>+W20</f>
        <v>C2</v>
      </c>
      <c r="AK53" s="55">
        <f>IF(ISTEXT(AJ53),AK51,0)</f>
        <v>5</v>
      </c>
      <c r="AL53" s="52">
        <f>IF(ISTEXT(AJ53),AL51,0)</f>
        <v>1</v>
      </c>
      <c r="AM53" s="56">
        <f>IF(ISTEXT(AJ53),AM51,0)</f>
        <v>-3</v>
      </c>
      <c r="AN53" s="18"/>
      <c r="AO53" s="44">
        <v>45</v>
      </c>
      <c r="AP53" s="5" t="str">
        <f>+Inscrits!F11</f>
        <v>C9</v>
      </c>
      <c r="AQ53" s="247">
        <f t="shared" si="3"/>
        <v>3</v>
      </c>
      <c r="AR53" s="82">
        <f t="shared" si="4"/>
        <v>2</v>
      </c>
      <c r="AS53" s="184">
        <f t="shared" si="5"/>
        <v>10</v>
      </c>
      <c r="AT53" s="250">
        <f t="shared" si="6"/>
        <v>1</v>
      </c>
      <c r="AU53" s="82">
        <f t="shared" si="7"/>
        <v>-8</v>
      </c>
      <c r="AV53" s="252">
        <f t="shared" si="8"/>
        <v>1</v>
      </c>
      <c r="AW53" s="247">
        <f t="shared" si="9"/>
        <v>3</v>
      </c>
      <c r="AX53" s="82">
        <f t="shared" si="10"/>
        <v>4</v>
      </c>
      <c r="AY53" s="252">
        <f t="shared" si="11"/>
        <v>13</v>
      </c>
      <c r="AZ53" s="247">
        <f t="shared" si="17"/>
        <v>7</v>
      </c>
      <c r="BA53" s="82">
        <f t="shared" si="12"/>
        <v>-2</v>
      </c>
      <c r="BB53" s="252">
        <f t="shared" si="13"/>
        <v>24</v>
      </c>
      <c r="BC53" s="32">
        <f t="shared" si="14"/>
        <v>-2</v>
      </c>
      <c r="BD53" s="47">
        <f t="shared" si="15"/>
        <v>0</v>
      </c>
      <c r="BE53" s="304">
        <f t="shared" si="16"/>
        <v>7.0176005300000002</v>
      </c>
      <c r="BF53" s="82">
        <f>IF(AP53="","",SMALL(BE$9:BE$62,ROWS(AZ$9:AZ53)))</f>
        <v>39.209200370000005</v>
      </c>
      <c r="BH53" s="78" t="str">
        <f>IF(OR(AP53="",AZ53=""),"",INDEX($AP$9:$AP$63,MATCH(BF53,$BE$9:BE$62,0)))</f>
        <v>B11</v>
      </c>
      <c r="BI53" s="255">
        <f t="shared" si="18"/>
        <v>3</v>
      </c>
      <c r="BJ53" s="7">
        <f t="shared" si="19"/>
        <v>-21</v>
      </c>
      <c r="BK53" s="7">
        <f t="shared" si="20"/>
        <v>8</v>
      </c>
      <c r="BL53" s="17">
        <f>IF(BF53="","",IF(AND(BI52=BI53,BJ52=BJ53,BK52=BK53),BL52,$BL$9+44))</f>
        <v>45</v>
      </c>
      <c r="BM53" s="22"/>
      <c r="BN53" s="225"/>
    </row>
    <row r="54" spans="1:66" ht="15.6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P54" s="18"/>
      <c r="Q54" s="18"/>
      <c r="R54" s="18"/>
      <c r="S54" s="18"/>
      <c r="T54" s="18"/>
      <c r="U54" s="18"/>
      <c r="V54" s="18"/>
      <c r="W54" s="18"/>
      <c r="X54" s="18"/>
      <c r="Y54" s="383"/>
      <c r="Z54" s="24"/>
      <c r="AA54" s="16" t="s">
        <v>5</v>
      </c>
      <c r="AB54" s="16"/>
      <c r="AC54" s="17"/>
      <c r="AD54" s="1"/>
      <c r="AE54" s="24"/>
      <c r="AF54" s="16" t="s">
        <v>5</v>
      </c>
      <c r="AG54" s="16"/>
      <c r="AH54" s="17"/>
      <c r="AI54" s="1"/>
      <c r="AJ54" s="24"/>
      <c r="AK54" s="16" t="s">
        <v>5</v>
      </c>
      <c r="AL54" s="16"/>
      <c r="AM54" s="17"/>
      <c r="AN54" s="18"/>
      <c r="AO54" s="44">
        <v>46</v>
      </c>
      <c r="AP54" s="5" t="str">
        <f>+Inscrits!F12</f>
        <v>C10</v>
      </c>
      <c r="AQ54" s="247">
        <f t="shared" si="3"/>
        <v>1</v>
      </c>
      <c r="AR54" s="82">
        <f t="shared" si="4"/>
        <v>-2</v>
      </c>
      <c r="AS54" s="184">
        <f t="shared" si="5"/>
        <v>8</v>
      </c>
      <c r="AT54" s="250">
        <f t="shared" si="6"/>
        <v>3</v>
      </c>
      <c r="AU54" s="82">
        <f t="shared" si="7"/>
        <v>9</v>
      </c>
      <c r="AV54" s="252">
        <f t="shared" si="8"/>
        <v>13</v>
      </c>
      <c r="AW54" s="247">
        <f t="shared" si="9"/>
        <v>1</v>
      </c>
      <c r="AX54" s="82">
        <f t="shared" si="10"/>
        <v>-4</v>
      </c>
      <c r="AY54" s="252">
        <f t="shared" si="11"/>
        <v>9</v>
      </c>
      <c r="AZ54" s="247">
        <f t="shared" si="17"/>
        <v>5</v>
      </c>
      <c r="BA54" s="82">
        <f t="shared" si="12"/>
        <v>3</v>
      </c>
      <c r="BB54" s="252">
        <f t="shared" si="13"/>
        <v>30</v>
      </c>
      <c r="BC54" s="32">
        <f t="shared" si="14"/>
        <v>0</v>
      </c>
      <c r="BD54" s="47">
        <f t="shared" si="15"/>
        <v>3</v>
      </c>
      <c r="BE54" s="304">
        <f t="shared" si="16"/>
        <v>22.967000539999997</v>
      </c>
      <c r="BF54" s="82">
        <f>IF(AP54="","",SMALL(BE$9:BE$62,ROWS(AZ$9:AZ54)))</f>
        <v>46.000000239999999</v>
      </c>
      <c r="BH54" s="78" t="str">
        <f>IF(OR(AP54="",AZ54=""),"",INDEX($AP$9:$AP$63,MATCH(BF54,$BE$9:BE$62,0)))</f>
        <v>A16</v>
      </c>
      <c r="BI54" s="255">
        <f t="shared" si="18"/>
        <v>0</v>
      </c>
      <c r="BJ54" s="7">
        <f t="shared" si="19"/>
        <v>0</v>
      </c>
      <c r="BK54" s="7">
        <f t="shared" si="20"/>
        <v>0</v>
      </c>
      <c r="BL54" s="17">
        <f>IF(BF54="","",IF(AND(BI53=BI54,BJ53=BJ54,BK53=BK54),BL53,$BL$9+45))</f>
        <v>46</v>
      </c>
      <c r="BM54" s="22"/>
      <c r="BN54" s="225"/>
    </row>
    <row r="55" spans="1:66" ht="15.6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P55" s="18"/>
      <c r="Q55" s="18"/>
      <c r="R55" s="18"/>
      <c r="S55" s="18"/>
      <c r="T55" s="18"/>
      <c r="U55" s="18"/>
      <c r="V55" s="18"/>
      <c r="W55" s="18"/>
      <c r="X55" s="18"/>
      <c r="Y55" s="383"/>
      <c r="Z55" s="11" t="str">
        <f>+O21</f>
        <v>A12</v>
      </c>
      <c r="AA55" s="27">
        <v>10</v>
      </c>
      <c r="AB55" s="23">
        <f>IF(AA51+AA55=0,0,IF(AA51=AA55,2,IF(AA51&lt;AA55,3,1)))</f>
        <v>3</v>
      </c>
      <c r="AC55" s="12">
        <f>AA55-AA51</f>
        <v>9</v>
      </c>
      <c r="AD55" s="6"/>
      <c r="AE55" s="11" t="str">
        <f>+R21</f>
        <v>A13</v>
      </c>
      <c r="AF55" s="108">
        <v>7</v>
      </c>
      <c r="AG55" s="23">
        <f>IF(AF51+AF55=0,0,IF(AF51=AF55,2,IF(AF51&lt;AF55,3,1)))</f>
        <v>3</v>
      </c>
      <c r="AH55" s="12">
        <f>AF55-AF51</f>
        <v>6</v>
      </c>
      <c r="AI55" s="6"/>
      <c r="AJ55" s="11" t="str">
        <f>+U21</f>
        <v>A14</v>
      </c>
      <c r="AK55" s="29">
        <v>8</v>
      </c>
      <c r="AL55" s="23">
        <f>IF(AK51+AK55=0,0,IF(AK51=AK55,2,IF(AK51&lt;AK55,3,1)))</f>
        <v>3</v>
      </c>
      <c r="AM55" s="12">
        <f>AK55-AK51</f>
        <v>3</v>
      </c>
      <c r="AN55" s="18"/>
      <c r="AO55" s="44">
        <v>47</v>
      </c>
      <c r="AP55" s="5" t="str">
        <f>+Inscrits!F13</f>
        <v>C11</v>
      </c>
      <c r="AQ55" s="247">
        <f t="shared" si="3"/>
        <v>1</v>
      </c>
      <c r="AR55" s="82">
        <f t="shared" si="4"/>
        <v>-9</v>
      </c>
      <c r="AS55" s="184">
        <f t="shared" si="5"/>
        <v>1</v>
      </c>
      <c r="AT55" s="250">
        <f t="shared" si="6"/>
        <v>1</v>
      </c>
      <c r="AU55" s="82">
        <f t="shared" si="7"/>
        <v>-9</v>
      </c>
      <c r="AV55" s="252">
        <f t="shared" si="8"/>
        <v>4</v>
      </c>
      <c r="AW55" s="247">
        <f t="shared" si="9"/>
        <v>1</v>
      </c>
      <c r="AX55" s="82">
        <f t="shared" si="10"/>
        <v>-1</v>
      </c>
      <c r="AY55" s="252">
        <f t="shared" si="11"/>
        <v>5</v>
      </c>
      <c r="AZ55" s="247">
        <f t="shared" si="17"/>
        <v>3</v>
      </c>
      <c r="BA55" s="82">
        <f t="shared" si="12"/>
        <v>-19</v>
      </c>
      <c r="BB55" s="252">
        <f t="shared" si="13"/>
        <v>10</v>
      </c>
      <c r="BC55" s="32">
        <f t="shared" si="14"/>
        <v>-19</v>
      </c>
      <c r="BD55" s="47">
        <f t="shared" si="15"/>
        <v>0</v>
      </c>
      <c r="BE55" s="304">
        <f t="shared" si="16"/>
        <v>39.189000550000003</v>
      </c>
      <c r="BF55" s="82">
        <f>IF(AP55="","",SMALL(BE$9:BE$62,ROWS(AZ$9:AZ55)))</f>
        <v>46.000000249999999</v>
      </c>
      <c r="BH55" s="78" t="str">
        <f>IF(OR(AP55="",AZ55=""),"",INDEX($AP$9:$AP$63,MATCH(BF55,$BE$9:BE$62,0)))</f>
        <v>A17</v>
      </c>
      <c r="BI55" s="255">
        <f t="shared" si="18"/>
        <v>0</v>
      </c>
      <c r="BJ55" s="7">
        <f t="shared" si="19"/>
        <v>0</v>
      </c>
      <c r="BK55" s="7">
        <f t="shared" si="20"/>
        <v>0</v>
      </c>
      <c r="BL55" s="17">
        <f>IF(BF55="","",IF(AND(BI54=BI55,BJ54=BJ55,BK54=BK55),BL54,$BL$9+46))</f>
        <v>46</v>
      </c>
      <c r="BM55" s="22"/>
      <c r="BN55" s="225"/>
    </row>
    <row r="56" spans="1:66" ht="16.2" thickBot="1" x14ac:dyDescent="0.35">
      <c r="A56" s="20"/>
      <c r="B56" s="18"/>
      <c r="C56" s="18"/>
      <c r="D56" s="18"/>
      <c r="E56" s="18"/>
      <c r="F56" s="18"/>
      <c r="G56" s="18"/>
      <c r="H56" s="18"/>
      <c r="I56" s="20"/>
      <c r="J56" s="20"/>
      <c r="K56" s="20"/>
      <c r="L56" s="20"/>
      <c r="P56" s="18"/>
      <c r="Q56" s="20"/>
      <c r="R56" s="22"/>
      <c r="S56" s="18"/>
      <c r="T56" s="18"/>
      <c r="U56" s="18"/>
      <c r="V56" s="18"/>
      <c r="W56" s="18"/>
      <c r="X56" s="18"/>
      <c r="Y56" s="383"/>
      <c r="Z56" s="11" t="str">
        <f>+P21</f>
        <v>B12</v>
      </c>
      <c r="AA56" s="14">
        <f>IF(ISTEXT(Z56),AA55,0)</f>
        <v>10</v>
      </c>
      <c r="AB56" s="14">
        <f>IF(ISTEXT(Z56),AB55,0)</f>
        <v>3</v>
      </c>
      <c r="AC56" s="15">
        <f>IF(ISTEXT(Z56),AC55,0)</f>
        <v>9</v>
      </c>
      <c r="AD56" s="6"/>
      <c r="AE56" s="11" t="str">
        <f>+S21</f>
        <v>B14</v>
      </c>
      <c r="AF56" s="14">
        <f>IF(ISTEXT(AE56),AF55,0)</f>
        <v>7</v>
      </c>
      <c r="AG56" s="14">
        <f>IF(ISTEXT(AE56),AG55,0)</f>
        <v>3</v>
      </c>
      <c r="AH56" s="15">
        <f>IF(ISTEXT(AE56),AH55,0)</f>
        <v>6</v>
      </c>
      <c r="AI56" s="6"/>
      <c r="AJ56" s="11" t="str">
        <f>+V21</f>
        <v>B1</v>
      </c>
      <c r="AK56" s="14">
        <f>IF(ISTEXT(AJ56),AK55,0)</f>
        <v>8</v>
      </c>
      <c r="AL56" s="14">
        <f>IF(ISTEXT(AJ56),AL55,0)</f>
        <v>3</v>
      </c>
      <c r="AM56" s="15">
        <f>IF(ISTEXT(AJ56),AM55,0)</f>
        <v>3</v>
      </c>
      <c r="AN56" s="18"/>
      <c r="AO56" s="44">
        <v>48</v>
      </c>
      <c r="AP56" s="5" t="str">
        <f>+Inscrits!F14</f>
        <v>C12</v>
      </c>
      <c r="AQ56" s="247">
        <f t="shared" si="3"/>
        <v>3</v>
      </c>
      <c r="AR56" s="82">
        <f t="shared" si="4"/>
        <v>9</v>
      </c>
      <c r="AS56" s="184">
        <f t="shared" si="5"/>
        <v>10</v>
      </c>
      <c r="AT56" s="250">
        <f t="shared" si="6"/>
        <v>1</v>
      </c>
      <c r="AU56" s="82">
        <f t="shared" si="7"/>
        <v>-4</v>
      </c>
      <c r="AV56" s="252">
        <f t="shared" si="8"/>
        <v>6</v>
      </c>
      <c r="AW56" s="247">
        <f t="shared" si="9"/>
        <v>3</v>
      </c>
      <c r="AX56" s="82">
        <f t="shared" si="10"/>
        <v>1</v>
      </c>
      <c r="AY56" s="252">
        <f t="shared" si="11"/>
        <v>6</v>
      </c>
      <c r="AZ56" s="247">
        <f t="shared" si="17"/>
        <v>7</v>
      </c>
      <c r="BA56" s="82">
        <f t="shared" si="12"/>
        <v>6</v>
      </c>
      <c r="BB56" s="252">
        <f t="shared" si="13"/>
        <v>22</v>
      </c>
      <c r="BC56" s="32">
        <f t="shared" si="14"/>
        <v>0</v>
      </c>
      <c r="BD56" s="47">
        <f t="shared" si="15"/>
        <v>6</v>
      </c>
      <c r="BE56" s="304">
        <f t="shared" si="16"/>
        <v>6.9378005600000003</v>
      </c>
      <c r="BF56" s="82">
        <f>IF(AP56="","",SMALL(BE$9:BE$62,ROWS(AZ$9:AZ56)))</f>
        <v>46.00000026</v>
      </c>
      <c r="BH56" s="78" t="str">
        <f>IF(OR(AP56="",AZ56=""),"",INDEX($AP$9:$AP$63,MATCH(BF56,$BE$9:BE$62,0)))</f>
        <v>A18</v>
      </c>
      <c r="BI56" s="255">
        <f t="shared" si="18"/>
        <v>0</v>
      </c>
      <c r="BJ56" s="7">
        <f t="shared" si="19"/>
        <v>0</v>
      </c>
      <c r="BK56" s="7">
        <f t="shared" si="20"/>
        <v>0</v>
      </c>
      <c r="BL56" s="17">
        <f>IF(BF56="","",IF(AND(BI55=BI56,BJ55=BJ56,BK55=BK56),BL55,$BL$9+47))</f>
        <v>46</v>
      </c>
      <c r="BM56" s="22"/>
      <c r="BN56" s="225"/>
    </row>
    <row r="57" spans="1:66" ht="16.2" thickBot="1" x14ac:dyDescent="0.35">
      <c r="A57" s="20"/>
      <c r="B57" s="18"/>
      <c r="C57" s="18"/>
      <c r="D57" s="18"/>
      <c r="E57" s="18"/>
      <c r="F57" s="18"/>
      <c r="G57" s="18"/>
      <c r="H57" s="18"/>
      <c r="I57" s="20"/>
      <c r="J57" s="20"/>
      <c r="K57" s="20"/>
      <c r="L57" s="20"/>
      <c r="P57" s="18"/>
      <c r="Q57" s="20"/>
      <c r="R57" s="22"/>
      <c r="S57" s="18"/>
      <c r="T57" s="18"/>
      <c r="U57" s="18"/>
      <c r="V57" s="18"/>
      <c r="W57" s="18"/>
      <c r="X57" s="18"/>
      <c r="Y57" s="384"/>
      <c r="Z57" s="13" t="str">
        <f>+Q21</f>
        <v>C12</v>
      </c>
      <c r="AA57" s="14">
        <f>IF(ISTEXT(Z57),AA55,0)</f>
        <v>10</v>
      </c>
      <c r="AB57" s="14">
        <f>IF(ISTEXT(Z57),AB55,0)</f>
        <v>3</v>
      </c>
      <c r="AC57" s="15">
        <f>IF(ISTEXT(Z57),AC55,0)</f>
        <v>9</v>
      </c>
      <c r="AD57" s="6"/>
      <c r="AE57" s="13" t="str">
        <f>+T21</f>
        <v>C15</v>
      </c>
      <c r="AF57" s="14">
        <f>IF(ISTEXT(AE57),AF55,0)</f>
        <v>7</v>
      </c>
      <c r="AG57" s="14">
        <f>IF(ISTEXT(AE57),AG55,0)</f>
        <v>3</v>
      </c>
      <c r="AH57" s="15">
        <f>IF(ISTEXT(AE57),AH55,0)</f>
        <v>6</v>
      </c>
      <c r="AI57" s="6"/>
      <c r="AJ57" s="13" t="str">
        <f>+W21</f>
        <v>C3</v>
      </c>
      <c r="AK57" s="14">
        <f>IF(ISTEXT(AJ57),AK55,0)</f>
        <v>8</v>
      </c>
      <c r="AL57" s="14">
        <f>IF(ISTEXT(AJ57),AL55,0)</f>
        <v>3</v>
      </c>
      <c r="AM57" s="15">
        <f>IF(ISTEXT(AJ57),AM55,0)</f>
        <v>3</v>
      </c>
      <c r="AN57" s="18"/>
      <c r="AO57" s="44">
        <v>49</v>
      </c>
      <c r="AP57" s="5" t="str">
        <f>+Inscrits!F15</f>
        <v>C13</v>
      </c>
      <c r="AQ57" s="247">
        <f t="shared" si="3"/>
        <v>1</v>
      </c>
      <c r="AR57" s="82">
        <f t="shared" si="4"/>
        <v>-9</v>
      </c>
      <c r="AS57" s="184">
        <f t="shared" si="5"/>
        <v>1</v>
      </c>
      <c r="AT57" s="250">
        <f t="shared" si="6"/>
        <v>3</v>
      </c>
      <c r="AU57" s="82">
        <f t="shared" si="7"/>
        <v>4</v>
      </c>
      <c r="AV57" s="252">
        <f t="shared" si="8"/>
        <v>10</v>
      </c>
      <c r="AW57" s="247">
        <f t="shared" si="9"/>
        <v>1</v>
      </c>
      <c r="AX57" s="82">
        <f t="shared" si="10"/>
        <v>-8</v>
      </c>
      <c r="AY57" s="252">
        <f t="shared" si="11"/>
        <v>1</v>
      </c>
      <c r="AZ57" s="247">
        <f t="shared" si="17"/>
        <v>5</v>
      </c>
      <c r="BA57" s="82">
        <f t="shared" si="12"/>
        <v>-13</v>
      </c>
      <c r="BB57" s="252">
        <f t="shared" si="13"/>
        <v>12</v>
      </c>
      <c r="BC57" s="32">
        <f t="shared" si="14"/>
        <v>-13</v>
      </c>
      <c r="BD57" s="47">
        <f t="shared" si="15"/>
        <v>0</v>
      </c>
      <c r="BE57" s="304">
        <f t="shared" si="16"/>
        <v>23.128800569999999</v>
      </c>
      <c r="BF57" s="82">
        <f>IF(AP57="","",SMALL(BE$9:BE$62,ROWS(AZ$9:AZ57)))</f>
        <v>46.000000419999999</v>
      </c>
      <c r="BH57" s="78" t="str">
        <f>IF(OR(AP57="",AZ57=""),"",INDEX($AP$9:$AP$63,MATCH(BF57,$BE$9:BE$62,0)))</f>
        <v>B16</v>
      </c>
      <c r="BI57" s="255">
        <f t="shared" si="18"/>
        <v>0</v>
      </c>
      <c r="BJ57" s="7">
        <f t="shared" si="19"/>
        <v>0</v>
      </c>
      <c r="BK57" s="7">
        <f t="shared" si="20"/>
        <v>0</v>
      </c>
      <c r="BL57" s="17">
        <f>IF(BF57="","",IF(AND(BI56=BI57,BJ56=BJ57,BK56=BK57),BL56,$BL$9+48))</f>
        <v>46</v>
      </c>
      <c r="BM57" s="22"/>
      <c r="BN57" s="225"/>
    </row>
    <row r="58" spans="1:66" ht="16.2" thickBot="1" x14ac:dyDescent="0.35">
      <c r="A58" s="20"/>
      <c r="B58" s="18"/>
      <c r="C58" s="18"/>
      <c r="D58" s="18"/>
      <c r="E58" s="18"/>
      <c r="F58" s="20"/>
      <c r="G58" s="20"/>
      <c r="H58" s="18"/>
      <c r="I58" s="20"/>
      <c r="J58" s="20"/>
      <c r="K58" s="20"/>
      <c r="L58" s="20"/>
      <c r="P58" s="18"/>
      <c r="Q58" s="20"/>
      <c r="R58" s="22"/>
      <c r="S58" s="18"/>
      <c r="T58" s="18"/>
      <c r="U58" s="18"/>
      <c r="V58" s="18"/>
      <c r="W58" s="18"/>
      <c r="X58" s="18"/>
      <c r="Y58" s="20"/>
      <c r="Z58" s="58"/>
      <c r="AA58" s="58"/>
      <c r="AB58" s="58"/>
      <c r="AC58" s="58"/>
      <c r="AD58" s="59"/>
      <c r="AE58" s="59"/>
      <c r="AF58" s="59"/>
      <c r="AG58" s="58"/>
      <c r="AH58" s="58"/>
      <c r="AI58" s="59"/>
      <c r="AJ58" s="59"/>
      <c r="AK58" s="58"/>
      <c r="AL58" s="58"/>
      <c r="AM58" s="58"/>
      <c r="AN58" s="18"/>
      <c r="AO58" s="44">
        <v>50</v>
      </c>
      <c r="AP58" s="5" t="str">
        <f>+Inscrits!F16</f>
        <v>C14</v>
      </c>
      <c r="AQ58" s="247">
        <f t="shared" si="3"/>
        <v>1</v>
      </c>
      <c r="AR58" s="82">
        <f t="shared" si="4"/>
        <v>-10</v>
      </c>
      <c r="AS58" s="184">
        <f t="shared" si="5"/>
        <v>1</v>
      </c>
      <c r="AT58" s="250">
        <f t="shared" si="6"/>
        <v>1</v>
      </c>
      <c r="AU58" s="82">
        <f t="shared" si="7"/>
        <v>-6</v>
      </c>
      <c r="AV58" s="252">
        <f t="shared" si="8"/>
        <v>1</v>
      </c>
      <c r="AW58" s="247">
        <f t="shared" si="9"/>
        <v>3</v>
      </c>
      <c r="AX58" s="82">
        <f t="shared" si="10"/>
        <v>8</v>
      </c>
      <c r="AY58" s="252">
        <f t="shared" si="11"/>
        <v>9</v>
      </c>
      <c r="AZ58" s="247">
        <f t="shared" si="17"/>
        <v>5</v>
      </c>
      <c r="BA58" s="82">
        <f t="shared" si="12"/>
        <v>-8</v>
      </c>
      <c r="BB58" s="252">
        <f t="shared" si="13"/>
        <v>11</v>
      </c>
      <c r="BC58" s="32">
        <f t="shared" si="14"/>
        <v>-8</v>
      </c>
      <c r="BD58" s="47">
        <f t="shared" si="15"/>
        <v>0</v>
      </c>
      <c r="BE58" s="304">
        <f t="shared" si="16"/>
        <v>23.078900579999996</v>
      </c>
      <c r="BF58" s="82">
        <f>IF(AP58="","",SMALL(BE$9:BE$62,ROWS(AZ$9:AZ58)))</f>
        <v>46.00000043</v>
      </c>
      <c r="BH58" s="78" t="str">
        <f>IF(OR(AP58="",AZ58=""),"",INDEX($AP$9:$AP$63,MATCH(BF58,$BE$9:BE$62,0)))</f>
        <v>B17</v>
      </c>
      <c r="BI58" s="255">
        <f t="shared" si="18"/>
        <v>0</v>
      </c>
      <c r="BJ58" s="7">
        <f t="shared" si="19"/>
        <v>0</v>
      </c>
      <c r="BK58" s="7">
        <f t="shared" si="20"/>
        <v>0</v>
      </c>
      <c r="BL58" s="17">
        <f>IF(BF58="","",IF(AND(BI57=BI58,BJ57=BJ58,BK57=BK58),BL57,$BL$9+49))</f>
        <v>46</v>
      </c>
      <c r="BM58" s="22"/>
      <c r="BN58" s="225"/>
    </row>
    <row r="59" spans="1:66" ht="15.6" x14ac:dyDescent="0.3">
      <c r="A59" s="20"/>
      <c r="B59" s="18"/>
      <c r="C59" s="18"/>
      <c r="D59" s="18"/>
      <c r="E59" s="18"/>
      <c r="F59" s="20"/>
      <c r="G59" s="20"/>
      <c r="H59" s="18"/>
      <c r="I59" s="20"/>
      <c r="J59" s="20"/>
      <c r="K59" s="20"/>
      <c r="L59" s="20"/>
      <c r="P59" s="18"/>
      <c r="Q59" s="20"/>
      <c r="R59" s="22"/>
      <c r="S59" s="18"/>
      <c r="T59" s="18"/>
      <c r="U59" s="18"/>
      <c r="V59" s="18"/>
      <c r="W59" s="18"/>
      <c r="X59" s="18"/>
      <c r="Y59" s="382">
        <v>7</v>
      </c>
      <c r="Z59" s="9" t="str">
        <f>+O22</f>
        <v>A13</v>
      </c>
      <c r="AA59" s="25">
        <v>1</v>
      </c>
      <c r="AB59" s="38">
        <f>IF(AA59+AA63=0,0,IF(AA59=AA63,2,IF(AA59&gt;AA63,3,1)))</f>
        <v>1</v>
      </c>
      <c r="AC59" s="10">
        <f>AA59-AA63</f>
        <v>-9</v>
      </c>
      <c r="AD59" s="6"/>
      <c r="AE59" s="9" t="str">
        <f>+R22</f>
        <v>A14</v>
      </c>
      <c r="AF59" s="107">
        <v>1</v>
      </c>
      <c r="AG59" s="38">
        <f>IF(AF59+AF63=0,0,IF(AF59=AF63,2,IF(AF59&gt;AF63,3,1)))</f>
        <v>1</v>
      </c>
      <c r="AH59" s="10">
        <f>AF59-AF63</f>
        <v>-11</v>
      </c>
      <c r="AI59" s="6"/>
      <c r="AJ59" s="9" t="str">
        <f>+U22</f>
        <v>A15</v>
      </c>
      <c r="AK59" s="28">
        <v>1</v>
      </c>
      <c r="AL59" s="38">
        <f>IF(AK59+AK63=0,0,IF(AK59=AK63,2,IF(AK59&gt;AK63,3,1)))</f>
        <v>1</v>
      </c>
      <c r="AM59" s="10">
        <f>AK59-AK63</f>
        <v>-8</v>
      </c>
      <c r="AN59" s="18"/>
      <c r="AO59" s="44">
        <v>51</v>
      </c>
      <c r="AP59" s="5" t="str">
        <f>+Inscrits!F17</f>
        <v>C15</v>
      </c>
      <c r="AQ59" s="247">
        <f t="shared" si="3"/>
        <v>3</v>
      </c>
      <c r="AR59" s="82">
        <f t="shared" si="4"/>
        <v>10</v>
      </c>
      <c r="AS59" s="184">
        <f t="shared" si="5"/>
        <v>11</v>
      </c>
      <c r="AT59" s="250">
        <f t="shared" si="6"/>
        <v>3</v>
      </c>
      <c r="AU59" s="82">
        <f t="shared" si="7"/>
        <v>6</v>
      </c>
      <c r="AV59" s="252">
        <f t="shared" si="8"/>
        <v>7</v>
      </c>
      <c r="AW59" s="247">
        <f t="shared" si="9"/>
        <v>1</v>
      </c>
      <c r="AX59" s="82">
        <f t="shared" si="10"/>
        <v>-4</v>
      </c>
      <c r="AY59" s="252">
        <f t="shared" si="11"/>
        <v>5</v>
      </c>
      <c r="AZ59" s="247">
        <f t="shared" si="17"/>
        <v>7</v>
      </c>
      <c r="BA59" s="82">
        <f t="shared" si="12"/>
        <v>12</v>
      </c>
      <c r="BB59" s="252">
        <f t="shared" si="13"/>
        <v>23</v>
      </c>
      <c r="BC59" s="32">
        <f t="shared" si="14"/>
        <v>0</v>
      </c>
      <c r="BD59" s="47">
        <f t="shared" si="15"/>
        <v>12</v>
      </c>
      <c r="BE59" s="304">
        <f t="shared" si="16"/>
        <v>6.8777005899999999</v>
      </c>
      <c r="BF59" s="82">
        <f>IF(AP59="","",SMALL(BE$9:BE$62,ROWS(AZ$9:AZ59)))</f>
        <v>46.000000440000001</v>
      </c>
      <c r="BH59" s="78" t="str">
        <f>IF(OR(AP59="",AZ59=""),"",INDEX($AP$9:$AP$63,MATCH(BF59,$BE$9:BE$62,0)))</f>
        <v>B18</v>
      </c>
      <c r="BI59" s="255">
        <f t="shared" si="18"/>
        <v>0</v>
      </c>
      <c r="BJ59" s="7">
        <f t="shared" si="19"/>
        <v>0</v>
      </c>
      <c r="BK59" s="7">
        <f t="shared" si="20"/>
        <v>0</v>
      </c>
      <c r="BL59" s="17">
        <f>IF(BF59="","",IF(AND(BI58=BI59,BJ58=BJ59,BK58=BK59),BL58,$BL$9+50))</f>
        <v>46</v>
      </c>
      <c r="BM59" s="22"/>
      <c r="BN59" s="225"/>
    </row>
    <row r="60" spans="1:66" ht="16.2" thickBot="1" x14ac:dyDescent="0.35">
      <c r="A60" s="20"/>
      <c r="B60" s="22"/>
      <c r="C60" s="22"/>
      <c r="D60" s="20"/>
      <c r="E60" s="20"/>
      <c r="F60" s="20"/>
      <c r="G60" s="20"/>
      <c r="H60" s="18"/>
      <c r="I60" s="20"/>
      <c r="J60" s="20"/>
      <c r="K60" s="20"/>
      <c r="L60" s="20"/>
      <c r="P60" s="18"/>
      <c r="Q60" s="20"/>
      <c r="R60" s="22"/>
      <c r="S60" s="22"/>
      <c r="T60" s="22"/>
      <c r="U60" s="18"/>
      <c r="V60" s="18"/>
      <c r="W60" s="18"/>
      <c r="X60" s="18"/>
      <c r="Y60" s="383"/>
      <c r="Z60" s="11" t="str">
        <f>+P22</f>
        <v>B13</v>
      </c>
      <c r="AA60" s="14">
        <f>IF(ISTEXT(Z60),AA59,0)</f>
        <v>1</v>
      </c>
      <c r="AB60" s="14">
        <f>IF(ISTEXT(Z60),AB59,0)</f>
        <v>1</v>
      </c>
      <c r="AC60" s="15">
        <f>IF(ISTEXT(Z60),AC59,0)</f>
        <v>-9</v>
      </c>
      <c r="AD60" s="6"/>
      <c r="AE60" s="11" t="str">
        <f>+S22</f>
        <v>B2</v>
      </c>
      <c r="AF60" s="14">
        <f>IF(ISTEXT(AE60),AF59,0)</f>
        <v>1</v>
      </c>
      <c r="AG60" s="48">
        <f>IF(ISTEXT(AE60),AG59,0)</f>
        <v>1</v>
      </c>
      <c r="AH60" s="15">
        <f>IF(ISTEXT(AE60),AH59,0)</f>
        <v>-11</v>
      </c>
      <c r="AI60" s="6"/>
      <c r="AJ60" s="11" t="str">
        <f>+V22</f>
        <v>B4</v>
      </c>
      <c r="AK60" s="14">
        <f>IF(ISTEXT(AJ60),AK59,0)</f>
        <v>1</v>
      </c>
      <c r="AL60" s="48">
        <f>IF(ISTEXT(AJ60),AL59,0)</f>
        <v>1</v>
      </c>
      <c r="AM60" s="15">
        <f>IF(ISTEXT(AJ60),AM59,0)</f>
        <v>-8</v>
      </c>
      <c r="AN60" s="18"/>
      <c r="AO60" s="44">
        <v>52</v>
      </c>
      <c r="AP60" s="5" t="str">
        <f>+Inscrits!F18</f>
        <v>C16</v>
      </c>
      <c r="AQ60" s="247" t="str">
        <f t="shared" si="3"/>
        <v xml:space="preserve"> </v>
      </c>
      <c r="AR60" s="82" t="str">
        <f t="shared" si="4"/>
        <v xml:space="preserve"> </v>
      </c>
      <c r="AS60" s="184" t="str">
        <f t="shared" si="5"/>
        <v xml:space="preserve"> </v>
      </c>
      <c r="AT60" s="250" t="str">
        <f t="shared" si="6"/>
        <v xml:space="preserve"> </v>
      </c>
      <c r="AU60" s="82" t="str">
        <f t="shared" si="7"/>
        <v xml:space="preserve"> </v>
      </c>
      <c r="AV60" s="252" t="str">
        <f t="shared" si="8"/>
        <v xml:space="preserve"> </v>
      </c>
      <c r="AW60" s="247" t="str">
        <f t="shared" si="9"/>
        <v xml:space="preserve"> </v>
      </c>
      <c r="AX60" s="82" t="str">
        <f t="shared" si="10"/>
        <v xml:space="preserve"> </v>
      </c>
      <c r="AY60" s="252" t="str">
        <f t="shared" si="11"/>
        <v xml:space="preserve"> </v>
      </c>
      <c r="AZ60" s="247">
        <f t="shared" si="17"/>
        <v>0</v>
      </c>
      <c r="BA60" s="82">
        <f t="shared" si="12"/>
        <v>0</v>
      </c>
      <c r="BB60" s="252">
        <f t="shared" si="13"/>
        <v>0</v>
      </c>
      <c r="BC60" s="32">
        <f t="shared" si="14"/>
        <v>0</v>
      </c>
      <c r="BD60" s="47">
        <f t="shared" si="15"/>
        <v>0</v>
      </c>
      <c r="BE60" s="304">
        <f t="shared" si="16"/>
        <v>46.0000006</v>
      </c>
      <c r="BF60" s="82">
        <f>IF(AP60="","",SMALL(BE$9:BE$62,ROWS(AZ$9:AZ60)))</f>
        <v>46.0000006</v>
      </c>
      <c r="BH60" s="78" t="str">
        <f>IF(OR(AP60="",AZ60=""),"",INDEX($AP$9:$AP$63,MATCH(BF60,$BE$9:BE$62,0)))</f>
        <v>C16</v>
      </c>
      <c r="BI60" s="255">
        <f t="shared" si="18"/>
        <v>0</v>
      </c>
      <c r="BJ60" s="7">
        <f t="shared" si="19"/>
        <v>0</v>
      </c>
      <c r="BK60" s="7">
        <f t="shared" si="20"/>
        <v>0</v>
      </c>
      <c r="BL60" s="17">
        <f>IF(BF60="","",IF(AND(BI59=BI60,BJ59=BJ60,BK59=BK60),BL59,$BL$9+51))</f>
        <v>46</v>
      </c>
      <c r="BM60" s="22"/>
      <c r="BN60" s="225"/>
    </row>
    <row r="61" spans="1:66" ht="15.6" x14ac:dyDescent="0.3">
      <c r="A61" s="20"/>
      <c r="B61" s="22"/>
      <c r="C61" s="22"/>
      <c r="D61" s="20"/>
      <c r="E61" s="20"/>
      <c r="F61" s="20"/>
      <c r="G61" s="20"/>
      <c r="H61" s="18"/>
      <c r="I61" s="20"/>
      <c r="J61" s="20"/>
      <c r="K61" s="20"/>
      <c r="L61" s="20"/>
      <c r="P61" s="18"/>
      <c r="Q61" s="20"/>
      <c r="R61" s="22"/>
      <c r="S61" s="22"/>
      <c r="T61" s="22"/>
      <c r="U61" s="22"/>
      <c r="V61" s="18"/>
      <c r="W61" s="18"/>
      <c r="X61" s="18"/>
      <c r="Y61" s="383"/>
      <c r="Z61" s="11" t="str">
        <f>+Q22</f>
        <v>C13</v>
      </c>
      <c r="AA61" s="55">
        <f>IF(ISTEXT(Z61),AA59,0)</f>
        <v>1</v>
      </c>
      <c r="AB61" s="55">
        <f>IF(ISTEXT(Z61),AB59,0)</f>
        <v>1</v>
      </c>
      <c r="AC61" s="56">
        <f>IF(ISTEXT(Z61),AC59,0)</f>
        <v>-9</v>
      </c>
      <c r="AD61" s="6"/>
      <c r="AE61" s="11" t="str">
        <f>+T22</f>
        <v>C1</v>
      </c>
      <c r="AF61" s="55">
        <f>IF(ISTEXT(AE61),AF59,0)</f>
        <v>1</v>
      </c>
      <c r="AG61" s="52">
        <f>IF(ISTEXT(AE61),AG59,0)</f>
        <v>1</v>
      </c>
      <c r="AH61" s="56">
        <f>IF(ISTEXT(AE61),AH59,0)</f>
        <v>-11</v>
      </c>
      <c r="AI61" s="6"/>
      <c r="AJ61" s="11" t="str">
        <f>+W22</f>
        <v>C4</v>
      </c>
      <c r="AK61" s="55">
        <f>IF(ISTEXT(AJ61),AK59,0)</f>
        <v>1</v>
      </c>
      <c r="AL61" s="52">
        <f>IF(ISTEXT(AJ61),AL59,0)</f>
        <v>1</v>
      </c>
      <c r="AM61" s="56">
        <f>IF(ISTEXT(AJ61),AM59,0)</f>
        <v>-8</v>
      </c>
      <c r="AN61" s="18"/>
      <c r="AO61" s="44">
        <v>53</v>
      </c>
      <c r="AP61" s="5" t="str">
        <f>+Inscrits!F19</f>
        <v>C17</v>
      </c>
      <c r="AQ61" s="247" t="str">
        <f t="shared" si="3"/>
        <v xml:space="preserve"> </v>
      </c>
      <c r="AR61" s="82" t="str">
        <f t="shared" si="4"/>
        <v xml:space="preserve"> </v>
      </c>
      <c r="AS61" s="184" t="str">
        <f t="shared" si="5"/>
        <v xml:space="preserve"> </v>
      </c>
      <c r="AT61" s="250" t="str">
        <f t="shared" si="6"/>
        <v xml:space="preserve"> </v>
      </c>
      <c r="AU61" s="82" t="str">
        <f t="shared" si="7"/>
        <v xml:space="preserve"> </v>
      </c>
      <c r="AV61" s="252" t="str">
        <f t="shared" si="8"/>
        <v xml:space="preserve"> </v>
      </c>
      <c r="AW61" s="247" t="str">
        <f t="shared" si="9"/>
        <v xml:space="preserve"> </v>
      </c>
      <c r="AX61" s="82" t="str">
        <f t="shared" si="10"/>
        <v xml:space="preserve"> </v>
      </c>
      <c r="AY61" s="252" t="str">
        <f t="shared" si="11"/>
        <v xml:space="preserve"> </v>
      </c>
      <c r="AZ61" s="247">
        <f t="shared" si="17"/>
        <v>0</v>
      </c>
      <c r="BA61" s="82">
        <f t="shared" si="12"/>
        <v>0</v>
      </c>
      <c r="BB61" s="252">
        <f t="shared" si="13"/>
        <v>0</v>
      </c>
      <c r="BC61" s="32">
        <f t="shared" si="14"/>
        <v>0</v>
      </c>
      <c r="BD61" s="47">
        <f t="shared" si="15"/>
        <v>0</v>
      </c>
      <c r="BE61" s="304">
        <f t="shared" si="16"/>
        <v>46.000000610000001</v>
      </c>
      <c r="BF61" s="82">
        <f>IF(AP61="","",SMALL(BE$9:BE$62,ROWS(AZ$9:AZ61)))</f>
        <v>46.000000610000001</v>
      </c>
      <c r="BH61" s="78" t="str">
        <f>IF(OR(AP61="",AZ61=""),"",INDEX($AP$9:$AP$63,MATCH(BF61,$BE$9:BE$62,0)))</f>
        <v>C17</v>
      </c>
      <c r="BI61" s="255">
        <f t="shared" si="18"/>
        <v>0</v>
      </c>
      <c r="BJ61" s="7">
        <f t="shared" si="19"/>
        <v>0</v>
      </c>
      <c r="BK61" s="7">
        <f t="shared" si="20"/>
        <v>0</v>
      </c>
      <c r="BL61" s="17">
        <f>IF(BF61="","",IF(AND(BI60=BI61,BJ60=BJ61,BK60=BK61),BL60,$BL$9+52))</f>
        <v>46</v>
      </c>
      <c r="BM61" s="22"/>
      <c r="BN61" s="225"/>
    </row>
    <row r="62" spans="1:66" ht="16.2" thickBot="1" x14ac:dyDescent="0.35">
      <c r="A62" s="20"/>
      <c r="B62" s="22"/>
      <c r="C62" s="22"/>
      <c r="D62" s="20"/>
      <c r="E62" s="20"/>
      <c r="F62" s="20"/>
      <c r="G62" s="20"/>
      <c r="H62" s="18"/>
      <c r="I62" s="20"/>
      <c r="J62" s="20"/>
      <c r="K62" s="20"/>
      <c r="L62" s="20"/>
      <c r="P62" s="18"/>
      <c r="Q62" s="20"/>
      <c r="R62" s="22"/>
      <c r="S62" s="22"/>
      <c r="T62" s="22"/>
      <c r="U62" s="22"/>
      <c r="V62" s="18"/>
      <c r="W62" s="18"/>
      <c r="X62" s="18"/>
      <c r="Y62" s="383"/>
      <c r="Z62" s="24"/>
      <c r="AA62" s="16" t="s">
        <v>5</v>
      </c>
      <c r="AB62" s="16"/>
      <c r="AC62" s="17"/>
      <c r="AD62" s="1"/>
      <c r="AE62" s="24"/>
      <c r="AF62" s="16" t="s">
        <v>5</v>
      </c>
      <c r="AG62" s="16"/>
      <c r="AH62" s="17"/>
      <c r="AI62" s="1"/>
      <c r="AJ62" s="24"/>
      <c r="AK62" s="16" t="s">
        <v>5</v>
      </c>
      <c r="AL62" s="16"/>
      <c r="AM62" s="17"/>
      <c r="AN62" s="18"/>
      <c r="AO62" s="283">
        <v>54</v>
      </c>
      <c r="AP62" s="280" t="str">
        <f>+Inscrits!F20</f>
        <v>C18</v>
      </c>
      <c r="AQ62" s="248" t="str">
        <f t="shared" si="3"/>
        <v xml:space="preserve"> </v>
      </c>
      <c r="AR62" s="189" t="str">
        <f t="shared" si="4"/>
        <v xml:space="preserve"> </v>
      </c>
      <c r="AS62" s="190" t="str">
        <f t="shared" si="5"/>
        <v xml:space="preserve"> </v>
      </c>
      <c r="AT62" s="251" t="str">
        <f t="shared" si="6"/>
        <v xml:space="preserve"> </v>
      </c>
      <c r="AU62" s="189" t="str">
        <f t="shared" si="7"/>
        <v xml:space="preserve"> </v>
      </c>
      <c r="AV62" s="253" t="str">
        <f t="shared" si="8"/>
        <v xml:space="preserve"> </v>
      </c>
      <c r="AW62" s="248" t="str">
        <f t="shared" si="9"/>
        <v xml:space="preserve"> </v>
      </c>
      <c r="AX62" s="189" t="str">
        <f t="shared" si="10"/>
        <v xml:space="preserve"> </v>
      </c>
      <c r="AY62" s="253" t="str">
        <f t="shared" si="11"/>
        <v xml:space="preserve"> </v>
      </c>
      <c r="AZ62" s="248">
        <f t="shared" si="17"/>
        <v>0</v>
      </c>
      <c r="BA62" s="189">
        <f t="shared" si="12"/>
        <v>0</v>
      </c>
      <c r="BB62" s="253">
        <f t="shared" si="13"/>
        <v>0</v>
      </c>
      <c r="BC62" s="305">
        <f t="shared" si="14"/>
        <v>0</v>
      </c>
      <c r="BD62" s="306">
        <f t="shared" si="15"/>
        <v>0</v>
      </c>
      <c r="BE62" s="304">
        <f t="shared" si="16"/>
        <v>46.000000620000002</v>
      </c>
      <c r="BF62" s="189">
        <f>IF(AP62="","",SMALL(BE$9:BE$62,ROWS(AZ$9:AZ62)))</f>
        <v>46.000000620000002</v>
      </c>
      <c r="BH62" s="309" t="str">
        <f>IF(OR(AP62="",AZ62=""),"",INDEX($AP$9:$AP$63,MATCH(BF62,$BE$9:BE$62,0)))</f>
        <v>C18</v>
      </c>
      <c r="BI62" s="256">
        <f t="shared" si="18"/>
        <v>0</v>
      </c>
      <c r="BJ62" s="244">
        <f t="shared" si="19"/>
        <v>0</v>
      </c>
      <c r="BK62" s="244">
        <f t="shared" si="20"/>
        <v>0</v>
      </c>
      <c r="BL62" s="17">
        <f>IF(BF62="","",IF(AND(BI61=BI62,BJ61=BJ62,BK61=BK62),BL61,$BL$9+53))</f>
        <v>46</v>
      </c>
      <c r="BM62" s="22"/>
      <c r="BN62" s="225"/>
    </row>
    <row r="63" spans="1:66" ht="15.6" x14ac:dyDescent="0.3">
      <c r="A63" s="20"/>
      <c r="B63" s="22"/>
      <c r="C63" s="22"/>
      <c r="D63" s="20"/>
      <c r="E63" s="20"/>
      <c r="F63" s="20"/>
      <c r="G63" s="20"/>
      <c r="H63" s="18"/>
      <c r="I63" s="20"/>
      <c r="J63" s="20"/>
      <c r="K63" s="20"/>
      <c r="L63" s="20"/>
      <c r="P63" s="18"/>
      <c r="Q63" s="20"/>
      <c r="R63" s="22"/>
      <c r="S63" s="22"/>
      <c r="T63" s="22"/>
      <c r="U63" s="22"/>
      <c r="V63" s="18"/>
      <c r="W63" s="18"/>
      <c r="X63" s="18"/>
      <c r="Y63" s="383"/>
      <c r="Z63" s="11" t="str">
        <f>+O23</f>
        <v>A14</v>
      </c>
      <c r="AA63" s="27">
        <v>10</v>
      </c>
      <c r="AB63" s="23">
        <f>IF(AA59+AA63=0,0,IF(AA59=AA63,2,IF(AA59&lt;AA63,3,1)))</f>
        <v>3</v>
      </c>
      <c r="AC63" s="12">
        <f>AA63-AA59</f>
        <v>9</v>
      </c>
      <c r="AD63" s="6"/>
      <c r="AE63" s="11" t="str">
        <f>+R23</f>
        <v>A15</v>
      </c>
      <c r="AF63" s="108">
        <v>12</v>
      </c>
      <c r="AG63" s="23">
        <f>IF(AF59+AF63=0,0,IF(AF59=AF63,2,IF(AF59&lt;AF63,3,1)))</f>
        <v>3</v>
      </c>
      <c r="AH63" s="12">
        <f>AF63-AF59</f>
        <v>11</v>
      </c>
      <c r="AI63" s="6"/>
      <c r="AJ63" s="11" t="str">
        <f>+U23</f>
        <v>A1</v>
      </c>
      <c r="AK63" s="29">
        <v>9</v>
      </c>
      <c r="AL63" s="23">
        <f>IF(AK59+AK63=0,0,IF(AK59=AK63,2,IF(AK59&lt;AK63,3,1)))</f>
        <v>3</v>
      </c>
      <c r="AM63" s="12">
        <f>AK63-AK59</f>
        <v>8</v>
      </c>
      <c r="AN63" s="18"/>
      <c r="AP63" s="4"/>
      <c r="AQ63" s="61">
        <f>SUM(IF(ISNA(AQ9:AQ62),0,AQ9:AQ62))</f>
        <v>89</v>
      </c>
      <c r="AR63" s="61">
        <f t="array" ref="AR63">SUM(IF(ISNA(AR9:AR62),0,AR9:AR62))</f>
        <v>-9</v>
      </c>
      <c r="AS63" s="61"/>
      <c r="AT63" s="61">
        <f>SUM(IF(ISNA(AT9:AT62),0,AT9:AT62))</f>
        <v>89</v>
      </c>
      <c r="AU63" s="61">
        <f t="array" ref="AU63">SUM(IF(ISNA(AU9:AU62),0,AU9:AU62))</f>
        <v>-11</v>
      </c>
      <c r="AV63" s="61"/>
      <c r="AW63" s="61">
        <f t="array" ref="AW63">SUM(IF(ISNA(AW9:AW62),0,AW9:AW62))</f>
        <v>89</v>
      </c>
      <c r="AX63" s="61">
        <f t="array" ref="AX63">SUM(IF(ISNA(AX9:AX62),0,AX9:AX62))</f>
        <v>-8</v>
      </c>
      <c r="AY63" s="61"/>
      <c r="AZ63" s="6">
        <f t="array" ref="AZ63">SUM(AZ9:AZ62)</f>
        <v>267</v>
      </c>
      <c r="BA63" s="6">
        <f t="array" ref="BA63">SUM(BA9:BA62)</f>
        <v>-28</v>
      </c>
      <c r="BB63" s="6"/>
      <c r="BC63" s="6"/>
      <c r="BD63" s="6"/>
      <c r="BE63" s="6"/>
      <c r="BF63" s="6"/>
      <c r="BG63" s="69"/>
      <c r="BH63" s="6"/>
      <c r="BI63" s="1"/>
      <c r="BJ63" s="6">
        <f t="array" ref="BJ63">SUM(BJ9:BJ62)</f>
        <v>-28</v>
      </c>
      <c r="BK63" s="6"/>
      <c r="BL63" s="4"/>
      <c r="BM63" s="22"/>
      <c r="BN63" s="69"/>
    </row>
    <row r="64" spans="1:66" ht="16.2" thickBot="1" x14ac:dyDescent="0.35">
      <c r="A64" s="20"/>
      <c r="B64" s="22"/>
      <c r="C64" s="22"/>
      <c r="D64" s="20"/>
      <c r="E64" s="20"/>
      <c r="F64" s="20"/>
      <c r="G64" s="20"/>
      <c r="H64" s="18"/>
      <c r="I64" s="20"/>
      <c r="J64" s="20"/>
      <c r="K64" s="20"/>
      <c r="L64" s="20"/>
      <c r="P64" s="18"/>
      <c r="Q64" s="20"/>
      <c r="R64" s="22"/>
      <c r="S64" s="22"/>
      <c r="T64" s="22"/>
      <c r="U64" s="22"/>
      <c r="V64" s="18"/>
      <c r="W64" s="18"/>
      <c r="X64" s="18"/>
      <c r="Y64" s="383"/>
      <c r="Z64" s="11" t="str">
        <f>+P23</f>
        <v>B14</v>
      </c>
      <c r="AA64" s="14">
        <f>IF(ISTEXT(Z64),AA63,0)</f>
        <v>10</v>
      </c>
      <c r="AB64" s="14">
        <f>IF(ISTEXT(Z64),AB63,0)</f>
        <v>3</v>
      </c>
      <c r="AC64" s="15">
        <f>IF(ISTEXT(Z64),AC63,0)</f>
        <v>9</v>
      </c>
      <c r="AD64" s="6"/>
      <c r="AE64" s="11" t="str">
        <f>+S23</f>
        <v>B1</v>
      </c>
      <c r="AF64" s="14">
        <f>IF(ISTEXT(AE64),AF63,0)</f>
        <v>12</v>
      </c>
      <c r="AG64" s="14">
        <f>IF(ISTEXT(AE64),AG63,0)</f>
        <v>3</v>
      </c>
      <c r="AH64" s="15">
        <f>IF(ISTEXT(AE64),AH63,0)</f>
        <v>11</v>
      </c>
      <c r="AI64" s="6"/>
      <c r="AJ64" s="11" t="str">
        <f>+V23</f>
        <v>B3</v>
      </c>
      <c r="AK64" s="14">
        <f>IF(ISTEXT(AJ64),AK63,0)</f>
        <v>9</v>
      </c>
      <c r="AL64" s="14">
        <f>IF(ISTEXT(AJ64),AL63,0)</f>
        <v>3</v>
      </c>
      <c r="AM64" s="15">
        <f>IF(ISTEXT(AJ64),AM63,0)</f>
        <v>8</v>
      </c>
      <c r="AN64" s="18"/>
      <c r="AP64" s="4"/>
      <c r="AQ64" s="6"/>
      <c r="AR64" s="1" t="str">
        <f>IF(AR63=0,"OK","ERREUR")</f>
        <v>ERREUR</v>
      </c>
      <c r="AS64" s="61"/>
      <c r="AT64" s="6"/>
      <c r="AU64" s="1" t="str">
        <f>IF(AU63=0,"OK","ERREUR")</f>
        <v>ERREUR</v>
      </c>
      <c r="AV64" s="61"/>
      <c r="AW64" s="6"/>
      <c r="AX64" s="1" t="str">
        <f>IF(AX63=0,"OK","ERREUR")</f>
        <v>ERREUR</v>
      </c>
      <c r="AY64" s="61"/>
      <c r="AZ64" s="4"/>
      <c r="BA64" s="1" t="str">
        <f>IF(BA63=0,"OK","ERREUR")</f>
        <v>ERREUR</v>
      </c>
      <c r="BB64" s="61"/>
      <c r="BC64" s="6"/>
      <c r="BD64" s="6"/>
      <c r="BE64" s="6"/>
      <c r="BF64" s="6"/>
      <c r="BG64" s="69"/>
      <c r="BH64" s="6"/>
      <c r="BI64" s="1"/>
      <c r="BJ64" s="1" t="str">
        <f>IF(BJ63=0,"OK","ERREUR")</f>
        <v>ERREUR</v>
      </c>
      <c r="BK64" s="61"/>
      <c r="BL64" s="4"/>
      <c r="BM64" s="22"/>
    </row>
    <row r="65" spans="1:65" ht="16.2" thickBot="1" x14ac:dyDescent="0.35">
      <c r="A65" s="20"/>
      <c r="B65" s="22"/>
      <c r="C65" s="22"/>
      <c r="D65" s="20"/>
      <c r="E65" s="20"/>
      <c r="F65" s="20"/>
      <c r="G65" s="20"/>
      <c r="H65" s="18"/>
      <c r="I65" s="20"/>
      <c r="J65" s="20"/>
      <c r="K65" s="20"/>
      <c r="L65" s="20"/>
      <c r="P65" s="18"/>
      <c r="Q65" s="20"/>
      <c r="R65" s="22"/>
      <c r="S65" s="22"/>
      <c r="T65" s="22"/>
      <c r="U65" s="22"/>
      <c r="V65" s="18"/>
      <c r="W65" s="18"/>
      <c r="X65" s="18"/>
      <c r="Y65" s="384"/>
      <c r="Z65" s="13">
        <f>+Q23</f>
        <v>0</v>
      </c>
      <c r="AA65" s="14">
        <f>IF(ISTEXT(Z65),AA63,0)</f>
        <v>0</v>
      </c>
      <c r="AB65" s="14">
        <f>IF(ISTEXT(Z65),AB63,0)</f>
        <v>0</v>
      </c>
      <c r="AC65" s="15">
        <f>IF(ISTEXT(Z65),AC63,0)</f>
        <v>0</v>
      </c>
      <c r="AD65" s="6"/>
      <c r="AE65" s="13">
        <f>+T23</f>
        <v>0</v>
      </c>
      <c r="AF65" s="14">
        <f>IF(ISTEXT(AE65),AF63,0)</f>
        <v>0</v>
      </c>
      <c r="AG65" s="14">
        <f>IF(ISTEXT(AE65),AG63,0)</f>
        <v>0</v>
      </c>
      <c r="AH65" s="15">
        <f>IF(ISTEXT(AE65),AH63,0)</f>
        <v>0</v>
      </c>
      <c r="AI65" s="6"/>
      <c r="AJ65" s="13">
        <f>+W23</f>
        <v>0</v>
      </c>
      <c r="AK65" s="14">
        <f>IF(ISTEXT(AJ65),AK63,0)</f>
        <v>0</v>
      </c>
      <c r="AL65" s="14">
        <f>IF(ISTEXT(AJ65),AL63,0)</f>
        <v>0</v>
      </c>
      <c r="AM65" s="15">
        <f>IF(ISTEXT(AJ65),AM63,0)</f>
        <v>0</v>
      </c>
      <c r="AN65" s="18"/>
      <c r="AO65" s="20"/>
      <c r="AP65" s="4"/>
      <c r="AQ65" s="6"/>
      <c r="AR65" s="61"/>
      <c r="AS65" s="61"/>
      <c r="AT65" s="6"/>
      <c r="AU65" s="61"/>
      <c r="AV65" s="61"/>
      <c r="AW65" s="6"/>
      <c r="AX65" s="61"/>
      <c r="AY65" s="61"/>
      <c r="AZ65" s="4"/>
      <c r="BA65" s="61"/>
      <c r="BB65" s="61"/>
      <c r="BC65" s="6"/>
      <c r="BD65" s="6"/>
      <c r="BE65" s="6"/>
      <c r="BF65" s="6"/>
      <c r="BG65" s="69"/>
      <c r="BH65" s="6"/>
      <c r="BI65" s="1"/>
      <c r="BJ65" s="61"/>
      <c r="BK65" s="61"/>
      <c r="BL65" s="4"/>
      <c r="BM65" s="22"/>
    </row>
    <row r="66" spans="1:65" ht="16.2" thickBot="1" x14ac:dyDescent="0.35">
      <c r="A66" s="20"/>
      <c r="B66" s="22"/>
      <c r="C66" s="22"/>
      <c r="D66" s="20"/>
      <c r="E66" s="20"/>
      <c r="F66" s="20"/>
      <c r="G66" s="20"/>
      <c r="H66" s="18"/>
      <c r="I66" s="20"/>
      <c r="J66" s="20"/>
      <c r="K66" s="20"/>
      <c r="L66" s="20"/>
      <c r="P66" s="18"/>
      <c r="Q66" s="20"/>
      <c r="R66" s="22"/>
      <c r="S66" s="22"/>
      <c r="T66" s="22"/>
      <c r="U66" s="22"/>
      <c r="V66" s="18"/>
      <c r="W66" s="18"/>
      <c r="X66" s="18"/>
      <c r="Y66" s="20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18"/>
      <c r="AO66" s="20"/>
      <c r="AP66" s="18"/>
      <c r="AQ66" s="69"/>
      <c r="AR66" s="19"/>
      <c r="AS66" s="19"/>
      <c r="AT66" s="69"/>
      <c r="AU66" s="69"/>
      <c r="AV66" s="69"/>
      <c r="AW66" s="69"/>
      <c r="AX66" s="19"/>
      <c r="AY66" s="19"/>
      <c r="AZ66" s="19"/>
      <c r="BA66" s="19"/>
      <c r="BB66" s="19"/>
      <c r="BC66" s="19"/>
      <c r="BD66" s="19"/>
      <c r="BE66" s="19"/>
      <c r="BF66" s="19"/>
      <c r="BG66" s="69"/>
      <c r="BH66" s="19"/>
      <c r="BI66" s="20"/>
      <c r="BJ66" s="20"/>
      <c r="BK66" s="20"/>
      <c r="BL66" s="18"/>
      <c r="BM66" s="22"/>
    </row>
    <row r="67" spans="1:65" ht="15.6" x14ac:dyDescent="0.3">
      <c r="A67" s="20"/>
      <c r="B67" s="22"/>
      <c r="C67" s="22"/>
      <c r="D67" s="20"/>
      <c r="E67" s="20"/>
      <c r="F67" s="20"/>
      <c r="G67" s="20"/>
      <c r="H67" s="18"/>
      <c r="I67" s="20"/>
      <c r="J67" s="20"/>
      <c r="K67" s="20"/>
      <c r="L67" s="20"/>
      <c r="P67" s="18"/>
      <c r="Q67" s="20"/>
      <c r="R67" s="22"/>
      <c r="S67" s="22"/>
      <c r="T67" s="22"/>
      <c r="U67" s="22"/>
      <c r="V67" s="18"/>
      <c r="W67" s="18"/>
      <c r="X67" s="18"/>
      <c r="Y67" s="382">
        <v>8</v>
      </c>
      <c r="Z67" s="9" t="str">
        <f>+O24</f>
        <v>A15</v>
      </c>
      <c r="AA67" s="25">
        <v>1</v>
      </c>
      <c r="AB67" s="38">
        <f>IF(AA67+AA71=0,0,IF(AA67=AA71,2,IF(AA67&gt;AA71,3,1)))</f>
        <v>1</v>
      </c>
      <c r="AC67" s="10">
        <f>AA67-AA71</f>
        <v>-10</v>
      </c>
      <c r="AD67" s="6"/>
      <c r="AE67" s="9" t="str">
        <f>+R24</f>
        <v>A1</v>
      </c>
      <c r="AF67" s="107">
        <v>1</v>
      </c>
      <c r="AG67" s="38">
        <f>IF(AF67+AF71=0,0,IF(AF67=AF71,2,IF(AF67&gt;AF71,3,1)))</f>
        <v>1</v>
      </c>
      <c r="AH67" s="10">
        <f>AF67-AF71</f>
        <v>-12</v>
      </c>
      <c r="AI67" s="6"/>
      <c r="AJ67" s="9" t="str">
        <f>+U24</f>
        <v>A2</v>
      </c>
      <c r="AK67" s="28">
        <v>13</v>
      </c>
      <c r="AL67" s="38">
        <f>IF(AK67+AK71=0,0,IF(AK67=AK71,2,IF(AK67&gt;AK71,3,1)))</f>
        <v>3</v>
      </c>
      <c r="AM67" s="10">
        <f>AK67-AK71</f>
        <v>11</v>
      </c>
      <c r="AN67" s="18"/>
      <c r="AO67" s="20"/>
      <c r="AP67" s="326" t="s">
        <v>28</v>
      </c>
      <c r="AQ67" s="323">
        <f>COUNTIF(AQ9:AQ56,1)</f>
        <v>21</v>
      </c>
      <c r="AR67" s="324"/>
      <c r="AS67" s="324"/>
      <c r="AT67" s="323">
        <f>COUNTIF(AT9:AT56,1)</f>
        <v>22</v>
      </c>
      <c r="AU67" s="323"/>
      <c r="AV67" s="323"/>
      <c r="AW67" s="323">
        <f>COUNTIF(AW9:AW56,1)</f>
        <v>21</v>
      </c>
      <c r="AX67" s="324"/>
      <c r="AY67" s="324"/>
      <c r="AZ67" s="323">
        <f>COUNTIF(AZ9:AZ62,3)</f>
        <v>7</v>
      </c>
      <c r="BA67" s="69"/>
      <c r="BB67" s="69"/>
      <c r="BC67" s="21">
        <f>COUNTIF(BC9:BC56,1)</f>
        <v>0</v>
      </c>
      <c r="BD67" s="21"/>
      <c r="BE67" s="21"/>
      <c r="BF67" s="21">
        <f>COUNTIF(BF9:BF56,1)</f>
        <v>0</v>
      </c>
      <c r="BG67" s="69"/>
      <c r="BH67" s="18"/>
      <c r="BI67" s="18"/>
      <c r="BJ67" s="18"/>
      <c r="BK67" s="18"/>
      <c r="BL67" s="18"/>
      <c r="BM67" s="22"/>
    </row>
    <row r="68" spans="1:65" ht="16.2" thickBot="1" x14ac:dyDescent="0.35">
      <c r="A68" s="20"/>
      <c r="B68" s="22"/>
      <c r="C68" s="22"/>
      <c r="D68" s="20"/>
      <c r="E68" s="20"/>
      <c r="F68" s="20"/>
      <c r="G68" s="20"/>
      <c r="H68" s="18"/>
      <c r="I68" s="20"/>
      <c r="J68" s="20"/>
      <c r="K68" s="20"/>
      <c r="L68" s="20"/>
      <c r="P68" s="18"/>
      <c r="Q68" s="20"/>
      <c r="R68" s="22"/>
      <c r="S68" s="22"/>
      <c r="T68" s="22"/>
      <c r="U68" s="22"/>
      <c r="V68" s="18"/>
      <c r="W68" s="18"/>
      <c r="X68" s="18"/>
      <c r="Y68" s="383"/>
      <c r="Z68" s="11" t="str">
        <f>+P24</f>
        <v>C14</v>
      </c>
      <c r="AA68" s="14">
        <f>IF(ISTEXT(Z68),AA67,0)</f>
        <v>1</v>
      </c>
      <c r="AB68" s="14">
        <f>IF(ISTEXT(Z68),AB67,0)</f>
        <v>1</v>
      </c>
      <c r="AC68" s="15">
        <f>IF(ISTEXT(Z68),AC67,0)</f>
        <v>-10</v>
      </c>
      <c r="AD68" s="6"/>
      <c r="AE68" s="11" t="str">
        <f>+S24</f>
        <v>C2</v>
      </c>
      <c r="AF68" s="14">
        <f>IF(ISTEXT(AE68),AF67,0)</f>
        <v>1</v>
      </c>
      <c r="AG68" s="48">
        <f>IF(ISTEXT(AE68),AG67,0)</f>
        <v>1</v>
      </c>
      <c r="AH68" s="15">
        <f>IF(ISTEXT(AE68),AH67,0)</f>
        <v>-12</v>
      </c>
      <c r="AI68" s="6"/>
      <c r="AJ68" s="11" t="str">
        <f>+V24</f>
        <v>C5</v>
      </c>
      <c r="AK68" s="14">
        <f>IF(ISTEXT(AJ68),AK67,0)</f>
        <v>13</v>
      </c>
      <c r="AL68" s="48">
        <f>IF(ISTEXT(AJ68),AL67,0)</f>
        <v>3</v>
      </c>
      <c r="AM68" s="15">
        <f>IF(ISTEXT(AJ68),AM67,0)</f>
        <v>11</v>
      </c>
      <c r="AN68" s="18"/>
      <c r="AO68" s="20"/>
      <c r="AP68" s="326" t="s">
        <v>44</v>
      </c>
      <c r="AQ68" s="323">
        <f>COUNTIF(AQ9:AQ56,2)</f>
        <v>0</v>
      </c>
      <c r="AR68" s="324"/>
      <c r="AS68" s="324"/>
      <c r="AT68" s="323">
        <f>COUNTIF(AT9:AT56,2)</f>
        <v>0</v>
      </c>
      <c r="AU68" s="324"/>
      <c r="AV68" s="324"/>
      <c r="AW68" s="323">
        <f>COUNTIF(AW9:AW56,2)</f>
        <v>0</v>
      </c>
      <c r="AX68" s="324"/>
      <c r="AY68" s="324"/>
      <c r="AZ68" s="323">
        <f>COUNTIF(AZ9:AZ62,5)</f>
        <v>16</v>
      </c>
      <c r="BA68" s="69"/>
      <c r="BB68" s="69"/>
      <c r="BC68" s="21">
        <f>COUNTIF(BC9:BC56,2)</f>
        <v>0</v>
      </c>
      <c r="BD68" s="200"/>
      <c r="BE68" s="200"/>
      <c r="BF68" s="21">
        <f>COUNTIF(BF9:BF56,2)</f>
        <v>0</v>
      </c>
      <c r="BG68" s="69"/>
      <c r="BH68" s="18"/>
      <c r="BI68" s="18"/>
      <c r="BJ68" s="18"/>
      <c r="BK68" s="18"/>
      <c r="BL68" s="18"/>
      <c r="BM68" s="22"/>
    </row>
    <row r="69" spans="1:65" ht="15.6" x14ac:dyDescent="0.3">
      <c r="A69" s="20"/>
      <c r="B69" s="22"/>
      <c r="C69" s="22"/>
      <c r="D69" s="20"/>
      <c r="E69" s="20"/>
      <c r="F69" s="20"/>
      <c r="G69" s="20"/>
      <c r="H69" s="18"/>
      <c r="I69" s="20"/>
      <c r="J69" s="20"/>
      <c r="K69" s="20"/>
      <c r="L69" s="20"/>
      <c r="P69" s="18"/>
      <c r="Q69" s="20"/>
      <c r="R69" s="22"/>
      <c r="S69" s="22"/>
      <c r="T69" s="22"/>
      <c r="U69" s="22"/>
      <c r="V69" s="18"/>
      <c r="W69" s="18"/>
      <c r="X69" s="18"/>
      <c r="Y69" s="383"/>
      <c r="Z69" s="11">
        <f>+Q24</f>
        <v>0</v>
      </c>
      <c r="AA69" s="55">
        <f>IF(ISTEXT(Z69),AA67,0)</f>
        <v>0</v>
      </c>
      <c r="AB69" s="55">
        <f>IF(ISTEXT(Z69),AB67,0)</f>
        <v>0</v>
      </c>
      <c r="AC69" s="56">
        <f>IF(ISTEXT(Z69),AC67,0)</f>
        <v>0</v>
      </c>
      <c r="AD69" s="6"/>
      <c r="AE69" s="11">
        <f>+T24</f>
        <v>0</v>
      </c>
      <c r="AF69" s="55">
        <f>IF(ISTEXT(AE69),AF67,0)</f>
        <v>0</v>
      </c>
      <c r="AG69" s="52">
        <f>IF(ISTEXT(AE69),AG67,0)</f>
        <v>0</v>
      </c>
      <c r="AH69" s="56">
        <f>IF(ISTEXT(AE69),AH67,0)</f>
        <v>0</v>
      </c>
      <c r="AI69" s="6"/>
      <c r="AJ69" s="11">
        <f>+W24</f>
        <v>0</v>
      </c>
      <c r="AK69" s="55">
        <f>IF(ISTEXT(AJ69),AK67,0)</f>
        <v>0</v>
      </c>
      <c r="AL69" s="52">
        <f>IF(ISTEXT(AJ69),AL67,0)</f>
        <v>0</v>
      </c>
      <c r="AM69" s="56">
        <f>IF(ISTEXT(AJ69),AM67,0)</f>
        <v>0</v>
      </c>
      <c r="AN69" s="18"/>
      <c r="AO69" s="18"/>
      <c r="AP69" s="326" t="s">
        <v>47</v>
      </c>
      <c r="AQ69" s="323"/>
      <c r="AR69" s="324"/>
      <c r="AS69" s="324"/>
      <c r="AT69" s="323"/>
      <c r="AU69" s="324"/>
      <c r="AV69" s="324"/>
      <c r="AW69" s="323"/>
      <c r="AX69" s="324"/>
      <c r="AY69" s="324"/>
      <c r="AZ69" s="323">
        <f>COUNTIF(AZ10:AZ63,6)</f>
        <v>0</v>
      </c>
      <c r="BA69" s="69"/>
      <c r="BB69" s="69"/>
      <c r="BC69" s="21">
        <f>COUNTIF(BC9:BC56,3)</f>
        <v>0</v>
      </c>
      <c r="BD69" s="200"/>
      <c r="BE69" s="200"/>
      <c r="BF69" s="21">
        <f>COUNTIF(BF9:BF56,3)</f>
        <v>0</v>
      </c>
      <c r="BG69" s="69"/>
      <c r="BH69" s="18"/>
      <c r="BI69" s="18"/>
      <c r="BJ69" s="18"/>
      <c r="BK69" s="18"/>
      <c r="BL69" s="18"/>
      <c r="BM69" s="22"/>
    </row>
    <row r="70" spans="1:65" ht="15.6" x14ac:dyDescent="0.3">
      <c r="A70" s="20"/>
      <c r="B70" s="22"/>
      <c r="C70" s="22"/>
      <c r="D70" s="20"/>
      <c r="E70" s="20"/>
      <c r="F70" s="20"/>
      <c r="G70" s="20"/>
      <c r="H70" s="18"/>
      <c r="I70" s="20"/>
      <c r="J70" s="20"/>
      <c r="K70" s="20"/>
      <c r="L70" s="20"/>
      <c r="P70" s="18"/>
      <c r="Q70" s="20"/>
      <c r="R70" s="22"/>
      <c r="S70" s="22"/>
      <c r="T70" s="22"/>
      <c r="U70" s="22"/>
      <c r="V70" s="18"/>
      <c r="W70" s="18"/>
      <c r="X70" s="18"/>
      <c r="Y70" s="383"/>
      <c r="Z70" s="24"/>
      <c r="AA70" s="16" t="s">
        <v>5</v>
      </c>
      <c r="AB70" s="16"/>
      <c r="AC70" s="17"/>
      <c r="AD70" s="1"/>
      <c r="AE70" s="24"/>
      <c r="AF70" s="16" t="s">
        <v>5</v>
      </c>
      <c r="AG70" s="16"/>
      <c r="AH70" s="17"/>
      <c r="AI70" s="1"/>
      <c r="AJ70" s="24"/>
      <c r="AK70" s="16" t="s">
        <v>5</v>
      </c>
      <c r="AL70" s="16"/>
      <c r="AM70" s="17"/>
      <c r="AN70" s="18"/>
      <c r="AO70" s="18"/>
      <c r="AP70" s="326" t="s">
        <v>45</v>
      </c>
      <c r="AQ70" s="323">
        <f>COUNTIF(AQ9:AQ56,3)</f>
        <v>21</v>
      </c>
      <c r="AR70" s="324"/>
      <c r="AS70" s="324"/>
      <c r="AT70" s="323">
        <f>COUNTIF(AT9:AT56,3)</f>
        <v>20</v>
      </c>
      <c r="AU70" s="324"/>
      <c r="AV70" s="324"/>
      <c r="AW70" s="323">
        <f>COUNTIF(AW9:AW56,3)</f>
        <v>21</v>
      </c>
      <c r="AX70" s="324"/>
      <c r="AY70" s="324"/>
      <c r="AZ70" s="323">
        <f>COUNTIF(AZ9:AZ62,7)</f>
        <v>16</v>
      </c>
      <c r="BA70" s="69"/>
      <c r="BB70" s="69"/>
      <c r="BC70" s="21">
        <f>COUNTIF(BC9:BC56,0)</f>
        <v>26</v>
      </c>
      <c r="BD70" s="200"/>
      <c r="BE70" s="200"/>
      <c r="BF70" s="21">
        <f>COUNTIF(BF9:BF56,0)</f>
        <v>0</v>
      </c>
      <c r="BG70" s="18"/>
      <c r="BH70" s="18"/>
      <c r="BI70" s="18"/>
      <c r="BJ70" s="18"/>
      <c r="BK70" s="18"/>
      <c r="BL70" s="18"/>
      <c r="BM70" s="22"/>
    </row>
    <row r="71" spans="1:65" ht="15.6" x14ac:dyDescent="0.3">
      <c r="A71" s="20"/>
      <c r="B71" s="22"/>
      <c r="C71" s="22"/>
      <c r="D71" s="20"/>
      <c r="E71" s="20"/>
      <c r="F71" s="20"/>
      <c r="G71" s="20"/>
      <c r="H71" s="18"/>
      <c r="I71" s="20"/>
      <c r="J71" s="20"/>
      <c r="K71" s="20"/>
      <c r="L71" s="20"/>
      <c r="P71" s="18"/>
      <c r="Q71" s="20"/>
      <c r="R71" s="22"/>
      <c r="S71" s="22"/>
      <c r="T71" s="22"/>
      <c r="U71" s="22"/>
      <c r="V71" s="18"/>
      <c r="W71" s="18"/>
      <c r="X71" s="18"/>
      <c r="Y71" s="383"/>
      <c r="Z71" s="11" t="str">
        <f>+O25</f>
        <v>B15</v>
      </c>
      <c r="AA71" s="27">
        <v>11</v>
      </c>
      <c r="AB71" s="23">
        <f>IF(AA67+AA71=0,0,IF(AA67=AA71,2,IF(AA67&lt;AA71,3,1)))</f>
        <v>3</v>
      </c>
      <c r="AC71" s="12">
        <f>AA71-AA67</f>
        <v>10</v>
      </c>
      <c r="AD71" s="6"/>
      <c r="AE71" s="11" t="str">
        <f>+R25</f>
        <v>B15</v>
      </c>
      <c r="AF71" s="108">
        <v>13</v>
      </c>
      <c r="AG71" s="23">
        <f>IF(AF67+AF71=0,0,IF(AF67=AF71,2,IF(AF67&lt;AF71,3,1)))</f>
        <v>3</v>
      </c>
      <c r="AH71" s="12">
        <f>AF71-AF67</f>
        <v>12</v>
      </c>
      <c r="AI71" s="6"/>
      <c r="AJ71" s="11" t="str">
        <f>+U25</f>
        <v>B15</v>
      </c>
      <c r="AK71" s="29">
        <v>2</v>
      </c>
      <c r="AL71" s="23">
        <f>IF(AK67+AK71=0,0,IF(AK67=AK71,2,IF(AK67&lt;AK71,3,1)))</f>
        <v>1</v>
      </c>
      <c r="AM71" s="12">
        <f>AK71-AK67</f>
        <v>-11</v>
      </c>
      <c r="AN71" s="18"/>
      <c r="AO71" s="18"/>
      <c r="AP71" s="326" t="s">
        <v>46</v>
      </c>
      <c r="AQ71" s="323">
        <f>COUNTIF(AQ9:AQ56,0)</f>
        <v>0</v>
      </c>
      <c r="AR71" s="324"/>
      <c r="AS71" s="324"/>
      <c r="AT71" s="323">
        <f>COUNTIF(AT9:AT56,0)</f>
        <v>0</v>
      </c>
      <c r="AU71" s="324"/>
      <c r="AV71" s="324"/>
      <c r="AW71" s="323">
        <f>COUNTIF(AW9:AW56,0)</f>
        <v>0</v>
      </c>
      <c r="AX71" s="324"/>
      <c r="AY71" s="324"/>
      <c r="AZ71" s="323">
        <f>COUNTIF(AZ10:AZ63,9)</f>
        <v>6</v>
      </c>
      <c r="BA71" s="69"/>
      <c r="BB71" s="69"/>
      <c r="BC71" s="21">
        <f>COUNTIF(BC9:BC63,#N/A)</f>
        <v>0</v>
      </c>
      <c r="BD71" s="200"/>
      <c r="BE71" s="200"/>
      <c r="BF71" s="21">
        <f>COUNTIF(BF9:BF63,#N/A)</f>
        <v>0</v>
      </c>
      <c r="BG71" s="18"/>
      <c r="BH71" s="18"/>
      <c r="BI71" s="18"/>
      <c r="BJ71" s="18"/>
      <c r="BK71" s="18"/>
      <c r="BL71" s="18"/>
      <c r="BM71" s="22"/>
    </row>
    <row r="72" spans="1:65" ht="16.2" thickBot="1" x14ac:dyDescent="0.35">
      <c r="A72" s="20"/>
      <c r="B72" s="22"/>
      <c r="C72" s="22"/>
      <c r="D72" s="20"/>
      <c r="E72" s="20"/>
      <c r="F72" s="20"/>
      <c r="G72" s="20"/>
      <c r="H72" s="18"/>
      <c r="I72" s="20"/>
      <c r="J72" s="20"/>
      <c r="K72" s="20"/>
      <c r="L72" s="20"/>
      <c r="P72" s="18"/>
      <c r="Q72" s="20"/>
      <c r="R72" s="22"/>
      <c r="S72" s="22"/>
      <c r="T72" s="22"/>
      <c r="U72" s="22"/>
      <c r="V72" s="18"/>
      <c r="W72" s="18"/>
      <c r="X72" s="18"/>
      <c r="Y72" s="383"/>
      <c r="Z72" s="11" t="str">
        <f>+P25</f>
        <v>C15</v>
      </c>
      <c r="AA72" s="14">
        <f>IF(ISTEXT(Z72),AA71,0)</f>
        <v>11</v>
      </c>
      <c r="AB72" s="14">
        <f>IF(ISTEXT(Z72),AB71,0)</f>
        <v>3</v>
      </c>
      <c r="AC72" s="15">
        <f>IF(ISTEXT(Z72),AC71,0)</f>
        <v>10</v>
      </c>
      <c r="AD72" s="6"/>
      <c r="AE72" s="11" t="str">
        <f>+S25</f>
        <v>C3</v>
      </c>
      <c r="AF72" s="14">
        <f>IF(ISTEXT(AE72),AF71,0)</f>
        <v>13</v>
      </c>
      <c r="AG72" s="14">
        <f>IF(ISTEXT(AE72),AG71,0)</f>
        <v>3</v>
      </c>
      <c r="AH72" s="15">
        <f>IF(ISTEXT(AE72),AH71,0)</f>
        <v>12</v>
      </c>
      <c r="AI72" s="6"/>
      <c r="AJ72" s="11" t="str">
        <f>+V25</f>
        <v>C6</v>
      </c>
      <c r="AK72" s="14">
        <f>IF(ISTEXT(AJ72),AK71,0)</f>
        <v>2</v>
      </c>
      <c r="AL72" s="14">
        <f>IF(ISTEXT(AJ72),AL71,0)</f>
        <v>1</v>
      </c>
      <c r="AM72" s="15">
        <f>IF(ISTEXT(AJ72),AM71,0)</f>
        <v>-11</v>
      </c>
      <c r="AN72" s="18"/>
      <c r="AO72" s="18"/>
      <c r="AP72" s="326" t="e">
        <v>#N/A</v>
      </c>
      <c r="AQ72" s="323">
        <f>COUNTIF(AQ9:AQ63,#N/A)</f>
        <v>0</v>
      </c>
      <c r="AR72" s="324"/>
      <c r="AS72" s="324"/>
      <c r="AT72" s="323">
        <f>COUNTIF(AT9:AT63,#N/A)</f>
        <v>0</v>
      </c>
      <c r="AU72" s="324"/>
      <c r="AV72" s="324"/>
      <c r="AW72" s="323">
        <f>COUNTIF(AW9:AW63,#N/A)</f>
        <v>0</v>
      </c>
      <c r="AX72" s="324"/>
      <c r="AY72" s="324"/>
      <c r="AZ72" s="323">
        <f>COUNTIF(AZ9:AZ62,#N/A)</f>
        <v>0</v>
      </c>
      <c r="BA72" s="69"/>
      <c r="BB72" s="69"/>
      <c r="BC72" s="21">
        <f>SUM(BC67:BC71)</f>
        <v>26</v>
      </c>
      <c r="BD72" s="21"/>
      <c r="BE72" s="21"/>
      <c r="BF72" s="21">
        <f>SUM(BF67:BF71)</f>
        <v>0</v>
      </c>
      <c r="BG72" s="18"/>
      <c r="BH72" s="18"/>
      <c r="BI72" s="18"/>
      <c r="BJ72" s="18"/>
      <c r="BK72" s="18"/>
      <c r="BL72" s="18"/>
      <c r="BM72" s="22"/>
    </row>
    <row r="73" spans="1:65" ht="16.2" thickBot="1" x14ac:dyDescent="0.35">
      <c r="A73" s="20"/>
      <c r="B73" s="22"/>
      <c r="C73" s="22"/>
      <c r="D73" s="20"/>
      <c r="E73" s="20"/>
      <c r="F73" s="20"/>
      <c r="G73" s="20"/>
      <c r="H73" s="18"/>
      <c r="I73" s="20"/>
      <c r="J73" s="20"/>
      <c r="K73" s="20"/>
      <c r="L73" s="20"/>
      <c r="P73" s="18"/>
      <c r="Q73" s="20"/>
      <c r="R73" s="22"/>
      <c r="S73" s="22"/>
      <c r="T73" s="22"/>
      <c r="U73" s="22"/>
      <c r="V73" s="18"/>
      <c r="W73" s="18"/>
      <c r="X73" s="18"/>
      <c r="Y73" s="384"/>
      <c r="Z73" s="13">
        <f>+Q25</f>
        <v>0</v>
      </c>
      <c r="AA73" s="14">
        <f>IF(ISTEXT(Z73),AA71,0)</f>
        <v>0</v>
      </c>
      <c r="AB73" s="14">
        <f>IF(ISTEXT(Z73),AB71,0)</f>
        <v>0</v>
      </c>
      <c r="AC73" s="15">
        <f>IF(ISTEXT(Z73),AC71,0)</f>
        <v>0</v>
      </c>
      <c r="AD73" s="6"/>
      <c r="AE73" s="13">
        <f>+T25</f>
        <v>0</v>
      </c>
      <c r="AF73" s="14">
        <f>IF(ISTEXT(AE73),AF71,0)</f>
        <v>0</v>
      </c>
      <c r="AG73" s="14">
        <f>IF(ISTEXT(AE73),AG71,0)</f>
        <v>0</v>
      </c>
      <c r="AH73" s="15">
        <f>IF(ISTEXT(AE73),AH71,0)</f>
        <v>0</v>
      </c>
      <c r="AI73" s="6"/>
      <c r="AJ73" s="13">
        <f>+W25</f>
        <v>0</v>
      </c>
      <c r="AK73" s="14">
        <f>IF(ISTEXT(AJ73),AK71,0)</f>
        <v>0</v>
      </c>
      <c r="AL73" s="14">
        <f>IF(ISTEXT(AJ73),AL71,0)</f>
        <v>0</v>
      </c>
      <c r="AM73" s="15">
        <f>IF(ISTEXT(AJ73),AM71,0)</f>
        <v>0</v>
      </c>
      <c r="AN73" s="18"/>
      <c r="AO73" s="18"/>
      <c r="AP73" s="326"/>
      <c r="AQ73" s="323">
        <f>SUM(AQ67:AQ72)</f>
        <v>42</v>
      </c>
      <c r="AR73" s="323"/>
      <c r="AS73" s="323"/>
      <c r="AT73" s="323">
        <f>SUM(AT67:AT72)</f>
        <v>42</v>
      </c>
      <c r="AU73" s="323"/>
      <c r="AV73" s="323"/>
      <c r="AW73" s="323">
        <f>SUM(AW67:AW72)</f>
        <v>42</v>
      </c>
      <c r="AX73" s="324"/>
      <c r="AY73" s="324"/>
      <c r="AZ73" s="323">
        <f>SUM(AZ67:AZ72)</f>
        <v>45</v>
      </c>
      <c r="BA73" s="18"/>
      <c r="BB73" s="18"/>
      <c r="BC73" s="18"/>
      <c r="BD73" s="18"/>
      <c r="BE73" s="18"/>
      <c r="BF73" s="18"/>
      <c r="BG73" s="18"/>
      <c r="BH73" s="18"/>
      <c r="BI73" s="18"/>
      <c r="BJ73" s="22"/>
      <c r="BK73" s="22"/>
      <c r="BL73" s="22"/>
      <c r="BM73" s="22"/>
    </row>
    <row r="74" spans="1:65" ht="16.2" thickBot="1" x14ac:dyDescent="0.35">
      <c r="A74" s="20"/>
      <c r="B74" s="22"/>
      <c r="C74" s="22"/>
      <c r="D74" s="20"/>
      <c r="E74" s="20"/>
      <c r="F74" s="20"/>
      <c r="G74" s="20"/>
      <c r="H74" s="18"/>
      <c r="I74" s="20"/>
      <c r="J74" s="20"/>
      <c r="K74" s="20"/>
      <c r="L74" s="20"/>
      <c r="P74" s="18"/>
      <c r="Q74" s="20"/>
      <c r="R74" s="22"/>
      <c r="S74" s="22"/>
      <c r="T74" s="22"/>
      <c r="U74" s="22"/>
      <c r="V74" s="18"/>
      <c r="W74" s="18"/>
      <c r="X74" s="18"/>
      <c r="Y74" s="20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22"/>
      <c r="BK74" s="22"/>
      <c r="BL74" s="22"/>
      <c r="BM74" s="22"/>
    </row>
    <row r="75" spans="1:65" ht="15.6" x14ac:dyDescent="0.3">
      <c r="A75" s="20"/>
      <c r="B75" s="22"/>
      <c r="C75" s="22"/>
      <c r="D75" s="20"/>
      <c r="E75" s="20"/>
      <c r="F75" s="20"/>
      <c r="G75" s="20"/>
      <c r="H75" s="18"/>
      <c r="I75" s="20"/>
      <c r="J75" s="20"/>
      <c r="K75" s="20"/>
      <c r="L75" s="20"/>
      <c r="P75" s="18"/>
      <c r="Q75" s="20"/>
      <c r="R75" s="22"/>
      <c r="S75" s="22"/>
      <c r="T75" s="22"/>
      <c r="U75" s="22"/>
      <c r="V75" s="18"/>
      <c r="W75" s="18"/>
      <c r="X75" s="18"/>
      <c r="Y75" s="382">
        <v>9</v>
      </c>
      <c r="Z75" s="9">
        <f>+O26</f>
        <v>0</v>
      </c>
      <c r="AA75" s="25">
        <v>0</v>
      </c>
      <c r="AB75" s="38">
        <f>IF(AA75+AA79=0,0,IF(AA75=AA79,2,IF(AA75&gt;AA79,3,1)))</f>
        <v>0</v>
      </c>
      <c r="AC75" s="10">
        <f>AA75-AA79</f>
        <v>0</v>
      </c>
      <c r="AD75" s="6"/>
      <c r="AE75" s="9">
        <f>+R26</f>
        <v>0</v>
      </c>
      <c r="AF75" s="107">
        <v>0</v>
      </c>
      <c r="AG75" s="38">
        <f>IF(AF75+AF79=0,0,IF(AF75=AF79,2,IF(AF75&gt;AF79,3,1)))</f>
        <v>0</v>
      </c>
      <c r="AH75" s="10">
        <f>AF75-AF79</f>
        <v>0</v>
      </c>
      <c r="AI75" s="6"/>
      <c r="AJ75" s="9">
        <f>+U26</f>
        <v>0</v>
      </c>
      <c r="AK75" s="28">
        <v>0</v>
      </c>
      <c r="AL75" s="38">
        <f>IF(AK75+AK79=0,0,IF(AK75=AK79,2,IF(AK75&gt;AK79,3,1)))</f>
        <v>0</v>
      </c>
      <c r="AM75" s="10">
        <f>AK75-AK79</f>
        <v>0</v>
      </c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22"/>
      <c r="BK75" s="22"/>
      <c r="BL75" s="22"/>
      <c r="BM75" s="22"/>
    </row>
    <row r="76" spans="1:65" ht="16.2" thickBot="1" x14ac:dyDescent="0.35">
      <c r="A76" s="20"/>
      <c r="B76" s="22"/>
      <c r="C76" s="22"/>
      <c r="D76" s="20"/>
      <c r="E76" s="20"/>
      <c r="F76" s="20"/>
      <c r="G76" s="20"/>
      <c r="H76" s="18"/>
      <c r="I76" s="20"/>
      <c r="J76" s="20"/>
      <c r="K76" s="20"/>
      <c r="L76" s="20"/>
      <c r="P76" s="18"/>
      <c r="Q76" s="20"/>
      <c r="R76" s="22"/>
      <c r="S76" s="22"/>
      <c r="T76" s="22"/>
      <c r="U76" s="22"/>
      <c r="V76" s="18"/>
      <c r="W76" s="18"/>
      <c r="X76" s="18"/>
      <c r="Y76" s="383"/>
      <c r="Z76" s="11">
        <f>+P26</f>
        <v>0</v>
      </c>
      <c r="AA76" s="14">
        <f>IF(ISTEXT(Z76),AA75,0)</f>
        <v>0</v>
      </c>
      <c r="AB76" s="14">
        <f>IF(ISTEXT(Z76),AB75,0)</f>
        <v>0</v>
      </c>
      <c r="AC76" s="15">
        <f>IF(ISTEXT(Z76),AC75,0)</f>
        <v>0</v>
      </c>
      <c r="AD76" s="6"/>
      <c r="AE76" s="11">
        <f>+S26</f>
        <v>0</v>
      </c>
      <c r="AF76" s="14">
        <f>IF(ISTEXT(AE76),AF75,0)</f>
        <v>0</v>
      </c>
      <c r="AG76" s="48">
        <f>IF(ISTEXT(AE76),AG75,0)</f>
        <v>0</v>
      </c>
      <c r="AH76" s="15">
        <f>IF(ISTEXT(AE76),AH75,0)</f>
        <v>0</v>
      </c>
      <c r="AI76" s="6"/>
      <c r="AJ76" s="11">
        <f>+V26</f>
        <v>0</v>
      </c>
      <c r="AK76" s="14">
        <f>IF(ISTEXT(AJ76),AK75,0)</f>
        <v>0</v>
      </c>
      <c r="AL76" s="48">
        <f>IF(ISTEXT(AJ76),AL75,0)</f>
        <v>0</v>
      </c>
      <c r="AM76" s="15">
        <f>IF(ISTEXT(AJ76),AM75,0)</f>
        <v>0</v>
      </c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22"/>
      <c r="BK76" s="22"/>
      <c r="BL76" s="22"/>
      <c r="BM76" s="22"/>
    </row>
    <row r="77" spans="1:65" ht="15.6" x14ac:dyDescent="0.3">
      <c r="A77" s="20"/>
      <c r="B77" s="22"/>
      <c r="C77" s="22"/>
      <c r="D77" s="20"/>
      <c r="E77" s="20"/>
      <c r="F77" s="20"/>
      <c r="G77" s="20"/>
      <c r="H77" s="18"/>
      <c r="I77" s="20"/>
      <c r="J77" s="20"/>
      <c r="K77" s="20"/>
      <c r="L77" s="20"/>
      <c r="P77" s="18"/>
      <c r="Q77" s="20"/>
      <c r="R77" s="22"/>
      <c r="S77" s="22"/>
      <c r="T77" s="22"/>
      <c r="U77" s="22"/>
      <c r="V77" s="18"/>
      <c r="W77" s="18"/>
      <c r="X77" s="18"/>
      <c r="Y77" s="383"/>
      <c r="Z77" s="11">
        <f>+Q26</f>
        <v>0</v>
      </c>
      <c r="AA77" s="55">
        <f>IF(ISTEXT(Z77),AA75,0)</f>
        <v>0</v>
      </c>
      <c r="AB77" s="55">
        <f>IF(ISTEXT(Z77),AB75,0)</f>
        <v>0</v>
      </c>
      <c r="AC77" s="56">
        <f>IF(ISTEXT(Z77),AC75,0)</f>
        <v>0</v>
      </c>
      <c r="AD77" s="6"/>
      <c r="AE77" s="11">
        <f>+T26</f>
        <v>0</v>
      </c>
      <c r="AF77" s="55">
        <f>IF(ISTEXT(AE77),AF75,0)</f>
        <v>0</v>
      </c>
      <c r="AG77" s="52">
        <f>IF(ISTEXT(AE77),AG75,0)</f>
        <v>0</v>
      </c>
      <c r="AH77" s="56">
        <f>IF(ISTEXT(AE77),AH75,0)</f>
        <v>0</v>
      </c>
      <c r="AI77" s="6"/>
      <c r="AJ77" s="11">
        <f>+W26</f>
        <v>0</v>
      </c>
      <c r="AK77" s="55">
        <f>IF(ISTEXT(AJ77),AK75,0)</f>
        <v>0</v>
      </c>
      <c r="AL77" s="52">
        <f>IF(ISTEXT(AJ77),AL75,0)</f>
        <v>0</v>
      </c>
      <c r="AM77" s="56">
        <f>IF(ISTEXT(AJ77),AM75,0)</f>
        <v>0</v>
      </c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22"/>
      <c r="BK77" s="22"/>
      <c r="BL77" s="22"/>
      <c r="BM77" s="22"/>
    </row>
    <row r="78" spans="1:65" ht="15.6" x14ac:dyDescent="0.3">
      <c r="A78" s="20"/>
      <c r="B78" s="22"/>
      <c r="C78" s="22"/>
      <c r="D78" s="20"/>
      <c r="E78" s="20"/>
      <c r="F78" s="20"/>
      <c r="G78" s="20"/>
      <c r="H78" s="18"/>
      <c r="I78" s="20"/>
      <c r="J78" s="20"/>
      <c r="K78" s="20"/>
      <c r="L78" s="20"/>
      <c r="P78" s="18"/>
      <c r="Q78" s="20"/>
      <c r="R78" s="22"/>
      <c r="S78" s="22"/>
      <c r="T78" s="22"/>
      <c r="U78" s="22"/>
      <c r="V78" s="18"/>
      <c r="W78" s="18"/>
      <c r="X78" s="18"/>
      <c r="Y78" s="383"/>
      <c r="Z78" s="24"/>
      <c r="AA78" s="16" t="s">
        <v>5</v>
      </c>
      <c r="AB78" s="16"/>
      <c r="AC78" s="17"/>
      <c r="AD78" s="1"/>
      <c r="AE78" s="24"/>
      <c r="AF78" s="16" t="s">
        <v>5</v>
      </c>
      <c r="AG78" s="16"/>
      <c r="AH78" s="17"/>
      <c r="AI78" s="1"/>
      <c r="AJ78" s="24"/>
      <c r="AK78" s="16" t="s">
        <v>5</v>
      </c>
      <c r="AL78" s="16"/>
      <c r="AM78" s="17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22"/>
      <c r="BK78" s="22"/>
      <c r="BL78" s="22"/>
      <c r="BM78" s="22"/>
    </row>
    <row r="79" spans="1:65" ht="15.6" x14ac:dyDescent="0.3">
      <c r="A79" s="20"/>
      <c r="B79" s="22"/>
      <c r="C79" s="22"/>
      <c r="D79" s="20"/>
      <c r="E79" s="20"/>
      <c r="F79" s="20"/>
      <c r="G79" s="20"/>
      <c r="H79" s="18"/>
      <c r="I79" s="20"/>
      <c r="J79" s="20"/>
      <c r="K79" s="20"/>
      <c r="L79" s="20"/>
      <c r="P79" s="18"/>
      <c r="Q79" s="20"/>
      <c r="R79" s="22"/>
      <c r="S79" s="22"/>
      <c r="T79" s="22"/>
      <c r="U79" s="22"/>
      <c r="V79" s="18"/>
      <c r="W79" s="18"/>
      <c r="X79" s="18"/>
      <c r="Y79" s="383"/>
      <c r="Z79" s="11">
        <f>+O27</f>
        <v>0</v>
      </c>
      <c r="AA79" s="27">
        <v>0</v>
      </c>
      <c r="AB79" s="23">
        <f>IF(AA75+AA79=0,0,IF(AA75=AA79,2,IF(AA75&lt;AA79,3,1)))</f>
        <v>0</v>
      </c>
      <c r="AC79" s="12">
        <f>AA79-AA75</f>
        <v>0</v>
      </c>
      <c r="AD79" s="6"/>
      <c r="AE79" s="11">
        <f>+R27</f>
        <v>0</v>
      </c>
      <c r="AF79" s="108">
        <v>0</v>
      </c>
      <c r="AG79" s="23">
        <f>IF(AF75+AF79=0,0,IF(AF75=AF79,2,IF(AF75&lt;AF79,3,1)))</f>
        <v>0</v>
      </c>
      <c r="AH79" s="12">
        <f>AF79-AF75</f>
        <v>0</v>
      </c>
      <c r="AI79" s="6"/>
      <c r="AJ79" s="11">
        <f>+U27</f>
        <v>0</v>
      </c>
      <c r="AK79" s="29">
        <v>0</v>
      </c>
      <c r="AL79" s="23">
        <f>IF(AK75+AK79=0,0,IF(AK75=AK79,2,IF(AK75&lt;AK79,3,1)))</f>
        <v>0</v>
      </c>
      <c r="AM79" s="12">
        <f>AK79-AK75</f>
        <v>0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22"/>
      <c r="BK79" s="22"/>
      <c r="BL79" s="22"/>
      <c r="BM79" s="22"/>
    </row>
    <row r="80" spans="1:65" ht="16.2" thickBot="1" x14ac:dyDescent="0.35">
      <c r="A80" s="20"/>
      <c r="B80" s="22"/>
      <c r="C80" s="22"/>
      <c r="D80" s="20"/>
      <c r="E80" s="20"/>
      <c r="F80" s="20"/>
      <c r="G80" s="20"/>
      <c r="H80" s="18"/>
      <c r="I80" s="20"/>
      <c r="J80" s="20"/>
      <c r="K80" s="20"/>
      <c r="L80" s="20"/>
      <c r="P80" s="18"/>
      <c r="Q80" s="20"/>
      <c r="R80" s="22"/>
      <c r="S80" s="22"/>
      <c r="T80" s="22"/>
      <c r="U80" s="22"/>
      <c r="V80" s="18"/>
      <c r="W80" s="18"/>
      <c r="X80" s="18"/>
      <c r="Y80" s="383"/>
      <c r="Z80" s="11">
        <f>+P27</f>
        <v>0</v>
      </c>
      <c r="AA80" s="14">
        <f>IF(ISTEXT(Z80),AA79,0)</f>
        <v>0</v>
      </c>
      <c r="AB80" s="14">
        <f>IF(ISTEXT(Z80),AB79,0)</f>
        <v>0</v>
      </c>
      <c r="AC80" s="15">
        <f>IF(ISTEXT(Z80),AC79,0)</f>
        <v>0</v>
      </c>
      <c r="AD80" s="6"/>
      <c r="AE80" s="11">
        <f>+S27</f>
        <v>0</v>
      </c>
      <c r="AF80" s="14">
        <f>IF(ISTEXT(AE80),AF79,0)</f>
        <v>0</v>
      </c>
      <c r="AG80" s="14">
        <f>IF(ISTEXT(AE80),AG79,0)</f>
        <v>0</v>
      </c>
      <c r="AH80" s="15">
        <f>IF(ISTEXT(AE80),AH79,0)</f>
        <v>0</v>
      </c>
      <c r="AI80" s="6"/>
      <c r="AJ80" s="11">
        <f>+V27</f>
        <v>0</v>
      </c>
      <c r="AK80" s="14">
        <f>IF(ISTEXT(AJ80),AK79,0)</f>
        <v>0</v>
      </c>
      <c r="AL80" s="14">
        <f>IF(ISTEXT(AJ80),AL79,0)</f>
        <v>0</v>
      </c>
      <c r="AM80" s="15">
        <f>IF(ISTEXT(AJ80),AM79,0)</f>
        <v>0</v>
      </c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22"/>
      <c r="BK80" s="22"/>
      <c r="BL80" s="22"/>
      <c r="BM80" s="22"/>
    </row>
    <row r="81" spans="1:65" ht="16.2" thickBot="1" x14ac:dyDescent="0.35">
      <c r="A81" s="20"/>
      <c r="B81" s="22"/>
      <c r="C81" s="22"/>
      <c r="D81" s="20"/>
      <c r="E81" s="20"/>
      <c r="F81" s="20"/>
      <c r="G81" s="20"/>
      <c r="H81" s="18"/>
      <c r="I81" s="20"/>
      <c r="J81" s="20"/>
      <c r="K81" s="20"/>
      <c r="L81" s="20"/>
      <c r="P81" s="18"/>
      <c r="Q81" s="20"/>
      <c r="R81" s="22"/>
      <c r="S81" s="22"/>
      <c r="T81" s="22"/>
      <c r="U81" s="22"/>
      <c r="V81" s="18"/>
      <c r="W81" s="18"/>
      <c r="X81" s="18"/>
      <c r="Y81" s="384"/>
      <c r="Z81" s="13">
        <f>+Q27</f>
        <v>0</v>
      </c>
      <c r="AA81" s="14">
        <f>IF(ISTEXT(Z81),AA79,0)</f>
        <v>0</v>
      </c>
      <c r="AB81" s="14">
        <f>IF(ISTEXT(Z81),AB79,0)</f>
        <v>0</v>
      </c>
      <c r="AC81" s="15">
        <f>IF(ISTEXT(Z81),AC79,0)</f>
        <v>0</v>
      </c>
      <c r="AD81" s="6"/>
      <c r="AE81" s="13">
        <f>+T27</f>
        <v>0</v>
      </c>
      <c r="AF81" s="14">
        <f>IF(ISTEXT(AE81),AF79,0)</f>
        <v>0</v>
      </c>
      <c r="AG81" s="14">
        <f>IF(ISTEXT(AE81),AG79,0)</f>
        <v>0</v>
      </c>
      <c r="AH81" s="15">
        <f>IF(ISTEXT(AE81),AH79,0)</f>
        <v>0</v>
      </c>
      <c r="AI81" s="6"/>
      <c r="AJ81" s="13">
        <f>+W27</f>
        <v>0</v>
      </c>
      <c r="AK81" s="14">
        <f>IF(ISTEXT(AJ81),AK79,0)</f>
        <v>0</v>
      </c>
      <c r="AL81" s="14">
        <f>IF(ISTEXT(AJ81),AL79,0)</f>
        <v>0</v>
      </c>
      <c r="AM81" s="15">
        <f>IF(ISTEXT(AJ81),AM79,0)</f>
        <v>0</v>
      </c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22"/>
      <c r="BK81" s="22"/>
      <c r="BL81" s="22"/>
      <c r="BM81" s="22"/>
    </row>
    <row r="82" spans="1:65" ht="15.6" x14ac:dyDescent="0.3">
      <c r="A82" s="20"/>
      <c r="B82" s="22"/>
      <c r="C82" s="22"/>
      <c r="D82" s="20"/>
      <c r="E82" s="20"/>
      <c r="F82" s="20"/>
      <c r="G82" s="20"/>
      <c r="H82" s="18"/>
      <c r="I82" s="20"/>
      <c r="J82" s="20"/>
      <c r="K82" s="20"/>
      <c r="L82" s="20"/>
      <c r="P82" s="18"/>
      <c r="Q82" s="20"/>
      <c r="R82" s="22"/>
      <c r="S82" s="22"/>
      <c r="T82" s="22"/>
      <c r="U82" s="22"/>
      <c r="V82" s="18"/>
      <c r="W82" s="18"/>
      <c r="X82" s="18"/>
      <c r="Y82" s="20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</row>
    <row r="83" spans="1:65" ht="15.6" x14ac:dyDescent="0.3">
      <c r="A83" s="20"/>
      <c r="B83" s="22"/>
      <c r="C83" s="22"/>
      <c r="D83" s="20"/>
      <c r="E83" s="20"/>
      <c r="F83" s="20"/>
      <c r="G83" s="20"/>
      <c r="H83" s="18"/>
      <c r="I83" s="20"/>
      <c r="J83" s="20"/>
      <c r="K83" s="20"/>
      <c r="L83" s="20"/>
      <c r="P83" s="18"/>
      <c r="Q83" s="20"/>
      <c r="R83" s="22"/>
      <c r="S83" s="22"/>
      <c r="T83" s="22"/>
      <c r="U83" s="22"/>
      <c r="V83" s="18"/>
      <c r="W83" s="18"/>
      <c r="X83" s="18"/>
      <c r="Y83" s="20"/>
      <c r="Z83" s="4"/>
      <c r="AA83" s="4"/>
      <c r="AB83" s="1">
        <f t="array" ref="AB83">SUM(AB11:AB81)</f>
        <v>89</v>
      </c>
      <c r="AC83" s="1">
        <f t="array" ref="AC83">SUM(AC11:AC81)</f>
        <v>-9</v>
      </c>
      <c r="AD83" s="18"/>
      <c r="AE83" s="18"/>
      <c r="AF83" s="18"/>
      <c r="AG83" s="1">
        <f t="array" ref="AG83">SUM(AG11:AG81)</f>
        <v>89</v>
      </c>
      <c r="AH83" s="1">
        <f t="array" ref="AH83">SUM(AH11:AH81)</f>
        <v>-11</v>
      </c>
      <c r="AI83" s="18"/>
      <c r="AJ83" s="18"/>
      <c r="AK83" s="18"/>
      <c r="AL83" s="1">
        <f t="array" ref="AL83">SUM(AL11:AL81)</f>
        <v>89</v>
      </c>
      <c r="AM83" s="1">
        <f t="array" ref="AM83">SUM(AM11:AM81)</f>
        <v>-8</v>
      </c>
      <c r="AN83" s="18"/>
      <c r="AO83" s="18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</row>
    <row r="84" spans="1:65" ht="15.6" x14ac:dyDescent="0.3">
      <c r="A84" s="20"/>
      <c r="B84" s="22"/>
      <c r="C84" s="22"/>
      <c r="D84" s="20"/>
      <c r="E84" s="20"/>
      <c r="F84" s="20"/>
      <c r="G84" s="20"/>
      <c r="H84" s="18"/>
      <c r="I84" s="20"/>
      <c r="J84" s="20"/>
      <c r="K84" s="20"/>
      <c r="L84" s="20"/>
      <c r="P84" s="18"/>
      <c r="Q84" s="20"/>
      <c r="R84" s="22"/>
      <c r="S84" s="22"/>
      <c r="T84" s="22"/>
      <c r="U84" s="22"/>
      <c r="V84" s="18"/>
      <c r="W84" s="18"/>
      <c r="X84" s="18"/>
      <c r="Y84" s="20"/>
      <c r="Z84" s="4"/>
      <c r="AA84" s="4"/>
      <c r="AB84" s="4"/>
      <c r="AC84" s="1" t="str">
        <f>IF(AC83=0,"OK","ERREUR")</f>
        <v>ERREUR</v>
      </c>
      <c r="AD84" s="18"/>
      <c r="AE84" s="18"/>
      <c r="AF84" s="18"/>
      <c r="AG84" s="4"/>
      <c r="AH84" s="1" t="str">
        <f>IF(AH83=0,"OK","ERREUR")</f>
        <v>ERREUR</v>
      </c>
      <c r="AI84" s="18"/>
      <c r="AJ84" s="18"/>
      <c r="AK84" s="18"/>
      <c r="AL84" s="4"/>
      <c r="AM84" s="1" t="str">
        <f>IF(AM83=0,"OK","ERREUR")</f>
        <v>ERREUR</v>
      </c>
      <c r="AN84" s="18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</row>
    <row r="85" spans="1:65" ht="15.6" x14ac:dyDescent="0.3">
      <c r="A85" s="20"/>
      <c r="B85" s="22"/>
      <c r="C85" s="22"/>
      <c r="D85" s="20"/>
      <c r="E85" s="20"/>
      <c r="F85" s="20"/>
      <c r="G85" s="20"/>
      <c r="H85" s="18"/>
      <c r="I85" s="20"/>
      <c r="J85" s="20"/>
      <c r="K85" s="20"/>
      <c r="L85" s="20"/>
      <c r="P85" s="18"/>
      <c r="Q85" s="20"/>
      <c r="R85" s="22"/>
      <c r="S85" s="22"/>
      <c r="T85" s="22"/>
      <c r="U85" s="22"/>
      <c r="V85" s="18"/>
      <c r="W85" s="18"/>
      <c r="X85" s="18"/>
      <c r="Y85" s="20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</row>
    <row r="86" spans="1:65" ht="15.6" x14ac:dyDescent="0.3">
      <c r="A86" s="20"/>
      <c r="B86" s="22"/>
      <c r="C86" s="22"/>
      <c r="D86" s="20"/>
      <c r="E86" s="20"/>
      <c r="F86" s="20"/>
      <c r="G86" s="20"/>
      <c r="H86" s="18"/>
      <c r="I86" s="20"/>
      <c r="J86" s="20"/>
      <c r="K86" s="20"/>
      <c r="L86" s="20"/>
      <c r="P86" s="18"/>
      <c r="Q86" s="20"/>
      <c r="R86" s="22"/>
      <c r="S86" s="22"/>
      <c r="T86" s="22"/>
      <c r="U86" s="22"/>
      <c r="V86" s="18"/>
      <c r="W86" s="18"/>
      <c r="X86" s="18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</row>
    <row r="87" spans="1:65" ht="15.6" x14ac:dyDescent="0.3">
      <c r="A87" s="20"/>
      <c r="B87" s="22"/>
      <c r="C87" s="22"/>
      <c r="D87" s="20"/>
      <c r="E87" s="20"/>
      <c r="F87" s="20"/>
      <c r="G87" s="20"/>
      <c r="H87" s="18"/>
      <c r="I87" s="20"/>
      <c r="J87" s="20"/>
      <c r="K87" s="20"/>
      <c r="L87" s="20"/>
      <c r="P87" s="18"/>
      <c r="Q87" s="20"/>
      <c r="R87" s="22"/>
      <c r="S87" s="22"/>
      <c r="T87" s="22"/>
      <c r="U87" s="22"/>
      <c r="V87" s="18"/>
      <c r="W87" s="18"/>
      <c r="X87" s="18"/>
      <c r="AN87" s="22"/>
      <c r="AO87" s="22"/>
      <c r="BM87" s="22"/>
    </row>
    <row r="88" spans="1:65" ht="15.6" x14ac:dyDescent="0.3">
      <c r="A88" s="20"/>
      <c r="B88" s="22"/>
      <c r="C88" s="22"/>
      <c r="D88" s="20"/>
      <c r="E88" s="20"/>
      <c r="F88" s="20"/>
      <c r="G88" s="20"/>
      <c r="H88" s="18"/>
      <c r="I88" s="20"/>
      <c r="J88" s="20"/>
      <c r="K88" s="20"/>
      <c r="L88" s="20"/>
      <c r="P88" s="18"/>
      <c r="Q88" s="20"/>
      <c r="R88" s="22"/>
      <c r="S88" s="22"/>
      <c r="T88" s="22"/>
      <c r="U88" s="22"/>
      <c r="V88" s="18"/>
      <c r="W88" s="18"/>
      <c r="X88" s="18"/>
      <c r="AN88" s="22"/>
      <c r="AO88" s="22"/>
      <c r="BM88" s="22"/>
    </row>
    <row r="89" spans="1:65" ht="15.6" x14ac:dyDescent="0.3">
      <c r="A89" s="20"/>
      <c r="B89" s="22"/>
      <c r="C89" s="22"/>
      <c r="D89" s="20"/>
      <c r="E89" s="20"/>
      <c r="F89" s="20"/>
      <c r="G89" s="20"/>
      <c r="H89" s="18"/>
      <c r="I89" s="20"/>
      <c r="J89" s="20"/>
      <c r="K89" s="20"/>
      <c r="L89" s="20"/>
      <c r="P89" s="18"/>
      <c r="Q89" s="20"/>
      <c r="R89" s="22"/>
      <c r="S89" s="22"/>
      <c r="T89" s="22"/>
      <c r="U89" s="22"/>
      <c r="V89" s="18"/>
      <c r="W89" s="18"/>
      <c r="X89" s="18"/>
      <c r="AN89" s="22"/>
      <c r="BM89" s="22"/>
    </row>
  </sheetData>
  <sheetProtection sheet="1" objects="1" scenarios="1" formatCells="0" formatColumns="0" formatRows="0" insertColumns="0" insertRows="0" insertHyperlinks="0" deleteColumns="0" deleteRows="0"/>
  <mergeCells count="34">
    <mergeCell ref="Y67:Y73"/>
    <mergeCell ref="Y75:Y81"/>
    <mergeCell ref="Y11:Y17"/>
    <mergeCell ref="Y19:Y25"/>
    <mergeCell ref="Y27:Y33"/>
    <mergeCell ref="Y35:Y41"/>
    <mergeCell ref="Y43:Y49"/>
    <mergeCell ref="B1:D1"/>
    <mergeCell ref="N1:P1"/>
    <mergeCell ref="B5:D5"/>
    <mergeCell ref="Y51:Y57"/>
    <mergeCell ref="Y59:Y65"/>
    <mergeCell ref="Q3:S3"/>
    <mergeCell ref="Q5:Q6"/>
    <mergeCell ref="S5:S6"/>
    <mergeCell ref="T5:T6"/>
    <mergeCell ref="B9:C9"/>
    <mergeCell ref="D9:E9"/>
    <mergeCell ref="F9:G9"/>
    <mergeCell ref="J9:L9"/>
    <mergeCell ref="O9:Q9"/>
    <mergeCell ref="D7:E7"/>
    <mergeCell ref="BH7:BL7"/>
    <mergeCell ref="Z7:AC7"/>
    <mergeCell ref="AE7:AH7"/>
    <mergeCell ref="AJ7:AM7"/>
    <mergeCell ref="AQ7:AS7"/>
    <mergeCell ref="AT7:AV7"/>
    <mergeCell ref="AW7:AY7"/>
    <mergeCell ref="D8:E8"/>
    <mergeCell ref="O8:W8"/>
    <mergeCell ref="R9:T9"/>
    <mergeCell ref="U9:W9"/>
    <mergeCell ref="AZ7:BB7"/>
  </mergeCells>
  <conditionalFormatting sqref="C10:C27 G10:G27">
    <cfRule type="cellIs" dxfId="46" priority="76" operator="equal">
      <formula>0</formula>
    </cfRule>
  </conditionalFormatting>
  <conditionalFormatting sqref="E10:E27">
    <cfRule type="cellIs" dxfId="45" priority="78" operator="equal">
      <formula>6.5</formula>
    </cfRule>
    <cfRule type="top10" dxfId="44" priority="66" rank="1"/>
    <cfRule type="cellIs" dxfId="43" priority="67" operator="equal">
      <formula>0</formula>
    </cfRule>
  </conditionalFormatting>
  <conditionalFormatting sqref="J10:L27">
    <cfRule type="duplicateValues" dxfId="42" priority="96"/>
  </conditionalFormatting>
  <conditionalFormatting sqref="O10:Q27">
    <cfRule type="duplicateValues" dxfId="41" priority="95"/>
  </conditionalFormatting>
  <conditionalFormatting sqref="O10:W27">
    <cfRule type="cellIs" dxfId="40" priority="38" stopIfTrue="1" operator="equal">
      <formula>0</formula>
    </cfRule>
    <cfRule type="cellIs" dxfId="39" priority="90" operator="equal">
      <formula>0</formula>
    </cfRule>
  </conditionalFormatting>
  <conditionalFormatting sqref="R10:T27">
    <cfRule type="duplicateValues" dxfId="38" priority="93"/>
  </conditionalFormatting>
  <conditionalFormatting sqref="U10:W27">
    <cfRule type="duplicateValues" dxfId="37" priority="91"/>
  </conditionalFormatting>
  <conditionalFormatting sqref="AC83">
    <cfRule type="colorScale" priority="27">
      <colorScale>
        <cfvo type="num" val="-1"/>
        <cfvo type="num" val="0"/>
        <cfvo type="num" val="1"/>
        <color rgb="FFFFC000"/>
        <color rgb="FF66FF33"/>
        <color rgb="FFFFC000"/>
      </colorScale>
    </cfRule>
    <cfRule type="colorScale" priority="28">
      <colorScale>
        <cfvo type="num" val="-1"/>
        <cfvo type="num" val="0"/>
        <cfvo type="num" val="1"/>
        <color rgb="FFFFC000"/>
        <color rgb="FFFFC000"/>
        <color rgb="FFFFC000"/>
      </colorScale>
    </cfRule>
  </conditionalFormatting>
  <conditionalFormatting sqref="AH83 AM83 AC83">
    <cfRule type="colorScale" priority="42">
      <colorScale>
        <cfvo type="num" val="-10"/>
        <cfvo type="percentile" val="0"/>
        <cfvo type="num" val="10"/>
        <color rgb="FFFF66FF"/>
        <color rgb="FF00FF00"/>
        <color rgb="FFFF00FF"/>
      </colorScale>
    </cfRule>
  </conditionalFormatting>
  <conditionalFormatting sqref="AH83">
    <cfRule type="colorScale" priority="37">
      <colorScale>
        <cfvo type="num" val="-1"/>
        <cfvo type="percentile" val="0"/>
        <cfvo type="num" val="1"/>
        <color rgb="FFFFC000"/>
        <color rgb="FF66FF33"/>
        <color rgb="FFFFC000"/>
      </colorScale>
    </cfRule>
  </conditionalFormatting>
  <conditionalFormatting sqref="AH84 AM84 AC84">
    <cfRule type="colorScale" priority="88">
      <colorScale>
        <cfvo type="num" val="-1"/>
        <cfvo type="percentile" val="0"/>
        <cfvo type="num" val="1"/>
        <color rgb="FFE20000"/>
        <color rgb="FF00FF00"/>
        <color rgb="FFFF0000"/>
      </colorScale>
    </cfRule>
  </conditionalFormatting>
  <conditionalFormatting sqref="AM83 AH83 AC83">
    <cfRule type="colorScale" priority="87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AM84">
    <cfRule type="containsText" dxfId="36" priority="86" operator="containsText" text="OK">
      <formula>NOT(ISERROR(SEARCH("OK",AM84)))</formula>
    </cfRule>
    <cfRule type="containsText" dxfId="35" priority="85" operator="containsText" text="ERREUR">
      <formula>NOT(ISERROR(SEARCH("ERREUR",AM84)))</formula>
    </cfRule>
  </conditionalFormatting>
  <conditionalFormatting sqref="AR64 AU64 AX64 BA64 BJ64 AC84 AH84 AM84">
    <cfRule type="containsText" dxfId="34" priority="35" operator="containsText" text="ERREUR">
      <formula>NOT(ISERROR(SEARCH("ERREUR",AC64)))</formula>
    </cfRule>
    <cfRule type="containsText" dxfId="33" priority="36" operator="containsText" text="OK">
      <formula>NOT(ISERROR(SEARCH("OK",AC64)))</formula>
    </cfRule>
  </conditionalFormatting>
  <conditionalFormatting sqref="AR64:AS65 AU64:AV65 AX64:AY65 BA64:BB65 BJ64:BK65">
    <cfRule type="containsText" dxfId="32" priority="52" operator="containsText" text="ERREUR">
      <formula>NOT(ISERROR(SEARCH("ERREUR",AR64)))</formula>
    </cfRule>
    <cfRule type="containsText" dxfId="31" priority="53" operator="containsText" text="OK">
      <formula>NOT(ISERROR(SEARCH("OK",AR64)))</formula>
    </cfRule>
  </conditionalFormatting>
  <conditionalFormatting sqref="BA63 AM83 AR63 AU63 AX63 BJ63">
    <cfRule type="colorScale" priority="29">
      <colorScale>
        <cfvo type="num" val="-1"/>
        <cfvo type="num" val="0"/>
        <cfvo type="num" val="1"/>
        <color rgb="FFFFC000"/>
        <color rgb="FF66FF33"/>
        <color rgb="FFFFC000"/>
      </colorScale>
    </cfRule>
  </conditionalFormatting>
  <conditionalFormatting sqref="BA63:BB63 BJ63">
    <cfRule type="colorScale" priority="26">
      <colorScale>
        <cfvo type="num" val="-1"/>
        <cfvo type="num" val="0"/>
        <cfvo type="num" val="1"/>
        <color rgb="FFFF0000"/>
        <color rgb="FF00FF00"/>
        <color rgb="FFFF0000"/>
      </colorScale>
    </cfRule>
  </conditionalFormatting>
  <conditionalFormatting sqref="BC9:BD62 AC11:AC12 AH11:AH12 AM11:AM13 AC15:AC17 AH15:AH17 AM15:AM17 AC19:AC21 AH19:AH21 AM19:AM21 AC23:AC25 AH23:AH25 AM23:AM25 AC27:AC29 AH27:AH29 AM27:AM29 AC31:AC37 AH31:AH37 AM31:AM37 AC39:AC45 AH39:AH45 AM39:AM45 AC47:AC53 AH47:AH53 AM47:AM53 AC55:AC57 AH55:AH57 AM55:AM57 AC59:AC61 AH59:AH61 AM59:AM61 AC63:AC69 AH63:AH69 AM63:AM69 AC71:AC81 AH71:AH81 AM71:AM81">
    <cfRule type="cellIs" dxfId="30" priority="89" stopIfTrue="1" operator="lessThan">
      <formula>0</formula>
    </cfRule>
  </conditionalFormatting>
  <conditionalFormatting sqref="BL9:BL60">
    <cfRule type="duplicateValues" dxfId="29" priority="238"/>
  </conditionalFormatting>
  <conditionalFormatting sqref="BL9:BL62">
    <cfRule type="duplicateValues" dxfId="28" priority="319"/>
  </conditionalFormatting>
  <conditionalFormatting sqref="BL55:BL60">
    <cfRule type="duplicateValues" dxfId="27" priority="79"/>
  </conditionalFormatting>
  <conditionalFormatting sqref="BL55:BL62">
    <cfRule type="duplicateValues" dxfId="26" priority="303"/>
  </conditionalFormatting>
  <conditionalFormatting sqref="BL62">
    <cfRule type="duplicateValues" dxfId="25" priority="2"/>
  </conditionalFormatting>
  <conditionalFormatting sqref="BN9:BN18">
    <cfRule type="duplicateValues" dxfId="24" priority="64"/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Spinner 1">
              <controlPr defaultSize="0" autoPict="0">
                <anchor moveWithCells="1" sizeWithCells="1">
                  <from>
                    <xdr:col>17</xdr:col>
                    <xdr:colOff>251460</xdr:colOff>
                    <xdr:row>3</xdr:row>
                    <xdr:rowOff>137160</xdr:rowOff>
                  </from>
                  <to>
                    <xdr:col>17</xdr:col>
                    <xdr:colOff>594360</xdr:colOff>
                    <xdr:row>6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CC99"/>
  </sheetPr>
  <dimension ref="A1:BN89"/>
  <sheetViews>
    <sheetView zoomScale="70" zoomScaleNormal="70" workbookViewId="0">
      <selection activeCell="Q3" sqref="Q3:S3"/>
    </sheetView>
  </sheetViews>
  <sheetFormatPr baseColWidth="10" defaultRowHeight="13.2" x14ac:dyDescent="0.25"/>
  <cols>
    <col min="2" max="2" width="20.6640625" customWidth="1"/>
    <col min="3" max="3" width="6.33203125" customWidth="1"/>
    <col min="4" max="4" width="23.88671875" customWidth="1"/>
    <col min="5" max="5" width="6.5546875" customWidth="1"/>
    <col min="6" max="6" width="24.33203125" customWidth="1"/>
    <col min="7" max="7" width="5.88671875" customWidth="1"/>
    <col min="8" max="8" width="6.5546875" hidden="1" customWidth="1"/>
    <col min="9" max="9" width="7.5546875" hidden="1" customWidth="1"/>
    <col min="10" max="10" width="20" hidden="1" customWidth="1"/>
    <col min="11" max="11" width="22" hidden="1" customWidth="1"/>
    <col min="12" max="12" width="19.44140625" hidden="1" customWidth="1"/>
    <col min="13" max="13" width="7.109375" customWidth="1"/>
    <col min="14" max="14" width="9.109375" customWidth="1"/>
    <col min="15" max="15" width="22.44140625" customWidth="1"/>
    <col min="16" max="16" width="21.33203125" customWidth="1"/>
    <col min="17" max="17" width="20.6640625" customWidth="1"/>
    <col min="18" max="18" width="22.109375" customWidth="1"/>
    <col min="19" max="19" width="20.88671875" customWidth="1"/>
    <col min="20" max="20" width="20" customWidth="1"/>
    <col min="21" max="21" width="22.33203125" customWidth="1"/>
    <col min="22" max="22" width="20" customWidth="1"/>
    <col min="23" max="23" width="20.44140625" customWidth="1"/>
    <col min="24" max="24" width="5.33203125" customWidth="1"/>
    <col min="25" max="25" width="8.33203125" customWidth="1"/>
    <col min="26" max="26" width="20.5546875" customWidth="1"/>
    <col min="27" max="27" width="7.44140625" customWidth="1"/>
    <col min="28" max="28" width="7.5546875" customWidth="1"/>
    <col min="29" max="29" width="6.33203125" customWidth="1"/>
    <col min="30" max="30" width="3.44140625" customWidth="1"/>
    <col min="31" max="31" width="20.88671875" customWidth="1"/>
    <col min="32" max="32" width="6.6640625" customWidth="1"/>
    <col min="33" max="33" width="5" customWidth="1"/>
    <col min="34" max="34" width="5.6640625" customWidth="1"/>
    <col min="35" max="35" width="3.88671875" customWidth="1"/>
    <col min="36" max="36" width="21.109375" customWidth="1"/>
    <col min="37" max="37" width="8.88671875" customWidth="1"/>
    <col min="38" max="38" width="5.88671875" customWidth="1"/>
    <col min="39" max="39" width="6.6640625" customWidth="1"/>
    <col min="40" max="40" width="4.88671875" customWidth="1"/>
    <col min="41" max="41" width="11.44140625" customWidth="1"/>
    <col min="42" max="42" width="23.6640625" customWidth="1"/>
    <col min="43" max="43" width="8.109375" customWidth="1"/>
    <col min="44" max="44" width="8" customWidth="1"/>
    <col min="45" max="45" width="9" customWidth="1"/>
    <col min="46" max="46" width="8.6640625" customWidth="1"/>
    <col min="47" max="50" width="8.5546875" customWidth="1"/>
    <col min="51" max="51" width="8.44140625" customWidth="1"/>
    <col min="52" max="56" width="11.44140625" customWidth="1"/>
    <col min="57" max="57" width="17.5546875" hidden="1" customWidth="1"/>
    <col min="58" max="58" width="11.44140625" hidden="1" customWidth="1"/>
    <col min="59" max="59" width="11.44140625" customWidth="1"/>
    <col min="60" max="60" width="24.109375" customWidth="1"/>
    <col min="61" max="64" width="11.44140625" customWidth="1"/>
    <col min="65" max="65" width="6.5546875" customWidth="1"/>
    <col min="66" max="66" width="0" hidden="1" customWidth="1"/>
  </cols>
  <sheetData>
    <row r="1" spans="1:66" ht="25.8" thickBot="1" x14ac:dyDescent="0.45">
      <c r="A1" s="20"/>
      <c r="B1" s="356" t="s">
        <v>36</v>
      </c>
      <c r="C1" s="356"/>
      <c r="D1" s="356"/>
      <c r="E1" s="112"/>
      <c r="F1" s="112"/>
      <c r="G1" s="112"/>
      <c r="H1" s="112"/>
      <c r="I1" s="112"/>
      <c r="J1" s="69"/>
      <c r="K1" s="69"/>
      <c r="L1" s="113" t="s">
        <v>37</v>
      </c>
      <c r="N1" s="379" t="s">
        <v>121</v>
      </c>
      <c r="O1" s="380"/>
      <c r="P1" s="381"/>
      <c r="R1" s="69"/>
      <c r="S1" s="69"/>
      <c r="T1" s="112"/>
      <c r="X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</row>
    <row r="2" spans="1:66" ht="18" x14ac:dyDescent="0.35">
      <c r="A2" s="20"/>
      <c r="B2" s="22"/>
      <c r="C2" s="22"/>
      <c r="D2" s="65"/>
      <c r="E2" s="65"/>
      <c r="F2" s="20"/>
      <c r="G2" s="20"/>
      <c r="H2" s="18"/>
      <c r="I2" s="20"/>
      <c r="J2" s="20"/>
      <c r="K2" s="20"/>
      <c r="L2" s="20"/>
      <c r="P2" s="18"/>
      <c r="Q2" s="20"/>
      <c r="R2" s="22"/>
      <c r="S2" s="22"/>
      <c r="T2" s="22"/>
      <c r="U2" s="36"/>
      <c r="V2" s="36"/>
      <c r="W2" s="36"/>
      <c r="X2" s="36"/>
      <c r="AA2" s="36"/>
      <c r="AB2" s="36"/>
      <c r="AC2" s="36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22"/>
      <c r="BA2" s="22"/>
      <c r="BB2" s="22"/>
      <c r="BC2" s="22"/>
    </row>
    <row r="3" spans="1:66" ht="22.8" x14ac:dyDescent="0.4">
      <c r="A3" s="114"/>
      <c r="B3" s="240" t="s">
        <v>62</v>
      </c>
      <c r="C3" s="22"/>
      <c r="D3" s="239" t="s">
        <v>53</v>
      </c>
      <c r="H3" s="18"/>
      <c r="I3" s="20"/>
      <c r="J3" s="20"/>
      <c r="K3" s="20"/>
      <c r="L3" s="20"/>
      <c r="P3" s="18"/>
      <c r="Q3" s="378" t="s">
        <v>38</v>
      </c>
      <c r="R3" s="378"/>
      <c r="S3" s="378"/>
      <c r="T3" s="2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22"/>
      <c r="BD3" s="22"/>
      <c r="BE3" s="22"/>
      <c r="BF3" s="22"/>
    </row>
    <row r="4" spans="1:66" ht="23.4" thickBot="1" x14ac:dyDescent="0.4">
      <c r="A4" s="114"/>
      <c r="B4" s="114"/>
      <c r="C4" s="22"/>
      <c r="D4" s="65"/>
      <c r="E4" s="65"/>
      <c r="F4" s="20"/>
      <c r="I4" s="20"/>
      <c r="J4" s="20"/>
      <c r="K4" s="20"/>
      <c r="L4" s="20"/>
      <c r="P4" s="18"/>
      <c r="Q4" s="20"/>
      <c r="R4" s="131"/>
      <c r="S4" s="131"/>
      <c r="V4" s="34"/>
      <c r="W4" s="37"/>
      <c r="X4" s="35" t="s">
        <v>22</v>
      </c>
      <c r="Y4" s="36"/>
      <c r="Z4" s="36"/>
      <c r="AA4" s="37"/>
      <c r="AB4" s="36"/>
      <c r="AC4" s="36"/>
      <c r="AD4" s="36"/>
      <c r="AE4" s="36"/>
      <c r="AF4" s="36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22"/>
      <c r="BB4" s="22"/>
      <c r="BC4" s="22"/>
      <c r="BD4" s="22"/>
      <c r="BE4" s="22"/>
      <c r="BF4" s="22"/>
    </row>
    <row r="5" spans="1:66" ht="25.2" thickBot="1" x14ac:dyDescent="0.4">
      <c r="A5" s="115">
        <f>+Q5</f>
        <v>54</v>
      </c>
      <c r="B5" s="360" t="s">
        <v>120</v>
      </c>
      <c r="C5" s="361"/>
      <c r="D5" s="362"/>
      <c r="P5" s="69"/>
      <c r="Q5" s="387">
        <v>54</v>
      </c>
      <c r="R5" s="69"/>
      <c r="S5" s="415">
        <f>IF(Q5=8,2,IF($Q$5=9,2,IF($Q$5=10,2,IF($Q$5=11,2,IF($Q$5=12,2,IF($Q$5=13,3,IF(Q5=14,3,IF($Q$5=15,3,IF(Q5=16,3,IF($Q$5=17,3,IF(Q5=18,3,IF($Q$5=19,4,IF(Q5=20,4,IF($Q$5=21,4,IF(Q5=22,4,IF($Q$5=23,4,IF(Q5=24,4,IF($Q$5=25,5,IF(Q5=26,5,IF($Q$5=27,5,IF(Q5=28,5,IF($Q$5=29,5,IF(Q5=30,5,IF($Q$5=31,6,IF(Q5=32,6,IF($Q$5=33,6,IF($Q$5=34,6,IF($Q$5=35,6,IF($Q$5=36,6,IF($Q$5=37,7,IF($Q$5=38,7,IF($Q$5=39,7,IF($Q$5=40,7,IF($Q$5=41,7,IF($Q$5=42,7,IF($Q$5=43,8,IF($Q$5=44,8,IF($Q$5=45,8,IF($Q$5=46,8,IF($Q$5=47,8,IF($Q$5=48,8,IF($Q$5=49,9,IF($Q$5=50,9,IF($Q$5=51,9,IF($Q$5=52,9,IF($Q$5=53,9,IF($Q$5=54,9,0)))))))))))))))))))))))))))))))))))))))))))))))</f>
        <v>9</v>
      </c>
      <c r="T5" s="413" t="s">
        <v>39</v>
      </c>
      <c r="U5" s="18"/>
      <c r="V5" s="18"/>
      <c r="W5" s="18"/>
      <c r="X5" s="36" t="s">
        <v>23</v>
      </c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22"/>
      <c r="BB5" s="22"/>
      <c r="BC5" s="22"/>
      <c r="BD5" s="22"/>
      <c r="BE5" s="22"/>
      <c r="BF5" s="22"/>
    </row>
    <row r="6" spans="1:66" ht="31.5" customHeight="1" thickBot="1" x14ac:dyDescent="0.35">
      <c r="P6" s="69"/>
      <c r="Q6" s="388"/>
      <c r="R6" s="69"/>
      <c r="S6" s="416"/>
      <c r="T6" s="420"/>
      <c r="Y6" s="20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40"/>
      <c r="BI6" s="40"/>
      <c r="BJ6" s="40"/>
      <c r="BK6" s="40"/>
      <c r="BL6" s="40"/>
      <c r="BM6" s="40"/>
    </row>
    <row r="7" spans="1:66" ht="27" customHeight="1" thickTop="1" thickBot="1" x14ac:dyDescent="0.35">
      <c r="D7" s="376" t="s">
        <v>60</v>
      </c>
      <c r="E7" s="377"/>
      <c r="Y7" s="20"/>
      <c r="Z7" s="363" t="s">
        <v>1</v>
      </c>
      <c r="AA7" s="364"/>
      <c r="AB7" s="364"/>
      <c r="AC7" s="365"/>
      <c r="AD7" s="20"/>
      <c r="AE7" s="366" t="s">
        <v>2</v>
      </c>
      <c r="AF7" s="367"/>
      <c r="AG7" s="367"/>
      <c r="AH7" s="368"/>
      <c r="AI7" s="20"/>
      <c r="AJ7" s="369" t="s">
        <v>3</v>
      </c>
      <c r="AK7" s="370"/>
      <c r="AL7" s="370"/>
      <c r="AM7" s="371"/>
      <c r="AO7" s="20"/>
      <c r="AP7" s="86" t="s">
        <v>0</v>
      </c>
      <c r="AQ7" s="357" t="s">
        <v>1</v>
      </c>
      <c r="AR7" s="358"/>
      <c r="AS7" s="359"/>
      <c r="AT7" s="401" t="s">
        <v>2</v>
      </c>
      <c r="AU7" s="402"/>
      <c r="AV7" s="412"/>
      <c r="AW7" s="406" t="s">
        <v>3</v>
      </c>
      <c r="AX7" s="407"/>
      <c r="AY7" s="408"/>
      <c r="AZ7" s="417" t="s">
        <v>7</v>
      </c>
      <c r="BA7" s="418"/>
      <c r="BB7" s="419"/>
      <c r="BC7" s="41"/>
      <c r="BD7" s="33"/>
      <c r="BE7" s="20"/>
      <c r="BF7" s="20"/>
      <c r="BG7" s="69"/>
      <c r="BH7" s="417" t="s">
        <v>21</v>
      </c>
      <c r="BI7" s="418"/>
      <c r="BJ7" s="418"/>
      <c r="BK7" s="418"/>
      <c r="BL7" s="419"/>
      <c r="BM7" s="69"/>
    </row>
    <row r="8" spans="1:66" ht="22.2" thickTop="1" thickBot="1" x14ac:dyDescent="0.45">
      <c r="A8" s="163"/>
      <c r="D8" s="389" t="s">
        <v>61</v>
      </c>
      <c r="E8" s="390"/>
      <c r="G8" s="164"/>
      <c r="H8" s="109"/>
      <c r="I8" s="164"/>
      <c r="J8" s="164"/>
      <c r="K8" s="164"/>
      <c r="L8" s="164"/>
      <c r="N8" s="163"/>
      <c r="O8" s="409" t="s">
        <v>9</v>
      </c>
      <c r="P8" s="410"/>
      <c r="Q8" s="410"/>
      <c r="R8" s="410"/>
      <c r="S8" s="410"/>
      <c r="T8" s="410"/>
      <c r="U8" s="410"/>
      <c r="V8" s="410"/>
      <c r="W8" s="411"/>
      <c r="X8" s="109"/>
      <c r="Y8" s="20"/>
      <c r="Z8" s="19"/>
      <c r="AA8" s="19"/>
      <c r="AB8" s="19"/>
      <c r="AC8" s="19"/>
      <c r="AD8" s="20"/>
      <c r="AE8" s="19"/>
      <c r="AF8" s="19"/>
      <c r="AG8" s="19"/>
      <c r="AH8" s="18"/>
      <c r="AI8" s="19"/>
      <c r="AJ8" s="19"/>
      <c r="AK8" s="20"/>
      <c r="AL8" s="20"/>
      <c r="AM8" s="19"/>
      <c r="AN8" s="109"/>
      <c r="AO8" s="20"/>
      <c r="AP8" s="87" t="s">
        <v>6</v>
      </c>
      <c r="AQ8" s="88" t="s">
        <v>10</v>
      </c>
      <c r="AR8" s="89" t="s">
        <v>11</v>
      </c>
      <c r="AS8" s="92" t="s">
        <v>12</v>
      </c>
      <c r="AT8" s="94" t="s">
        <v>10</v>
      </c>
      <c r="AU8" s="92" t="s">
        <v>11</v>
      </c>
      <c r="AV8" s="187" t="s">
        <v>12</v>
      </c>
      <c r="AW8" s="91" t="s">
        <v>10</v>
      </c>
      <c r="AX8" s="92" t="s">
        <v>11</v>
      </c>
      <c r="AY8" s="187" t="s">
        <v>12</v>
      </c>
      <c r="AZ8" s="105" t="s">
        <v>16</v>
      </c>
      <c r="BA8" s="95" t="s">
        <v>11</v>
      </c>
      <c r="BB8" s="188" t="s">
        <v>12</v>
      </c>
      <c r="BC8" s="84" t="s">
        <v>19</v>
      </c>
      <c r="BD8" s="186" t="s">
        <v>20</v>
      </c>
      <c r="BE8" s="185" t="s">
        <v>14</v>
      </c>
      <c r="BF8" s="99" t="s">
        <v>15</v>
      </c>
      <c r="BG8" s="69"/>
      <c r="BH8" s="100" t="s">
        <v>6</v>
      </c>
      <c r="BI8" s="104" t="s">
        <v>16</v>
      </c>
      <c r="BJ8" s="39" t="s">
        <v>17</v>
      </c>
      <c r="BK8" s="243" t="s">
        <v>12</v>
      </c>
      <c r="BL8" s="233" t="s">
        <v>18</v>
      </c>
      <c r="BM8" s="164"/>
      <c r="BN8" s="224" t="s">
        <v>16</v>
      </c>
    </row>
    <row r="9" spans="1:66" ht="21.6" thickBot="1" x14ac:dyDescent="0.45">
      <c r="A9" s="109"/>
      <c r="B9" s="391" t="s">
        <v>33</v>
      </c>
      <c r="C9" s="392"/>
      <c r="D9" s="393" t="s">
        <v>34</v>
      </c>
      <c r="E9" s="392"/>
      <c r="F9" s="394" t="s">
        <v>35</v>
      </c>
      <c r="G9" s="392"/>
      <c r="H9" s="18"/>
      <c r="I9" s="116"/>
      <c r="J9" s="395" t="s">
        <v>40</v>
      </c>
      <c r="K9" s="396"/>
      <c r="L9" s="397"/>
      <c r="N9" s="66"/>
      <c r="O9" s="386" t="s">
        <v>1</v>
      </c>
      <c r="P9" s="386"/>
      <c r="Q9" s="386"/>
      <c r="R9" s="421" t="s">
        <v>2</v>
      </c>
      <c r="S9" s="422"/>
      <c r="T9" s="422"/>
      <c r="U9" s="423" t="s">
        <v>3</v>
      </c>
      <c r="V9" s="424"/>
      <c r="W9" s="425"/>
      <c r="X9" s="18"/>
      <c r="Y9" s="31" t="s">
        <v>30</v>
      </c>
      <c r="Z9" s="21" t="s">
        <v>4</v>
      </c>
      <c r="AA9" s="21" t="s">
        <v>12</v>
      </c>
      <c r="AB9" s="21" t="s">
        <v>10</v>
      </c>
      <c r="AC9" s="21" t="s">
        <v>11</v>
      </c>
      <c r="AD9" s="19"/>
      <c r="AE9" s="21" t="s">
        <v>4</v>
      </c>
      <c r="AF9" s="21" t="s">
        <v>12</v>
      </c>
      <c r="AG9" s="21" t="s">
        <v>10</v>
      </c>
      <c r="AH9" s="21" t="s">
        <v>11</v>
      </c>
      <c r="AI9" s="19"/>
      <c r="AJ9" s="21" t="s">
        <v>4</v>
      </c>
      <c r="AK9" s="21" t="s">
        <v>12</v>
      </c>
      <c r="AL9" s="21" t="s">
        <v>10</v>
      </c>
      <c r="AM9" s="21" t="s">
        <v>11</v>
      </c>
      <c r="AN9" s="18"/>
      <c r="AO9" s="43">
        <v>1</v>
      </c>
      <c r="AP9" s="277" t="str">
        <f>+Inscrits!B3</f>
        <v>A1</v>
      </c>
      <c r="AQ9" s="246">
        <f>IF(ISNA(VLOOKUP(AP9,$Z$11:$AC$81,3,0))," ",IF(VLOOKUP(AP9,$Z$11:$AC$81,3,0)=0,"0",VLOOKUP(AP9,$Z$11:$AC$81,3,0)))</f>
        <v>1</v>
      </c>
      <c r="AR9" s="30">
        <f>IF(ISNA(VLOOKUP(AP9,$Z$11:$AC$81,4,0))," ",IF(VLOOKUP(AP9,$Z$11:$AC$81,4,0)=0,"0",VLOOKUP(AP9,$Z$11:$AC$81,4,0)))</f>
        <v>-3</v>
      </c>
      <c r="AS9" s="77">
        <f>IF(ISNA(VLOOKUP(AP9,$Z$11:$AC$81,2,0))," ",IF(VLOOKUP(AP9,$Z$11:$AC$81,2,0)=0,"0",VLOOKUP(AP9,$Z$11:$AC$81,2,0)))</f>
        <v>5</v>
      </c>
      <c r="AT9" s="74">
        <f>IF(ISNA(VLOOKUP(AP9,$AE$11:$AH$81,3,0))," ",IF(VLOOKUP(AP9,$AE$11:$AH$81,3,0)=0,"0",VLOOKUP(AP9,$AE$11:$AH$81,3,0)))</f>
        <v>3</v>
      </c>
      <c r="AU9" s="30">
        <f>IF(ISNA(VLOOKUP(AP9,$AE$11:$AH$81,4,0))," ",IF(VLOOKUP(AP9,$AE$11:$AH$81,4,0)=0,"0",VLOOKUP(AP9,$AE$11:$AH$81,4,0)))</f>
        <v>8</v>
      </c>
      <c r="AV9" s="249">
        <f>IF(ISNA(VLOOKUP(AP9,$AE$11:$AH$81,2,0))," ",IF(VLOOKUP(AP9,$AE$11:$AH$81,2,0)=0,"0",VLOOKUP(AP9,$AE$11:$AH$81,2,0)))</f>
        <v>13</v>
      </c>
      <c r="AW9" s="246">
        <f>IF(ISNA(VLOOKUP(AP9,$AJ$11:$AM$81,3,0))," ",IF(VLOOKUP(AP9,$AJ$11:$AM$81,3,0)=0,"0",VLOOKUP(AP9,$AJ$11:$AM$81,3,0)))</f>
        <v>3</v>
      </c>
      <c r="AX9" s="30">
        <f>IF(ISNA(VLOOKUP(AP9,$AJ$11:$AM$81,4,0))," ",IF(VLOOKUP(AP9,$AJ$11:$AM$81,4,0)=0,"0",VLOOKUP(AP9,$AJ$11:$AM$81,4,0)))</f>
        <v>5</v>
      </c>
      <c r="AY9" s="249">
        <f>IF(ISNA(VLOOKUP(AP9,$AJ$11:$AM$81,2,0))," ",IF(VLOOKUP(AP9,$AJ$11:$AM$81,2,0)=0,"0",VLOOKUP(AP9,$AJ$11:$AM$81,2,0)))</f>
        <v>13</v>
      </c>
      <c r="AZ9" s="246">
        <f>SUMIFS(AQ9:AW9,$AQ$8:$AW$8,"Pts",AQ9:AW9,"&lt;&gt;#N/A")</f>
        <v>7</v>
      </c>
      <c r="BA9" s="30">
        <f>SUMIFS(AQ9:AX9,$AQ$8:$AX$8,"GA",AQ9:AX9,"&lt;&gt;#N/A")</f>
        <v>10</v>
      </c>
      <c r="BB9" s="249">
        <f>SUMIFS(AQ9:AY9,$AQ$8:$AY$8,"Score",AQ9:AY9,"&lt;&gt;#N/A")</f>
        <v>31</v>
      </c>
      <c r="BC9" s="254">
        <f>IF(BA9="","",IF(BA9&lt;0,BA9,0))</f>
        <v>0</v>
      </c>
      <c r="BD9" s="182">
        <f>IF(BA9="","",IF(BA9&gt;0,BA9,0))</f>
        <v>10</v>
      </c>
      <c r="BE9" s="183">
        <f>IF(OR(AP9="",AZ9="",BA9="",BB9=""),"",RANK(AZ9,$AZ$9:$AZ$62)+SUM(-BA9/100)-(+BB9/10000)+COUNTIF(AP$9:AP$62,"&lt;="&amp;AP9+1)/1000000+ROW()/100000000)</f>
        <v>5.8969000900000008</v>
      </c>
      <c r="BF9" s="82">
        <f>IF(AP9="","",SMALL(BE$9:BE$62,ROWS(AZ$9:AZ9)))</f>
        <v>0.82700057999999999</v>
      </c>
      <c r="BH9" s="82" t="str">
        <f>IF(OR(AP9="",AZ9=""),"",INDEX($AP$9:$AP$63,MATCH(BF9,$BE$9:BE$62,0)))</f>
        <v>C14</v>
      </c>
      <c r="BI9" s="7">
        <f t="shared" ref="BI9:BI40" si="0">IF(AP9="","",INDEX($AZ$9:$AZ$63,MATCH(BF9,$BE$9:$BE$62,0)))</f>
        <v>9</v>
      </c>
      <c r="BJ9" s="7">
        <f t="shared" ref="BJ9:BJ40" si="1">IF(AP9="","",INDEX($BA$9:$BA$63,MATCH(BF9,$BE$9:$BE$62,0)))</f>
        <v>17</v>
      </c>
      <c r="BK9" s="7">
        <f t="shared" ref="BK9:BK40" si="2">IF(AP9="","",INDEX($BB$9:$BB$63,MATCH(BF9,$BE$9:$BE$62,0)))</f>
        <v>30</v>
      </c>
      <c r="BL9" s="241">
        <f>IF(BF9="","",1)</f>
        <v>1</v>
      </c>
      <c r="BM9" s="22"/>
      <c r="BN9" s="67"/>
    </row>
    <row r="10" spans="1:66" ht="21.6" thickBot="1" x14ac:dyDescent="0.35">
      <c r="A10" s="110">
        <v>1</v>
      </c>
      <c r="B10" s="329" t="s">
        <v>66</v>
      </c>
      <c r="C10" s="234">
        <f>IF($Q$5&gt;7,1,0)</f>
        <v>1</v>
      </c>
      <c r="D10" s="337" t="s">
        <v>84</v>
      </c>
      <c r="E10" s="234">
        <f>IF($Q$5&gt;7,1,0)</f>
        <v>1</v>
      </c>
      <c r="F10" s="336" t="s">
        <v>102</v>
      </c>
      <c r="G10" s="234">
        <f>IF($Q$5&gt;7,1,0)</f>
        <v>1</v>
      </c>
      <c r="H10" s="18"/>
      <c r="I10" s="170">
        <v>1</v>
      </c>
      <c r="J10" s="171" t="str">
        <f>IF(ISNA(MATCH(I10,$C$10:$C$27,0)),"",INDEX(B$10:$B$27,MATCH(I10,$C$10:$C$27,0)))</f>
        <v>A1</v>
      </c>
      <c r="K10" s="158" t="str">
        <f>IF(ISNA(MATCH(I10,$E$10:$E$27,0)),"",INDEX($D$10:D$27,MATCH(I10,$E$10:$E$27,0)))</f>
        <v>B1</v>
      </c>
      <c r="L10" s="159" t="str">
        <f>IF(ISNA(MATCH(I10,$G$10:$G$27,0)),"",INDEX($F$10:F$27,MATCH(I10,$G$10:$G$27,0)))</f>
        <v>C1</v>
      </c>
      <c r="N10" s="67">
        <v>1</v>
      </c>
      <c r="O10" s="118" t="str">
        <f>IF($Q$5&lt;55&gt;7,J10,0)</f>
        <v>A1</v>
      </c>
      <c r="P10" s="119" t="str">
        <f>IF($Q$5&gt;=8,K10,0)</f>
        <v>B1</v>
      </c>
      <c r="Q10" s="120" t="str">
        <f>IF($Q$5&gt;9,L10,IF($Q$5=9,L10,0))</f>
        <v>C1</v>
      </c>
      <c r="R10" s="150" t="str">
        <f>IF($Q$5=8,K12,IF($Q$5=9,O13,IF($Q$5=10,J12,IF($Q$5=11,J10,IF($Q$5=12,J10,IF($Q$5=13,J11,IF($Q$5=14,J11,IF($Q$5=15,J11,IF($Q$5=16,J11,IF($Q$5=17,J10,IF($Q$5=18,J10,IF($Q$5=19,J11,IF($Q$5=20,J10,IF($Q$5=21,J10,IF($Q$5=22,J11,IF($Q$5=23,J11,IF($Q$5=24,J11,IF($Q$5=25,J11,IF($Q$5=26,J11,IF($Q$5=27,J11,IF($Q$5=28,J11,IF($Q$5=29,J11,IF($Q$5=30,J11,IF($Q$5=31,J11,IF($Q$5=32,J11,IF($Q$5=33,J11,IF($Q$5=34,J11,IF($Q$5=35,J11,IF($Q$5=36,J11,IF($Q$5=37,J11,IF($Q$5=38,J11,IF($Q$5=39,J11,IF($Q$5=40,J11,IF($Q$5=41,J11,IF($Q$5=42,J11,IF($Q$5=43,J11,IF($Q$5=44,J11,IF($Q$5=45,J11,IF($Q$5=46,J11,IF($Q$5=47,J11,IF($Q$5=48,J11,IF($Q$5=49,J11,IF($Q$5=50,J11,IF($Q$5=51,J11,IF($Q$5=52,J11,IF($Q$5=53,J11,IF($Q$5=54,J11,0)))))))))))))))))))))))))))))))))))))))))))))))</f>
        <v>A2</v>
      </c>
      <c r="S10" s="132" t="str">
        <f>IF($Q$5=8,L11,IF($Q$5=9,L11,IF($Q$5=10,K10,IF($Q$5=11,K13,IF($Q$5=12,K13,IF($Q$5=13,L10,IF($Q$5=14,K12,IF($Q$5=15,K13,IF($Q$5=16,K12,IF($Q$5=17,K13,IF($Q$5=18,K13,IF($Q$5=19,K13,IF($Q$5=20,P17,IF($Q$5=21,K13,IF($Q$5=22,K13,IF($Q$5=23,K13,IF($Q$5=24,K16,IF($Q$5=25,K13,IF($Q$5=26,K16,IF($Q$5=27,K13,IF($Q$5=28,K13,IF($Q$5=29,K13,IF($Q$5=30,K13,IF($Q$5=31,K13,IF($Q$5=32,K13,IF($Q$5=33,K13,IF($Q$5=34,K13,IF($Q$5=35,K13,IF($Q$5=36,K12,IF($Q$5=37,K12,IF($Q$5=38,K12,IF($Q$5=39,K12,IF($Q$5=40,K12,IF($Q$5=41,K12,IF($Q$5=42,K12,IF($Q$5=43,K12,IF($Q$5=44,K12,IF($Q$5=45,K12,IF($Q$5=46,K12,IF($Q$5=47,K12,IF($Q$5=48,K12,IF($Q$5=49,K12,IF($Q$5=50,K12,IF($Q$5=51,K12,IF($Q$5=52,K12,IF($Q$5=53,K12,IF($Q$5=54,K12,0)))))))))))))))))))))))))))))))))))))))))))))))</f>
        <v>B3</v>
      </c>
      <c r="T10" s="151" t="str">
        <f>IF($Q$5=9,P13,IF($Q$5=10,L12,IF($Q$5=11,L11,IF($Q$5=12,L12,IF($Q$5=13,P15,IF($Q$5=14,P15,IF($Q$5=15,P14,IF($Q$5=16,L13,IF($Q$5=17,L12,IF($Q$5=18,L12,IF($Q$5=19,P17,IF($Q$5=20,L12,IF($Q$5=21,P10,IF($Q$5=22,L12,IF($Q$5=23,L12,IF($Q$5=24,L12,IF($Q$5=25,L12,IF($Q$5=26,L12,IF($Q$5=27,L12,IF($Q$5=28,L12,IF($Q$5=29,L12,IF($Q$5=30,L12,IF($Q$5=31,L12,IF($Q$5=32,L12,IF($Q$5=33,L12,IF($Q$5=34,L12,IF($Q$5=35,L12,IF($Q$5=36,L13,IF($Q$5=37,L13,IF($Q$5=38,L13,IF($Q$5=39,L13,IF($Q$5=40,L13,IF($Q$5=41,L13,IF($Q$5=42,L13,IF($Q$5=43,L13,IF($Q$5=44,L13,IF($Q$5=45,L13,IF($Q$5=46,L13,IF($Q$5=47,L13,IF($Q$5=48,L13,IF($Q$5=49,L13,IF($Q$5=50,L13,IF($Q$5=51,L13,IF($Q$5=52,L13,IF($Q$5=53,L13,IF($Q$5=54,L13,0))))))))))))))))))))))))))))))))))))))))))))))</f>
        <v>C4</v>
      </c>
      <c r="U10" s="140" t="str">
        <f>IF($Q$5=8,J11,IF($Q$5=9,R11,IF($Q$5=10,J13,IF($Q$5=11,J13,IF($Q$5=12,J10,IF($Q$5=13,R12,IF($Q$5=14,R11,IF($Q$5=15,R11,IF($Q$5=16,R15,IF($Q$5=17,R10,IF(Q$5=18,R10,IF($Q$5=19,R13,IF($Q$5=20,R10,IF($Q$5=21,O10,IF($Q$5=22,R17,IF($Q$5=23,R11,IF($Q$5=24,R17,IF($Q$5=25,R19,IF($Q$5=26,R19,IF($Q$5=27,R18,IF($Q$5=28,R19,IF($Q$5=29,R19,IF($Q$5=30,R19,IF($Q$5=31,R20,IF($Q$5=32,R21,IF($Q$5=33,O10,IF($Q$5=34,O10,IF($Q$5=35,R21,IF($Q$5=36,O12,IF($Q$5=37,R11,IF($Q$5=38,R11,IF($Q$5=39,R11,IF($Q$5=40,R11,IF($Q$5=41,R11,IF($Q$5=42,R11,IF($Q$5=43,R11,IF($Q$5=44,R11,IF($Q$5=45,R11,IF($Q$5=46,R11,IF($Q$5=47,R11,IF($Q$5=48,R11,IF($Q$5=49,R11,IF($Q$5=50,R11,IF($Q$5=51,R11,IF($Q$5=52,R11,IF($Q$5=53,R11,IF($Q$5=54,R11,0)))))))))))))))))))))))))))))))))))))))))))))))</f>
        <v>A3</v>
      </c>
      <c r="V10" s="132" t="str">
        <f>IF($Q$5=8,L10,IF($Q$5=9,T10,IF($Q$5=10,K12,IF($Q$5=11,S12,IF($Q$5=12,P12,IF($Q$5=13,S13,IF($Q$5=14,S12,IF($Q$5=15,S14,IF($Q$5=16,S10,IF($Q$5=17,S13,IF($Q$5=18,S13,IF($Q$5=19,S14,IF($Q$5=20,S13,IF($Q$5=21,S13,IF($Q$5=22,S13,IF($Q$5=23,S13,IF($Q$5=24,S13,IF($Q$5=25,S10,IF($Q$5=26,S13,IF($Q$5=27,S13,IF($Q$5=28,S10,IF($Q$5=29,S13,IF($Q$5=30,S13,IF($Q$5=31,S13,IF($Q$5=32,S10,IF($Q$5=33,S10,IF($Q$5=34,S10,IF($Q$5=35,S10,IF($Q$5=36,S12,IF($Q$5=37,S12,IF($Q$5=38,S12,IF($Q$5=39,S12,IF($Q$5=40,S12,IF($Q$5=41,S12,IF($Q$5=42,S12,IF($Q$5=43,S12,IF($Q$5=44,S12,IF($Q$5=45,S12,IF($Q$5=46,S12,IF($Q$5=47,S12,IF($Q$5=48,S12,IF($Q$5=49,S12,IF($Q$5=50,S12,IF($Q$5=51,S12,IF($Q$5=52,S12,IF($Q$5=53,S12,IF($Q$5=54,S12,0)))))))))))))))))))))))))))))))))))))))))))))))</f>
        <v>B5</v>
      </c>
      <c r="W10" s="144" t="str">
        <f>IF($Q$5=9,L11,IF($Q$5=10,L11,IF($Q$5=11,T11,IF($Q$5=12,T11,IF($Q$5=13,S11,IF($Q$5=14,S14,IF($Q$5=15,T12,IF($Q$5=16,T11,IF($Q$5=17,T12,IF($Q$5=18,T12,IF($Q$5=19,T12,IF($Q$5=20,T12,IF($Q$5=21,T12,IF($Q$5=22,T12,IF(Q$5=23,T12,IF($Q$5=24,T12,IF($Q$5=25,T12,IF($Q$5=26,T12,IF($Q$5=27,T12,IF($Q$5=28,T12,IF($Q$5=29,T11,IF($Q$5=30,T12,IF($Q$5=31,T12,IF($Q$5=32,T11,IF($Q$5=33,T11,IF($Q$5=34,T11,IF($Q$5=35,T11,IF($Q$5=36,T13,IF($Q$5=37,T13,IF($Q$5=38,T13,IF($Q$5=39,T13,IF($Q$5=40,T13,IF($Q$5=41,T13,IF($Q$5=42,T13,IF($Q$5=43,T13,IF($Q$5=44,T13,IF($Q$5=45,T13,IF($Q$5=46,T13,IF($Q$5=47,T13,IF($Q$5=48,T13,IF($Q$5=49,T13,IF($Q$5=50,T13,IF($Q$5=51,T13,IF($Q$5=52,T13,IF($Q$5=53,T13,IF($Q$5=54,T13,0))))))))))))))))))))))))))))))))))))))))))))))</f>
        <v>C7</v>
      </c>
      <c r="X10" s="18"/>
      <c r="Y10" s="20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8"/>
      <c r="AO10" s="44">
        <v>2</v>
      </c>
      <c r="AP10" s="278" t="str">
        <f>+Inscrits!B4</f>
        <v>A2</v>
      </c>
      <c r="AQ10" s="247">
        <f t="shared" ref="AQ10:AQ62" si="3">IF(ISNA(VLOOKUP(AP10,$Z$11:$AC$81,3,0))," ",IF(VLOOKUP(AP10,$Z$11:$AC$81,3,0)=0,"0",VLOOKUP(AP10,$Z$11:$AC$81,3,0)))</f>
        <v>3</v>
      </c>
      <c r="AR10" s="82">
        <f t="shared" ref="AR10:AR62" si="4">IF(ISNA(VLOOKUP(AP10,$Z$11:$AC$81,4,0))," ",IF(VLOOKUP(AP10,$Z$11:$AC$81,4,0)=0,"0",VLOOKUP(AP10,$Z$11:$AC$81,4,0)))</f>
        <v>3</v>
      </c>
      <c r="AS10" s="184">
        <f t="shared" ref="AS10:AS62" si="5">IF(ISNA(VLOOKUP(AP10,$Z$11:$AC$81,2,0))," ",IF(VLOOKUP(AP10,$Z$11:$AC$81,2,0)=0,"0",VLOOKUP(AP10,$Z$11:$AC$81,2,0)))</f>
        <v>8</v>
      </c>
      <c r="AT10" s="250">
        <f t="shared" ref="AT10:AT62" si="6">IF(ISNA(VLOOKUP(AP10,$AE$11:$AH$81,3,0))," ",IF(VLOOKUP(AP10,$AE$11:$AH$81,3,0)=0,"0",VLOOKUP(AP10,$AE$11:$AH$81,3,0)))</f>
        <v>3</v>
      </c>
      <c r="AU10" s="82">
        <f t="shared" ref="AU10:AU62" si="7">IF(ISNA(VLOOKUP(AP10,$AE$11:$AH$81,4,0))," ",IF(VLOOKUP(AP10,$AE$11:$AH$81,4,0)=0,"0",VLOOKUP(AP10,$AE$11:$AH$81,4,0)))</f>
        <v>2</v>
      </c>
      <c r="AV10" s="252">
        <f t="shared" ref="AV10:AV62" si="8">IF(ISNA(VLOOKUP(AP10,$AE$11:$AH$81,2,0))," ",IF(VLOOKUP(AP10,$AE$11:$AH$81,2,0)=0,"0",VLOOKUP(AP10,$AE$11:$AH$81,2,0)))</f>
        <v>12</v>
      </c>
      <c r="AW10" s="247">
        <f t="shared" ref="AW10:AW62" si="9">IF(ISNA(VLOOKUP(AP10,$AJ$11:$AM$81,3,0))," ",IF(VLOOKUP(AP10,$AJ$11:$AM$81,3,0)=0,"0",VLOOKUP(AP10,$AJ$11:$AM$81,3,0)))</f>
        <v>1</v>
      </c>
      <c r="AX10" s="82">
        <f t="shared" ref="AX10:AX62" si="10">IF(ISNA(VLOOKUP(AP10,$AJ$11:$AM$81,4,0))," ",IF(VLOOKUP(AP10,$AJ$11:$AM$81,4,0)=0,"0",VLOOKUP(AP10,$AJ$11:$AM$81,4,0)))</f>
        <v>-5</v>
      </c>
      <c r="AY10" s="252">
        <f t="shared" ref="AY10:AY62" si="11">IF(ISNA(VLOOKUP(AP10,$AJ$11:$AM$81,2,0))," ",IF(VLOOKUP(AP10,$AJ$11:$AM$81,2,0)=0,"0",VLOOKUP(AP10,$AJ$11:$AM$81,2,0)))</f>
        <v>8</v>
      </c>
      <c r="AZ10" s="247">
        <f>SUMIFS(AQ10:AW10,$AQ$8:$AW$8,"Pts",AQ10:AW10,"&lt;&gt;#N/A")</f>
        <v>7</v>
      </c>
      <c r="BA10" s="82">
        <f t="shared" ref="BA10:BA62" si="12">SUMIFS(AQ10:AX10,$AQ$8:$AX$8,"GA",AQ10:AX10,"&lt;&gt;#N/A")</f>
        <v>0</v>
      </c>
      <c r="BB10" s="252">
        <f t="shared" ref="BB10:BB62" si="13">SUMIFS(AQ10:AY10,$AQ$8:$AY$8,"Score",AQ10:AY10,"&lt;&gt;#N/A")</f>
        <v>28</v>
      </c>
      <c r="BC10" s="255">
        <f t="shared" ref="BC10:BC62" si="14">IF(BA10="","",IF(BA10&lt;0,BA10,0))</f>
        <v>0</v>
      </c>
      <c r="BD10" s="7">
        <f t="shared" ref="BD10:BD62" si="15">IF(BA10="","",IF(BA10&gt;0,BA10,0))</f>
        <v>0</v>
      </c>
      <c r="BE10" s="183">
        <f t="shared" ref="BE10:BE62" si="16">IF(OR(AP10="",AZ10="",BA10="",BB10=""),"",RANK(AZ10,$AZ$9:$AZ$62)+SUM(-BA10/100)-(+BB10/10000)+COUNTIF(AP$9:AP$62,"&lt;="&amp;AP10+1)/1000000+ROW()/100000000)</f>
        <v>5.9972001000000006</v>
      </c>
      <c r="BF10" s="82">
        <f>IF(AP10="","",SMALL(BE$9:BE$62,ROWS(AZ$9:AZ10)))</f>
        <v>0.84700050999999998</v>
      </c>
      <c r="BH10" s="82" t="str">
        <f>IF(OR(AP10="",AZ10=""),"",INDEX($AP$9:$AP$63,MATCH(BF10,$BE$9:BE$62,0)))</f>
        <v>C7</v>
      </c>
      <c r="BI10" s="7">
        <f t="shared" si="0"/>
        <v>9</v>
      </c>
      <c r="BJ10" s="7">
        <f t="shared" si="1"/>
        <v>15</v>
      </c>
      <c r="BK10" s="7">
        <f t="shared" si="2"/>
        <v>30</v>
      </c>
      <c r="BL10" s="242">
        <f>IF(BF10="","",IF(AND(BI9=BI10,BJ9=BJ10,BK9=BK10),BL9,$BL$9+1))</f>
        <v>2</v>
      </c>
      <c r="BM10" s="22"/>
      <c r="BN10" s="3"/>
    </row>
    <row r="11" spans="1:66" ht="21.6" thickBot="1" x14ac:dyDescent="0.35">
      <c r="A11" s="111">
        <v>2</v>
      </c>
      <c r="B11" s="330" t="s">
        <v>67</v>
      </c>
      <c r="C11" s="235">
        <f>IF($Q$5&gt;7,2,0)</f>
        <v>2</v>
      </c>
      <c r="D11" s="335" t="s">
        <v>85</v>
      </c>
      <c r="E11" s="235">
        <f>IF($Q$5&gt;7,2,0)</f>
        <v>2</v>
      </c>
      <c r="F11" s="333" t="s">
        <v>103</v>
      </c>
      <c r="G11" s="235">
        <f>IF($Q$5&gt;7,2,0)</f>
        <v>2</v>
      </c>
      <c r="H11" s="18"/>
      <c r="I11" s="165">
        <v>2</v>
      </c>
      <c r="J11" s="172" t="str">
        <f>IF(ISNA(MATCH(I11,$C$10:$C$27,0)),"",INDEX(B$10:$B$27,MATCH(I11,$C$10:$C$27,0)))</f>
        <v>A2</v>
      </c>
      <c r="K11" s="117" t="str">
        <f>IF(ISNA(MATCH(I11,$E$10:$E$27,0)),"",INDEX($D$10:D$27,MATCH(I11,$E$10:$E$27,0)))</f>
        <v>B2</v>
      </c>
      <c r="L11" s="160" t="str">
        <f>IF(ISNA(MATCH(I11,$G$10:$G$27,0)),"",INDEX($F$10:F$27,MATCH(I11,$G$10:$G$27,0)))</f>
        <v>C2</v>
      </c>
      <c r="N11" s="42" t="s">
        <v>5</v>
      </c>
      <c r="O11" s="121" t="str">
        <f>IF($Q$5&gt;=8,J11,0)</f>
        <v>A2</v>
      </c>
      <c r="P11" s="124" t="str">
        <f>IF($Q$5&gt;=8,K11,0)</f>
        <v>B2</v>
      </c>
      <c r="Q11" s="123" t="str">
        <f>IF($Q$5=10,L11,IF($Q$5=11,L11,IF($Q$5=12,L11,IF($Q$5=14,L11,IF($Q$5=15,L11,IF($Q$5=16,L11,IF($Q$5=17,L11,IF($Q$5=18,L11,IF($Q$5=19,L11,IF($Q$5=20,L11,IF($Q$5=21,L11,IF($Q$5=22,L11,IF($Q$5=23,L11,IF($Q$5=24,L11,IF($Q$5=25,L11,IF($Q$5=26,L11,IF($Q$5=27,L11,IF($Q$5=28,L11,IF($Q$5=29,L11,IF($Q$5=30,L11,IF($Q$5=31,L11,IF($Q$5=32,L11,IF($Q$5=33,L11,IF($Q$5=34,L11,IF($Q$5=35,L11,IF($Q$5=36,L11,IF($Q$5=37,L11,IF($Q$5=38,L11,IF($Q$5=39,L11,IF($Q$5=40,L11,IF($Q$5=41,L11,IF($Q$5=42,L11,IF($Q$5=43,L11,IF($Q$5=44,L11,IF($Q$5=45,L11,IF($Q$5=46,L11,IF($Q$5=47,L11,IF($Q$5=48,L11,IF($Q$5=49,L11,IF($Q$5=50,L11,IF($Q$5=51,L11,IF($Q$5=52,L11,IF($Q$5=53,L11,IF($Q$5=54,L11,0))))))))))))))))))))))))))))))))))))))))))))</f>
        <v>C2</v>
      </c>
      <c r="R11" s="133" t="str">
        <f>IF($Q$5=8,J10,IF($Q$5=9,O10,IF($Q$5=10,J13,IF($Q$5=11,J12,IF($Q$5=12,J13,IF($Q$5=13,J12,IF($Q$5=14,J12,IF($Q$5=15,J12,IF($Q$5=16,J12,IF($Q$5=17,J12,IF($Q$5=18,J12,IF($Q$5=19,J13,IF($Q$5=20,J12,IF($Q$5=21,J12,IF($Q$5=22,J12,IF($Q$5=23,J12,IF($Q$5=24,J12,IF($Q$5=25,J12,IF($Q$5=26,J12,IF($Q$5=27,J12,IF($Q$5=28,J12,IF($Q$5=29,J12,IF($Q$5=30,J12,IF($Q$5=31,J12,IF($Q$5=32,J12,IF($Q$5=33,J12,IF($Q$5=34,J12,IF($Q$5=35,J12,IF($Q$5=36,J12,IF($Q$5=37,J12,IF($Q$5=38,J12,IF($Q$5=39,J12,IF($Q$5=40,J12,IF($Q$5=41,J12,IF($Q$5=42,J12,IF($Q$5=43,J12,IF($Q$5=44,J12,IF($Q$5=45,J12,IF($Q$5=46,J12,IF($Q$5=47,J12,IF($Q$5=48,J12,IF($Q$5=49,J12,IF($Q$5=50,J12,IF($Q$5=51,J12,IF($Q$5=52,J12,IF($Q$5=53,J12,IF($Q$5=54,J12,0)))))))))))))))))))))))))))))))))))))))))))))))</f>
        <v>A3</v>
      </c>
      <c r="S11" s="134" t="str">
        <f>IF($Q$5=8,L10,IF($Q$5=9,K11,IF($Q$5=10,L11,IF($Q$5=11,K10,IF($Q$5=12,K12,IF($Q$5=13,P13,IF($Q$5=14,K13,IF($Q$5=15,K10,IF($Q$5=16,K13,IF($Q$5=17,K14,IF($Q$5=18,K14,IF($Q$5=19,K14,IF($Q$5=20,K14,IF($Q$5=21,K14,IF($Q$5=22,K14,IF($Q$5=23,K14,IF($Q$5=24,K14,IF($Q$5=25,K14,IF($Q$5=26,K14,IF(Q$5=27,K14,IF($Q$5=28,K14,IF($Q$5=29,K14,IF($Q$5=30,K14,IF($Q$5=31,K14,IF($Q$5=32,K14,IF($Q$5=33,K14,IF($Q$5=34,K14,IF($Q$5=35,K14,IF($Q$5=36,K13,IF($Q$5=37,K13,IF($Q$5=38,K13,IF($Q$5=39,K13,IF($Q$5=40,K13,IF($Q$5=41,K13,IF($Q$5=42,K13,IF($Q$5=43,K13,IF($Q$5=44,K13,IF($Q$5=45,K13,IF($Q$5=46,K13,IF($Q$5=47,K13,IF($Q$5=48,K13,IF($Q$5=49,K13,IF($Q$5=50,K13,IF($Q$5=51,K13,IF($Q$5=52,K13,IF($Q$5=53,K13,IF($Q$5=54,K13,0)))))))))))))))))))))))))))))))))))))))))))))))</f>
        <v>B4</v>
      </c>
      <c r="T11" s="152" t="str">
        <f>IF($Q$5=10,L10,IF($Q$5=11,L12,IF($Q$5=12,L11,IF($Q$5=14,L10,IF($Q$5=15,P15,IF($Q$5=16,P15,IF($Q$5=17,L11,IF($Q$5=18,L13,IF($Q$5=19,L10,IF($Q$5=20,L11,IF($Q$5=21,P17,IF($Q$5=22,L13,IF($Q$5=23,L13,IF($Q$5=24,L13,IF($Q$5=25,L13,IF($Q$5=26,L13,IF($Q$5=27,L13,IF($Q$5=28,L13,IF($Q$5=29,L10,IF($Q$5=30,L10,IF($Q$5=31,L13,IF($Q$5=32,L11,IF($Q$5=33,L11,IF($Q$5=34,L11,IF($Q$5=35,L11,IF($Q$5=36,L14,IF($Q$5=37,L14,IF($Q$5=38,L14,IF($Q$5=39,L14,IF($Q$5=40,L14,IF($Q$5=41,L14,IF($Q$5=42,L14,IF($Q$5=43,L14,IF($Q$5=44,L14,IF($Q$5=45,L14,IF($Q$5=46,L14,IF($Q$5=47,L14,IF($Q$5=48,L14,IF($Q$5=49,L14,IF($Q$5=50,L14,IF($Q$5=51,L14,IF($Q$5=52,L14,IF($Q$5=53,L14,IF($Q$5=54,L14,0))))))))))))))))))))))))))))))))))))))))))))</f>
        <v>C5</v>
      </c>
      <c r="U11" s="157" t="str">
        <f>IF($Q$5=8,J12,IF($Q$5=9,R12,IF($Q$5=10,J10,IF($Q$5=11,O11,IF($Q$5=12,O12,IF($Q$5=13,R11,IF($Q$5=14,R12,IF($Q$5=15,O13,IF($Q$5=16,O12,IF($Q$5=17,R12,IF($Q$5=18,R14,IF($Q$5=19,R14,IF($Q$5=20,R13,IF($Q$5=21,O14,IF($Q$5=22,O12,IF(Q$5=23,R13,IF($Q$5=24,O13,IF($Q$5=25,R12,IF($Q$5=26,O13,IF($Q$5=27,O13,IF($Q$5=28,O13,IF($Q$5=29,O13,IF($Q$5=30,O13,IF($Q$5=31,O13,IF($Q$5=32,R12,IF($Q$5=33,O13,IF($Q$5=34,O13,IF($Q$5=35,R12,IF($Q$5=36,O13,IF($Q$5=37,O13,IF($Q$5=38,O13,IF($Q$5=39,O13,IF($Q$5=40,O13,IF($Q$5=41,O13,IF($Q$5=42,R12,IF($Q$5=43,R12,IF($Q$5=44,O13,IF($Q$5=45,O13,IF($Q$5=46,R12,IF($Q$5=47,O13,IF($Q$5=48,O13,IF($Q$5=49,O13,IF($Q$5=50,O13,IF($Q$5=51,O13,IF($Q$5=52,O13,IF($Q$5=53,R12,IF($Q$5=54,O13,0)))))))))))))))))))))))))))))))))))))))))))))))</f>
        <v>A4</v>
      </c>
      <c r="V11" s="138" t="str">
        <f>IF($Q$5=8,K10,IF($Q$5=9,S12,IF($Q$5=10,K10,IF(Q$5=11,S10,IF($Q$5=12,S10,IF($Q$5=13,R15,IF($Q$5=14,S10,IF($Q$5=15,S10,IF($Q$5=16,S11,IF($Q$5=17,S10,IF($Q$5=18,S12,IF($Q$5=19,S10,IF($Q$5=20,S10,IF($Q$5=21,S17,IF($Q$5=22,S10,IF($Q$5=23,S10,IF($Q$5=24,S10,IF($Q$5=25,S13,IF($Q$5=26,S10,IF($Q$5=27,S10,IF($Q$5=28,S13,IF($Q$5=29,S10,IF($Q$5=30,S11,IF($Q$5=31,S10,IF($Q$5=32,S11,IF($Q$5=33,S11,IF($Q$5=34,S11,IF($Q$5=35,S11,IF($Q$5=36,S13,IF($Q$5=37,S13,IF($Q$5=38,S13,IF($Q$5=39,S13,IF($Q$5=40,S13,IF($Q$5=41,S13,IF($Q$5=42,S13,IF($Q$5=43,S13,IF($Q$5=44,S13,IF($Q$5=45,S13,IF($Q$5=46,S13,IF($Q$5=47,S13,IF($Q$5=48,S13,IF($Q$5=49,S13,IF($Q$5=50,S13,IF($Q$5=51,S13,IF($Q$5=52,S13,IF($Q$5=53,S13,IF($Q$5=54,S13,0)))))))))))))))))))))))))))))))))))))))))))))))</f>
        <v>B6</v>
      </c>
      <c r="W11" s="145" t="str">
        <f>IF($Q$5=10,L12,IF($Q$5=11,T10,IF($Q$5=12,Q10,IF(Q$5=14,T11,IF($Q$5=15,T11,IF(Q$5=16,S15,IF($Q$5=17,T13,IF($Q$5=18,T13,IF($Q$5=19,S17,IF($Q$5=20,T11,IF($Q$5=21,T10,IF($Q$5=22,T13,IF($Q$5=23,T13,IF($Q$5=24,T13,IF($Q$5=25,T13,IF($Q$5=26,T13,IF($Q$5=27,T13,IF($Q$5=28,T13,IF($Q$5=29,T13,IF($Q$5=30,T13,IF($Q$5=31,T13,IF($Q$5=32,T10,IF($Q$5=33,T10,IF($Q$5=34,T10,IF($Q$5=35,T10,IF($Q$5=36,T14,IF($Q$5=37,T14,IF($Q$5=38,T14,IF($Q$5=39,T14,IF($Q$5=40,T14,IF($Q$5=41,T14,IF($Q$5=42,T14,IF($Q$5=43,T14,IF($Q$5=44,T14,IF($Q$5=45,T14,IF($Q$5=46,T14,IF($Q$5=47,T14,IF($Q$5=48,T14,IF($Q$5=49,T14,IF($Q$5=50,T14,IF($Q$5=51,T14,IF($Q$5=52,T14,IF($Q$5=53,T14,IF($Q$5=54,T14,0))))))))))))))))))))))))))))))))))))))))))))</f>
        <v>C8</v>
      </c>
      <c r="X11" s="18"/>
      <c r="Y11" s="382">
        <v>1</v>
      </c>
      <c r="Z11" s="9" t="str">
        <f>+O10</f>
        <v>A1</v>
      </c>
      <c r="AA11" s="25">
        <v>5</v>
      </c>
      <c r="AB11" s="38">
        <f>IF(AA11+AA15=0,0,IF(AA11=AA15,2,IF(AA11&gt;AA15,3,1)))</f>
        <v>1</v>
      </c>
      <c r="AC11" s="10">
        <f>AA11-AA15</f>
        <v>-3</v>
      </c>
      <c r="AD11" s="6"/>
      <c r="AE11" s="9" t="str">
        <f>+R10</f>
        <v>A2</v>
      </c>
      <c r="AF11" s="107">
        <v>12</v>
      </c>
      <c r="AG11" s="38">
        <f>IF(AF11+AF15=0,0,IF(AF11=AF15,2,IF(AF11&gt;AF15,3,1)))</f>
        <v>3</v>
      </c>
      <c r="AH11" s="10">
        <f>AF11-AF15</f>
        <v>2</v>
      </c>
      <c r="AI11" s="6"/>
      <c r="AJ11" s="9" t="str">
        <f>+U10</f>
        <v>A3</v>
      </c>
      <c r="AK11" s="28">
        <v>8</v>
      </c>
      <c r="AL11" s="38">
        <f>IF(AK11+AK15=0,0,IF(AK11=AK15,2,IF(AK11&gt;AK15,3,1)))</f>
        <v>3</v>
      </c>
      <c r="AM11" s="10">
        <f>AK11-AK15</f>
        <v>3</v>
      </c>
      <c r="AN11" s="18"/>
      <c r="AO11" s="44">
        <v>3</v>
      </c>
      <c r="AP11" s="278" t="str">
        <f>+Inscrits!B5</f>
        <v>A3</v>
      </c>
      <c r="AQ11" s="247">
        <f t="shared" si="3"/>
        <v>1</v>
      </c>
      <c r="AR11" s="82">
        <f t="shared" si="4"/>
        <v>-7</v>
      </c>
      <c r="AS11" s="184">
        <f t="shared" si="5"/>
        <v>4</v>
      </c>
      <c r="AT11" s="250">
        <f t="shared" si="6"/>
        <v>1</v>
      </c>
      <c r="AU11" s="82">
        <f t="shared" si="7"/>
        <v>-2</v>
      </c>
      <c r="AV11" s="252">
        <f t="shared" si="8"/>
        <v>10</v>
      </c>
      <c r="AW11" s="247">
        <f t="shared" si="9"/>
        <v>3</v>
      </c>
      <c r="AX11" s="82">
        <f t="shared" si="10"/>
        <v>3</v>
      </c>
      <c r="AY11" s="252">
        <f t="shared" si="11"/>
        <v>8</v>
      </c>
      <c r="AZ11" s="247">
        <f t="shared" ref="AZ11:AZ62" si="17">SUMIFS(AQ11:AW11,$AQ$8:$AW$8,"Pts",AQ11:AW11,"&lt;&gt;#N/A")</f>
        <v>5</v>
      </c>
      <c r="BA11" s="82">
        <f t="shared" si="12"/>
        <v>-6</v>
      </c>
      <c r="BB11" s="252">
        <f t="shared" si="13"/>
        <v>22</v>
      </c>
      <c r="BC11" s="255">
        <f t="shared" si="14"/>
        <v>-6</v>
      </c>
      <c r="BD11" s="7">
        <f t="shared" si="15"/>
        <v>0</v>
      </c>
      <c r="BE11" s="183">
        <f t="shared" si="16"/>
        <v>30.057800109999999</v>
      </c>
      <c r="BF11" s="82">
        <f>IF(AP11="","",SMALL(BE$9:BE$62,ROWS(AZ$9:AZ11)))</f>
        <v>0.89690043000000008</v>
      </c>
      <c r="BH11" s="82" t="str">
        <f>IF(OR(AP11="",AZ11=""),"",INDEX($AP$9:$AP$63,MATCH(BF11,$BE$9:BE$62,0)))</f>
        <v>B17</v>
      </c>
      <c r="BI11" s="7">
        <f t="shared" si="0"/>
        <v>9</v>
      </c>
      <c r="BJ11" s="7">
        <f t="shared" si="1"/>
        <v>10</v>
      </c>
      <c r="BK11" s="7">
        <f t="shared" si="2"/>
        <v>31</v>
      </c>
      <c r="BL11" s="17">
        <f>IF(BF11="","",IF(AND(BI10=BI11,BJ10=BJ11,BK10=BK11),BL10,$BL$9+2))</f>
        <v>3</v>
      </c>
      <c r="BM11" s="22"/>
      <c r="BN11" s="3"/>
    </row>
    <row r="12" spans="1:66" ht="21.6" thickBot="1" x14ac:dyDescent="0.35">
      <c r="A12" s="111">
        <v>3</v>
      </c>
      <c r="B12" s="330" t="s">
        <v>68</v>
      </c>
      <c r="C12" s="235">
        <f>IF($Q$5&gt;7,3,0)</f>
        <v>3</v>
      </c>
      <c r="D12" s="335" t="s">
        <v>86</v>
      </c>
      <c r="E12" s="235">
        <f>IF($Q$5&gt;7,3,0)</f>
        <v>3</v>
      </c>
      <c r="F12" s="333" t="s">
        <v>104</v>
      </c>
      <c r="G12" s="235">
        <f>IF($Q$5=8,0,3)</f>
        <v>3</v>
      </c>
      <c r="H12" s="18"/>
      <c r="I12" s="165">
        <v>3</v>
      </c>
      <c r="J12" s="172" t="str">
        <f>IF(ISNA(MATCH(I12,$C$10:$C$27,0)),"",INDEX(B$10:$B$27,MATCH(I12,$C$10:$C$27,0)))</f>
        <v>A3</v>
      </c>
      <c r="K12" s="117" t="str">
        <f>IF(ISNA(MATCH(I12,$E$10:$E$27,0)),"",INDEX($D$10:D$27,MATCH(I12,$E$10:$E$27,0)))</f>
        <v>B3</v>
      </c>
      <c r="L12" s="160" t="str">
        <f>IF(ISNA(MATCH(I12,$G$10:$G$27,0)),"",INDEX($F$10:F$27,MATCH(I12,$G$10:$G$27,0)))</f>
        <v>C3</v>
      </c>
      <c r="N12" s="67">
        <v>2</v>
      </c>
      <c r="O12" s="118" t="str">
        <f>IF($Q$5&gt;=8,J12,0)</f>
        <v>A3</v>
      </c>
      <c r="P12" s="119" t="str">
        <f>IF($Q$5&gt;=10,K12,IF($Q$5=8,L10,IF($Q$5=9,L11,0)))</f>
        <v>B3</v>
      </c>
      <c r="Q12" s="120" t="str">
        <f>IF($Q$5=11,L12,IF($Q$5=12,L12,IF($Q$5=15,L14,IF($Q$5=16,L12,IF($Q$5=17,L12,IF($Q$5=18,L12,IF($Q$5=19,L12,IF($Q$5=20,L12,IF($Q$5=21,L12,IF($Q$5=22,L12,IF($Q$5=23,L12,IF($Q$5=24,L12,IF($Q$5=25,L12,IF($Q$5=26,L12,IF($Q$5=27,L12,IF($Q$5=28,L12,IF($Q$5=29,L12,IF($Q$5=30,L12,IF($Q$5=31,L12,IF($Q$5=32,L12,IF($Q$5=33,L12,IF($Q$5=34,L12,IF($Q$5=35,L12,IF($Q$5=36,L12,IF($Q$5=37,L12,IF($Q$5=38,L12,IF($Q$5=39,L12,IF($Q$5=40,L12,IF($Q$5=41,L12,IF($Q$5=42,L12,IF($Q$5=43,L12,IF($Q$5=44,L12,IF($Q$5=45,L12,IF($Q$5=46,L12,IF($Q$5=47,L12,IF($Q$5=48,L12,IF($Q$5=49,L12,IF($Q$5=50,L12,IF($Q$5=51,L12,IF($Q$5=52,L12,IF($Q$5=53,L12,IF($Q$5=54,L12,0))))))))))))))))))))))))))))))))))))))))))</f>
        <v>C3</v>
      </c>
      <c r="R12" s="135" t="str">
        <f>IF($Q$5=8,J11,IF($Q$5=9,O11,IF($Q$5=10,J10,IF($Q$5=11,J11,IF(Q$5=12,J12,IF($Q$5=13,J10,IF($Q$5=14,J13,IF($Q$5=15,J13,IF($Q$5=16,J13,IF($Q$5=17,J14,IF($Q$5=18,J14,IF($Q$5=19,J12,IF($Q$5=20,J11,IF($Q$5=21,J11,IF($Q$5=22,J13,IF($Q$5=23,J13,IF($Q$5=24,J13,IF($Q$5=25,J13,IF($Q$5=26,J13,IF($Q$5=27,J13,IF($Q$5=28,J13,IF($Q$5=29,J13,IF($Q$5=30,J13,IF($Q$5=31,J13,IF($Q$5=32,J13,IF($Q$5=33,J13,IF($Q$5=34,J13,IF($Q$5=35,J13,IF($Q$5=36,J13,IF($Q$5=37,J13,IF($Q$5=38,J13,IF($Q$5=39,J13,IF($Q$5=40,J13,IF($Q$5=41,J13,IF($Q$5=42,J13,IF($Q$5=43,J13,IF($Q$5=44,J13,IF($Q$5=45,J13,IF($Q$5=46,J13,IF($Q$5=47,J13,IF($Q$5=48,J13,IF($Q$5=49,J13,IF($Q$5=50,C13,IF($Q$5=51,C13,IF($Q$5=52,C13,IF($Q$5=53,O13,IF($Q$5=54,O13,0)))))))))))))))))))))))))))))))))))))))))))))))</f>
        <v>A4</v>
      </c>
      <c r="S12" s="132" t="str">
        <f>IF($Q$5=8,K11,IF($Q$5=9,P10,IF($Q$5=10,K11,IF($Q$5=11,K11,IF($Q$5=12,K11,IF($Q$5=13,K11,IF($Q$5=14,K10,IF($Q$5=15,K11,IF($Q$5=16,K14,IF($Q$5=17,K11,IF($Q$5=18,K11,IF($Q$5=19,K11,IF($Q$5=20,K10,IF($Q$5=21,K11,IF($Q$5=22,K11,IF($Q$5=23,K15,IF($Q$5=24,K10,IF($Q$5=25,K11,IF($Q$5=26,K11,IF($Q$5=27,K11,IF($Q$5=28,K11,IF($Q$5=29,K11,IF($Q$5=30,K11,IF($Q$5=31,K10,IF($Q$5=32,K11,IF($Q$5=33,K11,IF($Q$5=34,K11,IF($Q$5=35,K11,IF($Q$5=36,K14,IF($Q$5=37,K14,IF($Q$5=38,K14,IF($Q$5=39,K14,IF($Q$5=40,K14,IF($Q$5=41,K14,IF($Q$5=42,K14,IF($Q$5=43,K14,IF($Q$5=44,K14,IF($Q$5=45,K14,IF($Q$5=46,K14,IF($Q$5=47,K14,IF($Q$5=48,K14,IF($Q$5=49,K14,IF($Q$5=50,K14,IF($Q$5=51,K14,IF($Q$5=52,K14,IF($Q$5=53,K14,IF($Q$5=54,K14,0)))))))))))))))))))))))))))))))))))))))))))))))</f>
        <v>B5</v>
      </c>
      <c r="T12" s="151" t="str">
        <f>IF($Q$5=11,L10,IF($Q$5=12,L10,IF($Q$5=15,Q12,IF($Q$5=16,L10,IF($Q$5=17,L13,IF($Q$5=18,L15,IF($Q$5=19,P15,IF($Q$5=20,L13,IF($Q$5=21,L13,IF($Q$5=22,L14,IF($Q$5=23,L11,IF($Q$5=24,L11,IF($Q$5=25,P19,IF($Q$5=26,P19,IF($Q$5=27,P19,IF($Q$5=28,L10,IF($Q$5=29,L13,IF($Q$5=30,L14,IF($Q$5=31,L14,IF($Q$5=32,L14,IF($Q$5=33,L14,IF($Q$5=34,L14,IF($Q$5=35,L14,IF($Q$5=36,L15,IF($Q$5=37,L15,IF($Q$5=38,L15,IF($Q$5=39,L15,IF($Q$5=40,L15,IF($Q$5=41,L15,IF($Q$5=42,L15,IF($Q$5=43,L15,IF($Q$5=44,L15,IF($Q$5=45,L15,IF($Q$5=46,L15,IF($Q$5=47,L15,IF($Q$5=48,L15,IF($Q$5=49,L15,IF($Q$5=50,L15,IF($Q$5=51,L15,IF($Q$5=52,L15,IF($Q$5=53,L15,IF($Q$5=54,L15,0))))))))))))))))))))))))))))))))))))))))))</f>
        <v>C6</v>
      </c>
      <c r="U12" s="140" t="str">
        <f>IF($Q$5=8,J10,IF($Q$5=9,O12,IF($Q$5=10,J11,IF($Q$5=11,O10,IF($Q$5=12,O11,IF($Q$5=13,R14,IF(Q$5=14,R13,IF($Q$5=15,R13,IF(Q$5=16,O14,IF($Q$5=17,O13,IF($Q$5=18,R11,IF($Q$5=19,R12,IF($Q$5=20,R12,IF($Q$5=21,O13,IF($Q$5=22,R10,IF($Q$5=23,O13,IF($Q$5=24,O12,IF($Q$5=25,O12,IF($Q$5=26,O12,IF($Q$5=27,O12,IF($Q$5=28,O12,IF($Q$5=29,O12,IF($Q$5=30,O12,IF($Q$5=31,O12,IF($Q$5=32,O12,IF($Q$5=33,O12,IF($Q$5=34,O12,IF($Q$5=35,R11,IF($Q$5=36,O14,IF($Q$5=37,O14,IF($Q$5=38,O14,IF($Q$5=39,O14,IF($Q$5=40,O14,IF($Q$5=41,O14,IF($Q$5=42,O14,IF($Q$5=43,O14,IF($Q$5=44,O14,IF($Q$5=45,O14,IF($Q$5=46,O14,IF($Q$5=47,O14,IF($Q$5=48,O14,IF($Q$5=49,R13,IF($Q$5=50,O14,IF($Q$5=51,O14,IF($Q$5=52,O14,IF($Q$5=53,O14,IF($Q$5=54,O14,0)))))))))))))))))))))))))))))))))))))))))))))))</f>
        <v>A5</v>
      </c>
      <c r="V12" s="132" t="str">
        <f>IF($Q$5=8,L11,IF($Q$5=9,Q10,IF($Q$5=10,L10,IF($Q$5=11,S13,IF($Q$5=12,P10,IF($Q$5=13,S10,IF($Q$5=14,S13,IF($Q$5=15,S11,IF($Q$5=16,S14,IF($Q$5=17,S11,IF($Q$5=18,S11,IF($Q$5=19,S11,IF($Q$5=20,S11,IF($Q$5=21,S11,IF($Q$5=22,S11,IF($Q$5=23,S11,IF($Q$5=24,S11,IF($Q$5=25,S11,IF($Q$5=26,S11,IF($Q$5=27,S11,IF($Q$5=28,S11,IF($Q$5=29,S11,IF($Q$5=30,S10,IF($Q$5=31,S11,IF($Q$5=32,S16,IF($Q$5=33,S16,IF($Q$5=34,S16,IF($Q$5=35,S16,IF($Q$5=36,S14,IF($Q$5=37,S14,IF($Q$5=38,S14,IF($Q$5=39,S14,IF($Q$5=40,S14,IF($Q$5=41,S14,IF($Q$5=42,S14,IF($Q$5=43,S14,IF($Q$5=44,S14,IF($Q$5=45,S14,IF($Q$5=46,S14,IF($Q$5=47,S14,IF($Q$5=48,S14,IF($Q$5=49,S14,IF($Q$5=50,S14,IF($Q$5=51,S14,IF($Q$5=52,S14,IF($Q$5=53,S14,IF($Q$5=54,S14,0)))))))))))))))))))))))))))))))))))))))))))))))</f>
        <v>B7</v>
      </c>
      <c r="W12" s="144" t="str">
        <f>IF($Q$5=11,T12,IF($Q$5=12,T13,IF($Q$5=14,T14,IF($Q$5=15,S15,IF(Q$5=16,T10,IF($Q$5=17,T14,IF($Q$5=18,T14,IF($Q$5=19,S16,IF($Q$5=20,S16,IF($Q$5=21,T14,IF($Q$5=22,T14,IF($Q$5=23,T14,IF($Q$5=24,T14,IF($Q$5=25,S19,IF($Q$5=26,T14,IF($Q$5=27,T14,IF($Q$5=28,T14,IF($Q$5=29,T14,IF($Q$5=30,T14,IF($Q$5=31,T14,IF($Q$5=32,T12,IF($Q$5=33,T12,IF($Q$5=34,T12,IF($Q$5=35,T12,IF($Q$5=36,T15,IF($Q$5=37,T15,IF($Q$5=38,T15,IF($Q$5=39,T15,IF($Q$5=40,T15,IF($Q$5=41,T15,IF($Q$5=42,T15,IF($Q$5=43,T15,IF($Q$5=44,T15,IF($Q$5=45,T15,IF($Q$5=46,T15,IF($Q$5=47,T15,IF($Q$5=48,T15,IF($Q$5=49,T15,IF($Q$5=50,T15,IF($Q$5=51,T15,IF($Q$5=52,T15,IF($Q$5=53,T15,IF($Q$5=54,T15,0)))))))))))))))))))))))))))))))))))))))))))</f>
        <v>C9</v>
      </c>
      <c r="X12" s="18"/>
      <c r="Y12" s="383"/>
      <c r="Z12" s="11" t="str">
        <f>+P10</f>
        <v>B1</v>
      </c>
      <c r="AA12" s="48">
        <f>IF(ISTEXT(Z12),AA11,0)</f>
        <v>5</v>
      </c>
      <c r="AB12" s="48">
        <f>IF(ISTEXT(Z12),AB11,0)</f>
        <v>1</v>
      </c>
      <c r="AC12" s="49">
        <f>IF(ISTEXT(Z12),AC11,0)</f>
        <v>-3</v>
      </c>
      <c r="AD12" s="6"/>
      <c r="AE12" s="11" t="str">
        <f>+S10</f>
        <v>B3</v>
      </c>
      <c r="AF12" s="48">
        <f>IF(ISTEXT(AE12),AF11,0)</f>
        <v>12</v>
      </c>
      <c r="AG12" s="48">
        <f>IF(ISTEXT(AE12),AG11,0)</f>
        <v>3</v>
      </c>
      <c r="AH12" s="50">
        <f>IF(ISTEXT(AE12),AH11,0)</f>
        <v>2</v>
      </c>
      <c r="AI12" s="6"/>
      <c r="AJ12" s="11" t="str">
        <f>+V10</f>
        <v>B5</v>
      </c>
      <c r="AK12" s="14">
        <f>IF(ISTEXT(AJ12),AK11,0)</f>
        <v>8</v>
      </c>
      <c r="AL12" s="48">
        <f>IF(ISTEXT(AJ12),AL11,0)</f>
        <v>3</v>
      </c>
      <c r="AM12" s="15">
        <f>IF(ISTEXT(AJ12),AM11,0)</f>
        <v>3</v>
      </c>
      <c r="AN12" s="18"/>
      <c r="AO12" s="44">
        <v>4</v>
      </c>
      <c r="AP12" s="278" t="str">
        <f>+Inscrits!B6</f>
        <v>A4</v>
      </c>
      <c r="AQ12" s="247">
        <f t="shared" si="3"/>
        <v>3</v>
      </c>
      <c r="AR12" s="82">
        <f t="shared" si="4"/>
        <v>7</v>
      </c>
      <c r="AS12" s="184">
        <f t="shared" si="5"/>
        <v>11</v>
      </c>
      <c r="AT12" s="250">
        <f t="shared" si="6"/>
        <v>1</v>
      </c>
      <c r="AU12" s="82">
        <f t="shared" si="7"/>
        <v>-3</v>
      </c>
      <c r="AV12" s="252">
        <f t="shared" si="8"/>
        <v>6</v>
      </c>
      <c r="AW12" s="247">
        <f t="shared" si="9"/>
        <v>1</v>
      </c>
      <c r="AX12" s="82">
        <f t="shared" si="10"/>
        <v>-3</v>
      </c>
      <c r="AY12" s="252">
        <f t="shared" si="11"/>
        <v>5</v>
      </c>
      <c r="AZ12" s="247">
        <f t="shared" si="17"/>
        <v>5</v>
      </c>
      <c r="BA12" s="82">
        <f t="shared" si="12"/>
        <v>1</v>
      </c>
      <c r="BB12" s="252">
        <f t="shared" si="13"/>
        <v>22</v>
      </c>
      <c r="BC12" s="255">
        <f t="shared" si="14"/>
        <v>0</v>
      </c>
      <c r="BD12" s="7">
        <f t="shared" si="15"/>
        <v>1</v>
      </c>
      <c r="BE12" s="183">
        <f t="shared" si="16"/>
        <v>29.987800119999999</v>
      </c>
      <c r="BF12" s="82">
        <f>IF(AP12="","",SMALL(BE$9:BE$62,ROWS(AZ$9:AZ12)))</f>
        <v>0.91650042000000009</v>
      </c>
      <c r="BH12" s="82" t="str">
        <f>IF(OR(AP12="",AZ12=""),"",INDEX($AP$9:$AP$63,MATCH(BF12,$BE$9:BE$62,0)))</f>
        <v>B16</v>
      </c>
      <c r="BI12" s="7">
        <f t="shared" si="0"/>
        <v>9</v>
      </c>
      <c r="BJ12" s="7">
        <f t="shared" si="1"/>
        <v>8</v>
      </c>
      <c r="BK12" s="7">
        <f t="shared" si="2"/>
        <v>35</v>
      </c>
      <c r="BL12" s="17">
        <f>IF(BF12="","",IF(AND(BI11=BI12,BJ11=BJ12,BK11=BK12),BL11,$BL$9+3))</f>
        <v>4</v>
      </c>
      <c r="BM12" s="22"/>
      <c r="BN12" s="3"/>
    </row>
    <row r="13" spans="1:66" ht="21.6" thickBot="1" x14ac:dyDescent="0.35">
      <c r="A13" s="111">
        <v>4</v>
      </c>
      <c r="B13" s="330" t="s">
        <v>69</v>
      </c>
      <c r="C13" s="236">
        <f>IF($Q$5=8,0,IF($Q$5=9,0,4))</f>
        <v>4</v>
      </c>
      <c r="D13" s="335" t="s">
        <v>87</v>
      </c>
      <c r="E13" s="235">
        <f>IF($Q$5&gt;=11,4,0)</f>
        <v>4</v>
      </c>
      <c r="F13" s="333" t="s">
        <v>105</v>
      </c>
      <c r="G13" s="235">
        <f>IF($Q$5&gt;=12,4,0)</f>
        <v>4</v>
      </c>
      <c r="H13" s="18"/>
      <c r="I13" s="165">
        <v>4</v>
      </c>
      <c r="J13" s="172" t="str">
        <f>IF(ISNA(MATCH(I13,$C$10:$C$27,0)),"",INDEX(B$10:$B$27,MATCH(I13,$C$10:$C$27,0)))</f>
        <v>A4</v>
      </c>
      <c r="K13" s="117" t="str">
        <f>IF(ISNA(MATCH(I13,$E$10:$E$27,0)),"",INDEX($D$10:D$27,MATCH(I13,$E$10:$E$27,0)))</f>
        <v>B4</v>
      </c>
      <c r="L13" s="160" t="str">
        <f>IF(ISNA(MATCH(I13,$G$10:$G$27,0)),"",INDEX($F$10:F$27,MATCH(I13,$G$10:$G$27,0)))</f>
        <v>C4</v>
      </c>
      <c r="N13" s="42" t="s">
        <v>5</v>
      </c>
      <c r="O13" s="121" t="str">
        <f>IF($Q$5&gt;=10,J13,IF($Q$5=8,K12,IF($Q$5=9,K12,0)))</f>
        <v>A4</v>
      </c>
      <c r="P13" s="122" t="str">
        <f>IF($Q$5=8,L11,IF($Q$5=9,L12,IF($Q$5=10,L12,IF($Q$5=11,K13,IF($Q$5=12,K13,IF($Q$5=13,L11,IF($Q$5=14,K13,IF($Q$5=15,K13,IF($Q$5=16,K13,IF($Q$5=17,K13,IF($Q$5=18,K13,IF($Q$5=19,K13,IF($Q$5=20,K13,IF($Q$5=21,K13,IF(Q$5=22,K13,IF($Q$5=23,K13,IF($Q$5=24,K13,IF($Q$5=25,K13,IF($Q$5=26,K13,IF($Q$5=27,K13,IF($Q$5=28,K13,IF($Q$5=29,K13,IF($Q$5=30,K13,IF($Q$5=31,K13,IF($Q$5=32,K13,IF($Q$5=33,K13,IF($Q$5=34,K13,IF($Q$5=35,K13,IF($Q$5=36,K13,IF($Q$5=37,K13,IF($Q$5=38,K13,IF($Q$5=39,K13,IF($Q$5=40,K13,IF($Q$5=41,K13,IF($Q$5=42,K13,IF($Q$5=43,K13,IF($Q$5=44,K13,IF($Q$5=45,K13,IF($Q$5=46,K13,IF($Q$5=47,K13,IF($Q$5=48,K13,IF($Q$5=49,K13,IF($Q$5=50,K13,IF($Q$5=51,K13,IF($Q$5=52,K13,IF($Q$5=53,K13,IF($Q$5=54,K13,0)))))))))))))))))))))))))))))))))))))))))))))))</f>
        <v>B4</v>
      </c>
      <c r="Q13" s="123" t="str">
        <f>IF($Q$5=12,L13,IF($Q$5=16,L13,IF($Q$5=17,L13,IF($Q$5=18,L13,IF($Q$5=20,L13,IF($Q$5=21,L13,IF($Q$5=22,L13,IF($Q$5=23,L13,IF($Q$5=24,L13,IF($Q$5=25,L13,IF($Q$5=26,L13,IF($Q$5=27,L13,IF($Q$5=28,L13,IF($Q$5=29,L13,IF($Q$5=30,L13,IF($Q$5=31,L13,IF($Q$5=32,L13,IF($Q$5=33,L13,IF($Q$5=34,L13,IF($Q$5=35,L13,IF($Q$5=36,L13,IF($Q$5=37,L13,IF($Q$5=38,L13,IF($Q$5=39,L13,IF($Q$5=40,L13,IF($Q$5=41,L13,IF($Q$5=42,L13,IF($Q$5=43,L13,IF($Q$5=44,L13,IF($Q$5=45,L13,IF($Q$5=46,L13,IF($Q$5=47,L13,IF($Q$5=48,L13,IF($Q$5=49,L13,IF($Q$5=50,L13,IF($Q$5=51,L13,IF($Q$5=52,L13,IF($Q$5=53,L13,IF($Q$5=54,L13,0)))))))))))))))))))))))))))))))))))))))</f>
        <v>C4</v>
      </c>
      <c r="R13" s="136" t="str">
        <f>IF($Q$5=8,J12,IF($Q$5=9,O12,IF($Q$5=10,J11,IF($Q$5=11,J13,IF($Q$5=12,J11,IF($Q$5=13,J14,IF($Q$5=14,J14,IF($Q$5=15,J14,IF($Q$5=16,J14,IF($Q$5=17,J13,IF($Q$5=18,J11,IF($Q$5=19,J10,IF($Q$5=20,J13,IF($Q$5=21,J14,IF($Q$5=22,J14,IF($Q$5=23,J14,IF($Q$5=24,J14,IF($Q$5=25,J14,IF($Q$5=26,J14,IF($Q$5=27,J14,IF($Q$5=28,J14,IF($Q$5=29,J14,IF($Q$5=30,J14,IF($Q$5=31,J14,IF($Q$5=32,J14,IF($Q$5=33,J14,IF($Q$5=34,J14,IF($Q$5=35,J14,IF($Q$5=36,J14,IF($Q$5=37,J14,IF($Q$5=38,J14,IF($Q$5=39,J14,IF($Q$5=40,J14,IF($Q$5=41,J14,IF($Q$5=42,J14,IF($Q$5=43,J14,IF($Q$5=44,J14,IF($Q$5=45,J14,IF($Q$5=46,J14,IF($Q$5=47,J14,IF($Q$5=48,J14,IF($Q$5=49,J14,IF($Q$5=50,J14,IF($Q$5=51,J14,IF($Q$5=52,J14,IF($Q$5=53,J14,IF($Q$5=54,J14,0)))))))))))))))))))))))))))))))))))))))))))))))</f>
        <v>A5</v>
      </c>
      <c r="S13" s="137" t="str">
        <f>IF($Q$5=8,K10,IF($Q$5=9,Q10,IF($Q$5=10,K12,IF($Q$5=11,K12,IF($Q$5=12,K10,IF($Q$5=13,K12,IF($Q$5=14,K11,IF($Q$5=15,P12,IF($Q$5=16,K10,IF($Q$5=17,K12,IF($Q$5=18,K12,IF($Q$5=19,K12,IF($Q$5=20,K12,IF($Q$5=21,K12,IF($Q$5=22,K12,IF($Q$5=23,K16,IF($Q$5=24,K12,IF($Q$5=25,K12,IF($Q$5=26,K12,IF($Q$5=27,K12,IF($Q$5=28,K12,IF($Q$5=29,K12,IF($Q$5=30,K12,IF($Q$5=31,K12,IF($Q$5=32,K12,IF($Q$5=33,K12,IF($Q$5=34,K12,IF($Q$5=35,K12,IF($Q$5=36,K15,IF($Q$5=37,K15,IF($Q$5=38,K15,IF($Q$5=39,K15,IF($Q$5=40,K15,IF($Q$5=41,K15,IF($Q$5=42,K15,IF($Q$5=43,K15,IF($Q$5=44,K15,IF($Q$5=45,K15,IF($Q$5=46,K15,IF($Q$5=47,K15,IF($Q$5=48,K15,IF($Q$5=49,K15,IF($Q$5=50,K15,IF($Q$5=51,K15,IF($Q$5=52,K15,IF($Q$5=53,K15,IF($Q$5=54,K15,0)))))))))))))))))))))))))))))))))))))))))))))))</f>
        <v>B6</v>
      </c>
      <c r="T13" s="153" t="str">
        <f>IF($Q$5=12,L13,IF($Q$5=16,L11,IF($Q$5=17,L14,IF($Q$5=18,L14,IF($Q$5=19,0,IF($Q$5=20,P16,IF($Q$5=21,L14,IF($Q$5=22,L15,IF($Q$5=23,L16,IF($Q$5=24,L15,IF($Q$5=25,L14,IF($Q$5=26,L14,IF($Q$5=27,L14,IF($Q$5=28,L14,IF($Q$5=29,L14,IF($Q$5=30,L15,IF($Q$5=31,L11,IF($Q$5=32,L13,IF($Q$5=33,L13,IF($Q$5=34,L13,IF($Q$5=35,L13,IF($Q$5=36,L16,IF($Q$5=37,L16,IF($Q$5=38,L16,IF($Q$5=39,L16,IF($Q$5=40,L16,IF($Q$5=41,L16,IF($Q$5=42,L16,IF($Q$5=43,L16,IF($Q$5=44,L16,IF($Q$5=45,L16,IF($Q$5=46,L16,IF($Q$5=47,L16,IF($Q$5=48,L16,IF($Q$5=49,L16,IF($Q$5=50,L16,IF($Q$5=51,L16,IF($Q$5=52,L16,IF($Q$5=53,L16,IF($Q$5=54,L16,0))))))))))))))))))))))))))))))))))))))))</f>
        <v>C7</v>
      </c>
      <c r="U13" s="156" t="str">
        <f>IF($Q$5=8,K12,IF($Q$5=9,R10,IF($Q$5=10,J12,IF($Q$5=11,O12,IF($Q$5=12,O13,IF($Q$5=13,R13,IF($Q$5=14,R14,IF($Q$5=15,R14,IF(Q$5=16,O15,IF($Q$5=17,R11,IF($Q$5=18,O14,IF($Q$5=19,R11,IF($Q$5=20,R11,IF($Q$5=21,R12,IF($Q$5=22,O13,IF($Q$5=23,R14,IF($Q$5=24,O14,IF($Q$5=25,R13,IF($Q$5=26,O14,IF($Q$5=27,O14,IF($Q$5=28,O14,IF($Q$5=29,O14,IF($Q$5=30,O14,IF($Q$5=31,O14,IF($Q$5=32,O14,IF($Q$5=33,O14,IF($Q$5=34,O14,IF($Q$5=35,R13,IF($Q$5=36,O15,IF($Q$5=37,O15,IF($Q$5=38,O15,IF($Q$5=39,O15,IF($Q$5=40,O15,IF($Q$5=41,O15,IF($Q$5=42,O15,IF($Q$5=43,O15,IF($Q$5=44,O15,IF($Q$5=45,O15,IF($Q$5=46,O15,IF($Q$5=47,O15,IF($Q$5=48,O15,IF($Q$5=49,R14,IF($Q$5=50,O15,IF($Q$5=51,O15,IF($Q$5=52,O15,IF($Q$5=53,O15,IF($Q$5=54,O15,0)))))))))))))))))))))))))))))))))))))))))))))))</f>
        <v>A6</v>
      </c>
      <c r="V13" s="137" t="str">
        <f>IF($Q$5=8,K11,IF($Q$5=9,S11,IF($Q$5=10,K11,IF($Q$5=11,S11,IF($Q$5=12,S12,IF($Q$5=13,S14,IF($Q$5=14,S11,IF($Q$5=15,S12,IF($Q$5=16,S13,IF($Q$5=17,S14,IF($Q$5=18,S14,IF($Q$5=19,S12,IF($Q$5=20,S14,IF($Q$5=21,S14,IF($Q$5=22,S14,IF($Q$5=23,S14,IF($Q$5=24,S14,IF($Q$5=25,S14,IF($Q$5=26,S14,IF($Q$5=27,S14,IF($Q$5=28,S14,IF($Q$5=29,S16,IF($Q$5=30,S14,IF($Q$5=31,S14,IF($Q$5=32,S17,IF($Q$5=33,S17,IF($Q$5=34,S17,IF($Q$5=35,S17,IF($Q$5=36,S15,IF($Q$5=37,S15,IF($Q$5=38,S15,IF($Q$5=39,S15,IF($Q$5=40,S15,IF($Q$5=41,S15,IF($Q$5=42,S15,IF($Q$5=43,S15,IF($Q$5=44,S15,IF($Q$5=45,S15,IF($Q$5=46,S15,IF($Q$5=47,S15,IF($Q$5=48,S15,IF($Q$5=49,S15,IF($Q$5=50,S15,IF($Q$5=51,S15,IF($Q$5=52,S15,IF($Q$5=53,S15,IF($Q$5=54,S15,0)))))))))))))))))))))))))))))))))))))))))))))))</f>
        <v>B8</v>
      </c>
      <c r="W13" s="146" t="str">
        <f>IF($Q$5=12,T10,IF($Q$5=16,T13,IF($Q$5=17,T11,IF($Q$5=18,T15,IF($Q$5=20,T13,IF($Q$5=21,T11,IF($Q$5=22,T15,IF($Q$5=23,T15,IF($Q$5=24,T15,IF($Q$5=25,T14,IF($Q$5=26,T15,IF($Q$5=27,T15,IF($Q$5=28,T15,IF($Q$5=29,T15,IF($Q$5=30,T15,IF($Q$5=31,T15,IF($Q$5=32,T14,IF($Q$5=33,T14,IF($Q$5=34,T14,IF($Q$5=35,T14,IF($Q$5=36,T16,IF($Q$5=37,T16,IF($Q$5=38,T16,IF($Q$5=39,T16,IF($Q$5=40,T16,IF($Q$5=41,T16,IF($Q$5=42,T16,IF($Q$5=43,T16,IF($Q$5=44,T16,IF($Q$5=45,T16,IF($Q$5=46,T16,IF($Q$5=47,T16,IF($Q$5=48,T16,IF($Q$5=49,T16,IF($Q$5=50,T16,IF($Q$5=51,T16,IF($Q$5=52,T16,IF($Q$5=53,T16,IF($Q$5=54,T16,0)))))))))))))))))))))))))))))))))))))))</f>
        <v>C10</v>
      </c>
      <c r="X13" s="18"/>
      <c r="Y13" s="383"/>
      <c r="Z13" s="11" t="str">
        <f>+Q10</f>
        <v>C1</v>
      </c>
      <c r="AA13" s="51">
        <f>IF(ISTEXT(Z13),AA11,0)</f>
        <v>5</v>
      </c>
      <c r="AB13" s="52">
        <f>IF(ISTEXT(Z13),AB11,0)</f>
        <v>1</v>
      </c>
      <c r="AC13" s="53">
        <f>IF(ISTEXT(Z13),AC11,0)</f>
        <v>-3</v>
      </c>
      <c r="AD13" s="6"/>
      <c r="AE13" s="11" t="str">
        <f>+T10</f>
        <v>C4</v>
      </c>
      <c r="AF13" s="51">
        <f>IF(ISTEXT(AE13),AF11,0)</f>
        <v>12</v>
      </c>
      <c r="AG13" s="52">
        <f>IF(ISTEXT(AE13),AG11,0)</f>
        <v>3</v>
      </c>
      <c r="AH13" s="54">
        <f>IF(ISTEXT(AE13),AH11,0)</f>
        <v>2</v>
      </c>
      <c r="AI13" s="6"/>
      <c r="AJ13" s="11" t="str">
        <f>+W10</f>
        <v>C7</v>
      </c>
      <c r="AK13" s="55">
        <f>IF(ISTEXT(AJ13),AK11,0)</f>
        <v>8</v>
      </c>
      <c r="AL13" s="52">
        <f>IF(ISTEXT(AJ13),AL11,0)</f>
        <v>3</v>
      </c>
      <c r="AM13" s="56">
        <f>IF(ISTEXT(AJ13),AM11,0)</f>
        <v>3</v>
      </c>
      <c r="AN13" s="18"/>
      <c r="AO13" s="44">
        <v>5</v>
      </c>
      <c r="AP13" s="278" t="str">
        <f>+Inscrits!B7</f>
        <v>A5</v>
      </c>
      <c r="AQ13" s="247">
        <f t="shared" si="3"/>
        <v>3</v>
      </c>
      <c r="AR13" s="82">
        <f t="shared" si="4"/>
        <v>6</v>
      </c>
      <c r="AS13" s="184">
        <f t="shared" si="5"/>
        <v>13</v>
      </c>
      <c r="AT13" s="250">
        <f t="shared" si="6"/>
        <v>3</v>
      </c>
      <c r="AU13" s="82">
        <f t="shared" si="7"/>
        <v>3</v>
      </c>
      <c r="AV13" s="252">
        <f t="shared" si="8"/>
        <v>9</v>
      </c>
      <c r="AW13" s="247">
        <f t="shared" si="9"/>
        <v>1</v>
      </c>
      <c r="AX13" s="82">
        <f t="shared" si="10"/>
        <v>-8</v>
      </c>
      <c r="AY13" s="252">
        <f t="shared" si="11"/>
        <v>4</v>
      </c>
      <c r="AZ13" s="247">
        <f t="shared" si="17"/>
        <v>7</v>
      </c>
      <c r="BA13" s="82">
        <f t="shared" si="12"/>
        <v>1</v>
      </c>
      <c r="BB13" s="252">
        <f t="shared" si="13"/>
        <v>26</v>
      </c>
      <c r="BC13" s="255">
        <f t="shared" si="14"/>
        <v>0</v>
      </c>
      <c r="BD13" s="7">
        <f t="shared" si="15"/>
        <v>1</v>
      </c>
      <c r="BE13" s="183">
        <f t="shared" si="16"/>
        <v>5.9874001300000002</v>
      </c>
      <c r="BF13" s="82">
        <f>IF(AP13="","",SMALL(BE$9:BE$62,ROWS(AZ$9:AZ13)))</f>
        <v>0.94720037999999995</v>
      </c>
      <c r="BH13" s="82" t="str">
        <f>IF(OR(AP13="",AZ13=""),"",INDEX($AP$9:$AP$63,MATCH(BF13,$BE$9:BE$62,0)))</f>
        <v>B12</v>
      </c>
      <c r="BI13" s="7">
        <f t="shared" si="0"/>
        <v>9</v>
      </c>
      <c r="BJ13" s="7">
        <f t="shared" si="1"/>
        <v>5</v>
      </c>
      <c r="BK13" s="7">
        <f t="shared" si="2"/>
        <v>28</v>
      </c>
      <c r="BL13" s="17">
        <f>IF(BF13="","",IF(AND(BI12=BI13,BJ12=BJ13,BK12=BK13),BL12,$BL$9+4))</f>
        <v>5</v>
      </c>
      <c r="BM13" s="22"/>
      <c r="BN13" s="3"/>
    </row>
    <row r="14" spans="1:66" ht="21" x14ac:dyDescent="0.3">
      <c r="A14" s="111">
        <v>5</v>
      </c>
      <c r="B14" s="330" t="s">
        <v>70</v>
      </c>
      <c r="C14" s="235">
        <f>IF($Q$5&gt;=13,5,0)</f>
        <v>5</v>
      </c>
      <c r="D14" s="335" t="s">
        <v>88</v>
      </c>
      <c r="E14" s="235">
        <f>IF($Q$5&gt;=14,5,0)</f>
        <v>5</v>
      </c>
      <c r="F14" s="333" t="s">
        <v>106</v>
      </c>
      <c r="G14" s="235">
        <f>IF($Q$5&gt;=15,5,0)</f>
        <v>5</v>
      </c>
      <c r="H14" s="18"/>
      <c r="I14" s="165">
        <v>5</v>
      </c>
      <c r="J14" s="172" t="str">
        <f>IF(ISNA(MATCH(I14,$C$10:$C$27,0)),"",INDEX(B$10:$B$27,MATCH(I14,$C$10:$C$27,0)))</f>
        <v>A5</v>
      </c>
      <c r="K14" s="117" t="str">
        <f>IF(ISNA(MATCH(I14,$E$10:$E$27,0)),"",INDEX($D$10:D$27,MATCH(I14,$E$10:$E$27,0)))</f>
        <v>B5</v>
      </c>
      <c r="L14" s="160" t="str">
        <f>IF(ISNA(MATCH(I14,$G$10:$G$27,0)),"",INDEX($F$10:F$27,MATCH(I14,$G$10:$G$27,0)))</f>
        <v>C5</v>
      </c>
      <c r="N14" s="67">
        <v>3</v>
      </c>
      <c r="O14" s="118" t="str">
        <f>IF($Q$5=13,J14,IF($Q$5=14,J14,IF($Q$5=15,J14,IF($Q$5=16,J14,IF($Q$5=17,J14,IF($Q$5=18,J14,IF($Q$5=19,J14,IF($Q$5=20,J14,IF($Q$5=21,J14,IF($Q$5=22,J14,IF($Q$5=23,J14,IF($Q$5=24,J14,IF($Q$5=25,J14,IF($Q$5=26,J14,IF($Q$5=27,J14,IF($Q$5=28,J14,IF($Q$5=29,J14,IF($Q$5=29,J14,IF($Q$5=30,J14,IF($Q$5=31,J14,IF($Q$5=32,J14,IF($Q$5=33,J14,IF($Q$5=34,J14,IF($Q$5=35,J14,IF($Q$5=36,J14,IF($Q$5=37,J14,IF($Q$5=38,J14,IF($Q$5=39,J14,IF($Q$5=40,J14,IF($Q$5=41,J14,IF($Q$5=42,J14,IF($Q$5=43,J14,IF($Q$5=44,J14,IF($Q$5=45,J14,IF($Q$5=46,J14,IF($Q$5=47,J14,IF($Q$5=48,J14,IF($Q$5=49,J14,IF($Q$5=50,J14,IF($Q$5=51,J14,IF($Q$5=52,J14,IF($Q$5=53,J14,IF($Q$5=54,J14,0)))))))))))))))))))))))))))))))))))))))))))</f>
        <v>A5</v>
      </c>
      <c r="P14" s="119" t="str">
        <f>IF($Q$5=13,L12,IF($Q$5=14,L12,IF($Q$5=15,L12,IF($Q$5=16,K14,IF($Q$5=17,K14,IF($Q$5=18,K14,IF($Q$5=19,K14,IF($Q$5=20,K14,IF($Q$5=21,K14,IF($Q$5=22,K14,IF($Q$5=23,K14,IF($Q$5=24,K14,IF($Q$5=25,K14,IF($Q$5=26,K14,IF($Q$5=27,K14,IF($Q$5=28,K14,IF($Q$5=29,K14,IF($Q$5=30,K14,IF($Q$5=31,K14,IF($Q$5=32,K14,IF($Q$5=33,K14,IF($Q$5=34,K14,IF($Q$5=35,K14,IF($Q$5=36,K14,IF($Q$5=37,K14,IF($Q$5=38,K14,IF($Q$5=39,K14,IF($Q$5=40,K14,IF($Q$5=41,K14,IF($Q$5=42,K14,IF($Q$5=43,K14,IF($Q$5=44,K14,IF($Q$5=45,K14,IF($Q$5=46,K14,IF($Q$5=47,K14,IF($Q$5=48,K14,IF($Q$5=49,K14,IF($Q$5=50,K14,IF($Q$5=51,K14,IF($Q$5=52,K14,IF($Q$5=53,K14,IF($Q$5=54,K14,0))))))))))))))))))))))))))))))))))))))))))</f>
        <v>B5</v>
      </c>
      <c r="Q14" s="120" t="str">
        <f>IF($Q$5=17,L14,IF($Q$5=18,L14,IF($Q$5=21,L14,IF($Q$5=22,L14,IF($Q$5=23,L14,IF($Q$5=24,L14,IF($Q$5=25,L14,IF($Q$5=26,L14,IF($Q$5=27,L14,IF($Q$5=28,L14,IF($Q$5=29,L14,IF($Q$5=30,L14,IF($Q$5=31,L14,IF($Q$5=32,L14,IF($Q$5=33,L14,IF($Q$5=34,L14,IF($Q$5=35,L14,IF($Q$5=36,L14,IF($Q$5=37,L14,IF($Q$5=38,L14,IF($Q$5=39,L14,IF($Q$5=40,L14,IF($Q$5=41,L14,IF($Q$5=42,L14,IF($Q$5=43,L14,IF($Q$5=44,L14,IF($Q$5=45,L14,IF($Q$5=46,L14,IF($Q$5=47,L14,IF($Q$5=48,L14,IF($Q$5=49,L14,IF($Q$5=50,L14,IF($Q$5=51,L14,IF($Q$5=52,L14,IF($Q$5=53,L14,IF($Q$5=54,L14,0))))))))))))))))))))))))))))))))))))</f>
        <v>C5</v>
      </c>
      <c r="R14" s="135" t="str">
        <f>IF($Q$5=13,J13,IF($Q$5=14,J10,IF($Q$5=15,J10,IF($Q$5=16,J15,IF($Q$5=17,J11,IF($Q$5=18,J13,IF($Q$5=19,J14,IF($Q$5=20,J14,IF($Q$5=21,J13,IF($Q$5=22,J15,IF($Q$5=23,J15,IF($Q$5=24,J15,IF($Q$5=25,J15,IF($Q$5=26,J15,IF($Q$5=27,J15,IF($Q$5=28,J15,IF($Q$5=29,J15,IF($Q$5=30,J15,IF($Q$5=31,J15,IF($Q$5=32,J15,IF($Q$5=33,J15,IF($Q$5=34,J15,IF($Q$5=35,J15,IF($Q$5=36,J15,IF($Q$5=37,J15,IF($Q$5=38,J15,IF($Q$5=39,J15,IF($Q$5=40,J15,IF($Q$5=41,J15,IF($Q$5=42,J15,IF($Q$5=43,J15,IF($Q$5=44,J15,IF($Q$5=45,J15,IF($Q$5=46,J15,IF($Q$5=47,J15,IF($Q$5=48,J15,IF($Q$5=49,J15,IF($Q$5=50,J15,IF($Q$5=51,J15,IF($Q$5=52,J15,IF($Q$5=53,J15,IF($Q$5=54,J15,0))))))))))))))))))))))))))))))))))))))))))</f>
        <v>A6</v>
      </c>
      <c r="S14" s="138" t="str">
        <f>IF($Q$5=13,P14,IF($Q$5=14,L11,IF($Q$5=15,L10,IF($Q$5=16,K11,IF($Q$5=17,K15,IF($Q$5=18,K15,IF($Q$5=19,P10,IF($Q$5=20,K11,IF($Q$5=21,K15,IF($Q$5=22,K15,IF($Q$5=23,D17,IF($Q$5=24,K17,IF($Q$5=25,K16,IF($Q$5=26,K17,IF($Q$5=27,K15,IF($Q$5=28,K17,IF($Q$5=29,K15,IF($Q$5=30,K15,IF($Q$5=31,K17,IF($Q$5=32,K17,IF($Q$5=33,K17,IF($Q$5=34,K17,IF($Q$5=35,K17,IF($Q$5=36,K16,IF($Q$5=37,K16,IF($Q$5=38,K16,IF($Q$5=39,K16,IF($Q$5=40,K16,IF($Q$5=41,K16,IF($Q$5=42,K16,IF($Q$5=43,K16,IF($Q$5=44,K16,IF($Q$5=45,K16,IF($Q$5=46,K16,IF($Q$5=47,K16,IF($Q$5=48,K16,IF($Q$5=49,K16,IF($Q$5=50,K16,IF($Q$5=51,K16,IF($Q$5=52,K16,IF($Q$5=53,K16,IF($Q$5=54,K16,0))))))))))))))))))))))))))))))))))))))))))</f>
        <v>B7</v>
      </c>
      <c r="T14" s="154" t="str">
        <f>IF($Q$5=17,L10,IF($Q$5=18,L11,IF($Q$5=20,0,IF($Q$5=21,P16,IF($Q$5=22,P17,IF($Q$5=23,L15,IF($Q$5=24,L14,IF($Q$5=25,P17,IF($Q$5=26,L15,IF($Q$5=27,L15,IF($Q$5=28,L15,IF($Q$5=29,L15,IF($Q$5=30,L11,IF($Q$5=31,L16,IF($Q$5=32,L16,IF($Q$5=33,L16,IF($Q$5=34,L16,IF($Q$5=35,L16,IF($Q$5=36,L17,IF($Q$5=37,L17,IF($Q$5=38,L17,IF($Q$5=39,L17,IF($Q$5=40,L17,IF($Q$5=41,L17,IF($Q$5=42,L17,IF($Q$5=43,L17,IF($Q$5=44,L17,IF($Q$5=45,L17,IF($Q$5=46,L17,IF($Q$5=47,L17,IF($Q$5=48,L17,IF($Q$5=49,L17,IF($Q$5=50,L17,IF($Q$5=51,L17,IF($Q$5=52,L17,IF($Q$5=53,L17,IF($Q$5=54,L17,0)))))))))))))))))))))))))))))))))))))</f>
        <v>C8</v>
      </c>
      <c r="U14" s="135" t="str">
        <f>IF($Q$5=13,R10,IF($Q$5=14,R10,IF($Q$5=15,O11,IF($Q$5=16,O13,IF($Q$5=17,O11,IF($Q$5=18,R13,IF($Q$5=19,R10,IF($Q$5=20,R14,IF($Q$5=21,R11,IF($Q$5=22,O14,IF($Q$5=23,R17,IF($Q$5=24,R10,IF($Q$5=25,R10,IF($Q$5=26,O11,IF($Q$5=27,O11,IF($Q$5=28,R10,IF($Q$5=29,O11,IF($Q$5=30,R10,IF($Q$5=31,O15,IF($Q$5=32,O15,IF($Q$5=33,O15,IF($Q$5=34,O15,IF($Q$5=35,O15,IF($Q$5=36,O16,IF($Q$5=37,O16,IF($Q$5=38,O16,IF($Q$5=39,O16,IF($Q$5=40,O16,IF($Q$5=41,O16,IF($Q$5=42,O16,IF($Q$5=43,O16,IF($Q$5=44,O16,IF($Q$5=45,O16,IF($Q$5=46,O16,IF($Q$5=47,O16,IF($Q$5=48,O16,IF($Q$5=49,R15,IF($Q$5=50,O16,IF($Q$5=51,O16,IF($Q$5=52,O16,IF($Q$5=53,O16,IF($Q$5=54,O16,0))))))))))))))))))))))))))))))))))))))))))</f>
        <v>A7</v>
      </c>
      <c r="V14" s="132" t="str">
        <f>IF($Q$5=13,T10,IF($Q$5=14,P14,IF($Q$5=15,S13,IF($Q$5=16,S12,IF($Q$5=17,S15,IF($Q$5=18,S15,IF($Q$5=19,S13,IF($Q$5=20,S15,IF($Q$5=21,S10,IF($Q$5=22,S15,IF($Q$5=23,S17,IF($Q$5=24,S15,IF($Q$5=25,S15,IF($Q$5=26,S15,IF($Q$5=27,S15,IF($Q$5=28,S15,IF($Q$5=29,S15,IF($Q$5=30,S15,IF($Q$5=31,T11,IF($Q$5=32,S15,IF($Q$5=33,S15,IF($Q$5=34,S15,IF($Q$5=35,S15,IF($Q$5=36,S16,IF($Q$5=37,S16,IF($Q$5=38,S16,IF($Q$5=39,S16,IF($Q$5=40,S16,IF($Q$5=41,S16,IF($Q$5=42,S16,IF($Q$5=43,S16,IF($Q$5=44,S16,IF($Q$5=45,S16,IF($Q$5=46,S16,IF($Q$5=47,S16,IF($Q$5=48,S16,IF($Q$5=49,S16,IF($Q$5=50,S16,IF($Q$5=51,S16,IF($Q$5=52,S16,IF($Q$5=53,S16,IF($Q$5=54,S16,0))))))))))))))))))))))))))))))))))))))))))</f>
        <v>B9</v>
      </c>
      <c r="W14" s="144" t="str">
        <f>IF($Q$5=17,T10,IF($Q$5=18,T11,IF($Q$5=21,T13,IF($Q$5=22,T11,IF($Q$5=23,T11,IF($Q$5=24,T16,IF($Q$5=25,S17,IF($Q$5=26,S17,IF($Q$5=27,T16,IF($Q$5=28,T16,IF($Q$5=29,T16,IF($Q$5=30,T16,IF($Q$5=31,S19,IF($Q$5=32,T15,IF($Q$5=33,T15,IF($Q$5=34,T18,IF($Q$5=35,T20,IF($Q$5=36,T17,IF($Q$5=37,T17,IF($Q$5=38,T17,IF($Q$5=39,T17,IF($Q$5=40,T17,IF($Q$5=41,T17,IF($Q$5=42,T17,IF($Q$5=43,T17,IF($Q$5=44,T17,IF($Q$5=45,T17,IF($Q$5=46,T17,IF($Q$5=47,T17,IF($Q$5=48,T17,IF($Q$5=49,T17,IF($Q$5=50,T17,IF($Q$5=51,T17,IF($Q$5=52,T17,IF($Q$5=53,T17,IF($Q$5=54,T17,0))))))))))))))))))))))))))))))))))))</f>
        <v>C11</v>
      </c>
      <c r="X14" s="18"/>
      <c r="Y14" s="383"/>
      <c r="Z14" s="24"/>
      <c r="AA14" s="16" t="s">
        <v>5</v>
      </c>
      <c r="AB14" s="16"/>
      <c r="AC14" s="17"/>
      <c r="AD14" s="1"/>
      <c r="AE14" s="24"/>
      <c r="AF14" s="16" t="s">
        <v>5</v>
      </c>
      <c r="AG14" s="16"/>
      <c r="AH14" s="17"/>
      <c r="AI14" s="1"/>
      <c r="AJ14" s="24"/>
      <c r="AK14" s="16" t="s">
        <v>5</v>
      </c>
      <c r="AL14" s="16"/>
      <c r="AM14" s="17"/>
      <c r="AN14" s="18"/>
      <c r="AO14" s="44">
        <v>6</v>
      </c>
      <c r="AP14" s="278" t="str">
        <f>+Inscrits!B8</f>
        <v>A6</v>
      </c>
      <c r="AQ14" s="247">
        <f t="shared" si="3"/>
        <v>1</v>
      </c>
      <c r="AR14" s="82">
        <f t="shared" si="4"/>
        <v>-6</v>
      </c>
      <c r="AS14" s="184">
        <f t="shared" si="5"/>
        <v>7</v>
      </c>
      <c r="AT14" s="250">
        <f t="shared" si="6"/>
        <v>3</v>
      </c>
      <c r="AU14" s="82">
        <f t="shared" si="7"/>
        <v>11</v>
      </c>
      <c r="AV14" s="252">
        <f t="shared" si="8"/>
        <v>13</v>
      </c>
      <c r="AW14" s="247">
        <f t="shared" si="9"/>
        <v>3</v>
      </c>
      <c r="AX14" s="82">
        <f t="shared" si="10"/>
        <v>8</v>
      </c>
      <c r="AY14" s="252">
        <f t="shared" si="11"/>
        <v>12</v>
      </c>
      <c r="AZ14" s="247">
        <f t="shared" si="17"/>
        <v>7</v>
      </c>
      <c r="BA14" s="82">
        <f t="shared" si="12"/>
        <v>13</v>
      </c>
      <c r="BB14" s="252">
        <f t="shared" si="13"/>
        <v>32</v>
      </c>
      <c r="BC14" s="255">
        <f t="shared" si="14"/>
        <v>0</v>
      </c>
      <c r="BD14" s="7">
        <f t="shared" si="15"/>
        <v>13</v>
      </c>
      <c r="BE14" s="183">
        <f t="shared" si="16"/>
        <v>5.8668001400000005</v>
      </c>
      <c r="BF14" s="82">
        <f>IF(AP14="","",SMALL(BE$9:BE$62,ROWS(AZ$9:AZ14)))</f>
        <v>5.82670025</v>
      </c>
      <c r="BH14" s="82" t="str">
        <f>IF(OR(AP14="",AZ14=""),"",INDEX($AP$9:$AP$63,MATCH(BF14,$BE$9:BE$62,0)))</f>
        <v>A17</v>
      </c>
      <c r="BI14" s="7">
        <f t="shared" si="0"/>
        <v>7</v>
      </c>
      <c r="BJ14" s="7">
        <f t="shared" si="1"/>
        <v>17</v>
      </c>
      <c r="BK14" s="7">
        <f t="shared" si="2"/>
        <v>33</v>
      </c>
      <c r="BL14" s="17">
        <f>IF(BF14="","",IF(AND(BI13=BI14,BJ13=BJ14,BK13=BK14),BL13,$BL$9+5))</f>
        <v>6</v>
      </c>
      <c r="BM14" s="22"/>
      <c r="BN14" s="3"/>
    </row>
    <row r="15" spans="1:66" ht="21.6" thickBot="1" x14ac:dyDescent="0.35">
      <c r="A15" s="111">
        <v>6</v>
      </c>
      <c r="B15" s="330" t="s">
        <v>71</v>
      </c>
      <c r="C15" s="235">
        <f>IF($Q$5&gt;=16,6,0)</f>
        <v>6</v>
      </c>
      <c r="D15" s="335" t="s">
        <v>89</v>
      </c>
      <c r="E15" s="235">
        <f>IF($Q$5&gt;=17,6,0)</f>
        <v>6</v>
      </c>
      <c r="F15" s="333" t="s">
        <v>107</v>
      </c>
      <c r="G15" s="235">
        <f>IF($Q$5&gt;=18,6,0)</f>
        <v>6</v>
      </c>
      <c r="H15" s="18"/>
      <c r="I15" s="165">
        <v>6</v>
      </c>
      <c r="J15" s="172" t="str">
        <f>IF(ISNA(MATCH(I15,$C$10:$C$27,0)),"",INDEX(B$10:$B$27,MATCH(I15,$C$10:$C$27,0)))</f>
        <v>A6</v>
      </c>
      <c r="K15" s="117" t="str">
        <f>IF(ISNA(MATCH(I15,$E$10:$E$27,0)),"",INDEX($D$10:D$27,MATCH(I15,$E$10:$E$27,0)))</f>
        <v>B6</v>
      </c>
      <c r="L15" s="160" t="str">
        <f>IF(ISNA(MATCH(I15,$G$10:$G$27,0)),"",INDEX($F$10:F$27,MATCH(I15,$G$10:$G$27,0)))</f>
        <v>C6</v>
      </c>
      <c r="N15" s="42" t="s">
        <v>5</v>
      </c>
      <c r="O15" s="121" t="str">
        <f>IF($Q$5=13,K13,IF($Q$5=14,K14,IF($Q$5=15,K14,IF($Q$5=16,J15,IF($Q$5=17,J15,IF($Q5=18,J15,IF($Q$5=19,J15,IF($Q$5=20,J15,IF($Q$5=21,J15,IF($Q$5=22,J15,IF($Q$5=23,J15,IF($Q$5=24,J15,IF($Q$5=25,J15,IF($Q$5=26,J15,IF($Q$5=27,J15,IF($Q$5=28,J15,IF($Q$5=29,J15,IF($Q$5=30,J15,IF($Q$5=31,J15,IF($Q$5=32,J15,IF($Q$5=33,J15,IF($Q$5=34,J15,IF($Q$5=35,J15,IF($Q$5=36,J15,IF($Q$5=37,J15,IF($Q$5=38,J15,IF($Q$5=39,J15,IF($Q$5=40,J15,IF($Q$5=41,J15,IF($Q$5=42,J15,IF($Q$5=43,J15,IF($Q$5=44,J15,IF($Q$5=45,J15,IF($Q$5=46,J15,IF($Q$5=47,J15,IF($Q$5=48,J15,IF($Q$5=49,J15,IF($Q$5=50,J15,IF($Q$5=51,J15,IF($Q$5=52,J15,IF($Q$5=53,J15,IF($Q$5=54,J15,0))))))))))))))))))))))))))))))))))))))))))</f>
        <v>A6</v>
      </c>
      <c r="P15" s="122" t="str">
        <f>IF($Q$5=13,L13,IF($Q$5=14,L13,IF($Q$5=15,L13,IF($Q$5=16,L14,IF($Q$5=17,K15,IF($Q$5=18,K15,IF($Q$5=19,L13,IF($Q$5=20,K15,IF($Q$5=21,K15,IF($Q$5=22,K15,IF($Q$5=23,K15,IF($Q$5=24,K15,IF($Q$5=25,K15,IF($Q$5=26,K15,IF($Q$5=27,K15,IF($Q$5=28,K15,IF($Q$5=29,K15,IF($Q$5=30,K15,IF($Q$5=31,K15,IF($Q$5=32,K15,IF($Q$5=33,K15,IF($Q$5=34,K15,IF($Q$5=35,K15,IF($Q$5=36,K15,IF($Q$5=37,K15,IF($Q$5=38,K15,IF($Q$5=39,K15,IF($Q$5=40,K15,IF($Q$5=41,K15,IF($Q$5=42,K15,IF($Q$5=43,K15,IF($Q$5=44,K15,IF($Q$5=45,K15,IF($Q$5=46,K15,IF($Q$5=47,K15,IF($Q$5=48,K15,IF($Q$5=49,K15,IF($Q$5=50,K15,IF($Q$5=51,K15,IF($Q$5=52,K15,IF($Q$5=53,K15,IF($Q$5=54,K15,0))))))))))))))))))))))))))))))))))))))))))</f>
        <v>B6</v>
      </c>
      <c r="Q15" s="123" t="str">
        <f>IF($Q$5=18,L15,IF($Q$5=22,L15,IF($Q$5=23,L15,IF(Q$5=24,L15,IF($Q$5=26,L15,IF($Q$5=27,L15,IF($Q$5=28,L15,IF($Q$5=29,L15,IF($Q$5=30,L15,IF($Q$5=31,L15,IF($Q$5=32,L15,IF($Q$5=33,L15,IF($Q$5=34,L15,IF($Q$5=35,L15,IF($Q$5=36,L15,IF($Q$5=37,L15,IF($Q$5=38,L15,IF($Q$5=39,L15,IF($Q$5=40,L15,IF($Q$5=41,L15,IF($Q$5=42,L15,IF($Q$5=43,L15,IF($Q$5=44,L15,IF($Q$5=45,L15,IF($Q$5=46,L15,IF($Q$5=47,L15,IF($Q$5=48,L15,IF($Q$5=49,L15,IF($Q$5=50,L15,IF($Q$5=51,L15,IF($Q$5=52,L15,IF($Q$5=53,L15,IF($Q$5=54,L15,0)))))))))))))))))))))))))))))))))</f>
        <v>C6</v>
      </c>
      <c r="R15" s="139" t="str">
        <f>IF($Q$5=13,K10,IF($Q$5=14,O15,IF($Q$5=15,O15,IF($Q$5=16,J10,IF($Q$5=17,J15,IF($Q$5=18,J15,IF($Q$5=19,J15,IF($Q$5=20,J15,IF($Q$5=21,J15,IF($Q$5=22,J16,IF($Q$5=23,J16,IF($Q$5=24,J16,IF($Q$5=25,J16,IF($Q$5=26,J16,IF($Q$5=27,J16,IF($Q$5=28,J16,IF($Q$5=29,O16,IF($Q$5=30,J16,IF($Q$5=31,J16,IF($Q$5=32,J16,IF($Q$5=33,J16,IF($Q$5=34,J16,IF($Q$5=35,J16,IF($Q$5=36,J16,IF($Q$5=37,J16,IF($Q$5=38,J16,IF($Q$5=39,J16,IF($Q$5=40,J16,IF($Q$5=41,J16,IF($Q$5=42,J16,IF($Q$5=43,J16,IF($Q$5=44,J16,IF($Q$5=45,J16,IF($Q$5=46,J16,IF($Q$5=47,J16,IF($Q$5=48,J16,IF($Q$5=49,J16,IF($Q$5=50,J16,IF($Q$5=51,J16,IF($Q$5=52,J16,IF($Q$5=53,J16,IF($Q$5=54,J16,0))))))))))))))))))))))))))))))))))))))))))</f>
        <v>A7</v>
      </c>
      <c r="S15" s="134" t="str">
        <f>IF($Q$5=13,O15,IF($Q$5=14,P14,IF($Q$5=15,L11,IF($Q$5=16,L12,IF(Q$5=17,P10,IF($Q$5=18,K10,IF($Q$5=19,L11,IF($Q$5=20,K13,IF($Q$5=21,L10,IF($Q$5=22,K16,IF($Q$5=23,D10,IF($Q$5=24,K13,IF($Q$5=25,K15,IF($Q$5=26,K13,IF($Q$5=27,K16,IF($Q$5=28,K16,IF($Q$5=29,K16,IF($Q$5=30,K16,IF($Q$5=31,K15,IF($Q$5=32,K18,IF($Q$5=33,K18,IF($Q$5=34,K18,IF($Q$5=35,K18,IF($Q$5=36,K17,IF($Q$5=37,K17,IF($Q$5=38,K17,IF($Q$5=39,K17,IF($Q$5=40,K17,IF($Q$5=41,K17,IF($Q$5=42,K17,IF($Q$5=43,K17,IF($Q$5=44,K17,IF($Q$5=45,K17,IF($Q$5=46,K17,IF($Q$5=47,K17,IF($Q$5=48,K17,IF($Q$5=49,K17,IF($Q$5=50,K17,IF($Q$5=51,K17,IF($Q$5=52,K17,IF($Q$5=53,K17,IF($Q$5=54,K17,0))))))))))))))))))))))))))))))))))))))))))</f>
        <v>B8</v>
      </c>
      <c r="T15" s="155" t="str">
        <f>IF($Q$5=17,0,IF($Q$5=18,L10,IF($Q$5=21,0,IF($Q$5=22,L10,IF($Q$5=23,L14,IF($Q$5=24,L16,IF($Q$5=25,0,IF($Q$5=26,P18,IF($Q$5=27,L16,IF($Q$5=28,L16,IF($Q$5=29,L16,IF($Q$5=30,L16,IF($Q$5=31,L10,IF($Q$5=32,L15,IF($Q$5=33,L15,IF($Q$5=34,L15,IF($Q$5=35,L15,IF($Q$5=36,L18,IF($Q$5=37,L18,IF($Q$5=38,L18,IF($Q$5=39,L18,IF($Q$5=40,L18,IF($Q$5=41,L18,IF($Q$5=42,L18,IF($Q$5=43,L18,IF($Q$5=44,L18,IF($Q$5=45,L18,IF($Q$5=46,L18,IF($Q$5=47,L18,IF($Q$5=48,L18,IF($Q$5=49,L18,IF($Q$5=50,L18,IF($Q$5=51,L18,IF($Q$5=52,L18,IF($Q$5=53,L18,IF($Q$5=54,L18,0))))))))))))))))))))))))))))))))))))</f>
        <v>C9</v>
      </c>
      <c r="U15" s="157" t="str">
        <f>IF($Q$5=13,O15,IF($Q$5=14,R15,IF($Q$5=15,R15,IF($Q$5=16,R10,IF($Q$5=17,R15,IF($Q$5=18,R15,IF($Q$5=19,R15,IF($Q$5=20,R15,IF($Q$5=21,R15,IF($Q$5=22,R15,IF($Q$5=23,R15,IF($Q$5=24,O16,IF($Q$5=25,R15,IF($Q$5=26,R15,IF($Q$5=27,O16,IF($Q$5=28,O16,IF($Q$5=29,O16,IF($Q$5=30,O16,IF($Q$5=31,R15,IF($Q$5=32,O17,IF($Q$5=33,O17,IF($Q$5=34,R16,IF($Q$5=35,R16,IF($Q$5=36,O17,IF($Q$5=37,O17,IF($Q$5=38,O17,IF($Q$5=39,O17,IF($Q$5=40,O17,IF($Q$5=41,O17,IF($Q$5=42,O17,IF($Q$5=43,O17,IF($Q$5=44,O17,IF($Q$5=45,O17,IF($Q$5=46,O17,IF($Q$5=47,O17,IF($Q$5=48,O17,IF($Q$5=49,R16,IF($Q$5=50,O17,IF($Q$5=51,O17,IF($Q$5=52,O17,IF($Q$5=53,O17,IF($Q$5=54,O17,0))))))))))))))))))))))))))))))))))))))))))</f>
        <v>A8</v>
      </c>
      <c r="V15" s="137" t="str">
        <f>IF($Q$5=13,S12,IF($Q$5=14,L13,IF($Q$5=15,T10,IF($Q$5=16,T12,IF($Q$5=17,S12,IF($Q$5=18,S10,IF($Q$5=19,T11,IF($Q$5=20,S12,IF($Q$5=21,S12,IF($Q$5=22,S16,IF($Q$5=23,S16,IF($Q$5=24,S16,IF($Q$5=25,S18,IF($Q$5=26,S16,IF($Q$5=27,S16,IF($Q$5=28,S16,IF($Q$5=29,S14,IF($Q$5=30,S16,IF($Q$5=31,S16,IF($Q$5=32,S21,IF($Q$5=33,S19,IF($Q$5=34,S19,IF($Q$5=35,S19,IF($Q$5=36,S17,IF($Q$5=37,S17,IF($Q$5=38,S17,IF($Q$5=39,S17,IF($Q$5=40,S17,IF($Q$5=41,S17,IF($Q$5=42,S17,IF($Q$5=43,S17,IF($Q$5=44,S17,IF($Q$5=45,S17,IF($Q$5=46,S17,IF($Q$5=47,S17,IF($Q$5=48,S17,IF($Q$5=49,S17,IF($Q$5=50,S17,IF($Q$5=51,S17,IF($Q$5=52,S17,IF($Q$5=53,S17,IF($Q$5=54,S17,0))))))))))))))))))))))))))))))))))))))))))</f>
        <v>B10</v>
      </c>
      <c r="W15" s="146" t="str">
        <f>IF($Q$5=18,T10,IF($Q$5=22,S17,IF($Q$5=23,T16,IF($Q$5=24,T17,IF($Q$5=25,0,IF($Q$5=26,T11,IF($Q$5=27,S17,IF($Q$5=28,T17,IF($Q$5=29,T17,IF($Q$5=30,T17,IF($Q$5=31,S20,IF($Q$5=32,T13,IF($Q$5=33,T13,IF($Q$5=34,T13,IF($Q$5=35,T13,IF($Q$5=36,T18,IF($Q$5=37,T18,IF($Q$5=38,T18,IF($Q$5=39,S23,IF($Q$5=40,T18,IF($Q$5=41,T18,IF($Q$5=42,T18,IF($Q$5=43,T18,IF($Q$5=44,T18,IF($Q$5=45,T18,IF($Q$5=46,T18,IF($Q$5=47,T18,IF($Q$5=48,T18,IF($Q$5=49,T18,IF($Q$5=50,T18,IF($Q$5=51,T18,IF($Q$5=52,T18,IF($Q$5=53,T18,IF($Q$5=54,T18,0))))))))))))))))))))))))))))))))))</f>
        <v>C12</v>
      </c>
      <c r="X15" s="18"/>
      <c r="Y15" s="383"/>
      <c r="Z15" s="11" t="str">
        <f>+O11</f>
        <v>A2</v>
      </c>
      <c r="AA15" s="26">
        <v>8</v>
      </c>
      <c r="AB15" s="23">
        <f>IF(AA11+AA15=0,0,IF(AA11=AA15,2,IF(AA11&lt;AA15,3,1)))</f>
        <v>3</v>
      </c>
      <c r="AC15" s="12">
        <f>AA15-AA11</f>
        <v>3</v>
      </c>
      <c r="AD15" s="6"/>
      <c r="AE15" s="11" t="str">
        <f>+R11</f>
        <v>A3</v>
      </c>
      <c r="AF15" s="108">
        <v>10</v>
      </c>
      <c r="AG15" s="23">
        <f>IF(AF11+AF15=0,0,IF(AF11=AF15,2,IF(AF11&lt;AF15,3,1)))</f>
        <v>1</v>
      </c>
      <c r="AH15" s="12">
        <f>AF15-AF11</f>
        <v>-2</v>
      </c>
      <c r="AI15" s="6"/>
      <c r="AJ15" s="11" t="str">
        <f>+U11</f>
        <v>A4</v>
      </c>
      <c r="AK15" s="29">
        <v>5</v>
      </c>
      <c r="AL15" s="23">
        <f>IF(AK11+AK15=0,0,IF(AK11=AK15,2,IF(AK11&lt;AK15,3,1)))</f>
        <v>1</v>
      </c>
      <c r="AM15" s="12">
        <f>AK15-AK11</f>
        <v>-3</v>
      </c>
      <c r="AN15" s="18"/>
      <c r="AO15" s="44">
        <v>7</v>
      </c>
      <c r="AP15" s="278" t="str">
        <f>+Inscrits!B9</f>
        <v>A7</v>
      </c>
      <c r="AQ15" s="247">
        <f t="shared" si="3"/>
        <v>3</v>
      </c>
      <c r="AR15" s="82">
        <f t="shared" si="4"/>
        <v>9</v>
      </c>
      <c r="AS15" s="184">
        <f t="shared" si="5"/>
        <v>13</v>
      </c>
      <c r="AT15" s="250">
        <f t="shared" si="6"/>
        <v>1</v>
      </c>
      <c r="AU15" s="82">
        <f t="shared" si="7"/>
        <v>-11</v>
      </c>
      <c r="AV15" s="252">
        <f t="shared" si="8"/>
        <v>2</v>
      </c>
      <c r="AW15" s="247">
        <f t="shared" si="9"/>
        <v>3</v>
      </c>
      <c r="AX15" s="82">
        <f t="shared" si="10"/>
        <v>5</v>
      </c>
      <c r="AY15" s="252">
        <f t="shared" si="11"/>
        <v>11</v>
      </c>
      <c r="AZ15" s="247">
        <f t="shared" si="17"/>
        <v>7</v>
      </c>
      <c r="BA15" s="82">
        <f t="shared" si="12"/>
        <v>3</v>
      </c>
      <c r="BB15" s="252">
        <f t="shared" si="13"/>
        <v>26</v>
      </c>
      <c r="BC15" s="255">
        <f t="shared" si="14"/>
        <v>0</v>
      </c>
      <c r="BD15" s="7">
        <f t="shared" si="15"/>
        <v>3</v>
      </c>
      <c r="BE15" s="183">
        <f t="shared" si="16"/>
        <v>5.9674001499999996</v>
      </c>
      <c r="BF15" s="82">
        <f>IF(AP15="","",SMALL(BE$9:BE$62,ROWS(AZ$9:AZ15)))</f>
        <v>5.8572001700000005</v>
      </c>
      <c r="BH15" s="82" t="str">
        <f>IF(OR(AP15="",AZ15=""),"",INDEX($AP$9:$AP$63,MATCH(BF15,$BE$9:BE$62,0)))</f>
        <v>A9</v>
      </c>
      <c r="BI15" s="7">
        <f t="shared" si="0"/>
        <v>7</v>
      </c>
      <c r="BJ15" s="7">
        <f t="shared" si="1"/>
        <v>14</v>
      </c>
      <c r="BK15" s="7">
        <f t="shared" si="2"/>
        <v>28</v>
      </c>
      <c r="BL15" s="17">
        <f>IF(BF15="","",IF(AND(BI14=BI15,BJ14=BJ15,BK14=BK15),BL14,$BL$9+6))</f>
        <v>7</v>
      </c>
      <c r="BM15" s="22"/>
      <c r="BN15" s="3"/>
    </row>
    <row r="16" spans="1:66" ht="21.6" thickBot="1" x14ac:dyDescent="0.35">
      <c r="A16" s="111">
        <v>7</v>
      </c>
      <c r="B16" s="330" t="s">
        <v>72</v>
      </c>
      <c r="C16" s="235">
        <f>IF($Q$5&gt;=19,7,0)</f>
        <v>7</v>
      </c>
      <c r="D16" s="335" t="s">
        <v>90</v>
      </c>
      <c r="E16" s="235">
        <f>IF($Q$5&gt;=20,7,0)</f>
        <v>7</v>
      </c>
      <c r="F16" s="333" t="s">
        <v>108</v>
      </c>
      <c r="G16" s="235">
        <f>IF($Q$5&gt;=21,7,0)</f>
        <v>7</v>
      </c>
      <c r="H16" s="18"/>
      <c r="I16" s="165">
        <v>7</v>
      </c>
      <c r="J16" s="172" t="str">
        <f>IF(ISNA(MATCH(I16,$C$10:$C$27,0)),"",INDEX(B$10:$B$27,MATCH(I16,$C$10:$C$27,0)))</f>
        <v>A7</v>
      </c>
      <c r="K16" s="117" t="str">
        <f>IF(ISNA(MATCH(I16,$E$10:$E$27,0)),"",INDEX($D$10:D$27,MATCH(I16,$E$10:$E$27,0)))</f>
        <v>B7</v>
      </c>
      <c r="L16" s="160" t="str">
        <f>IF(ISNA(MATCH(I16,$G$10:$G$27,0)),"",INDEX($F$10:F$27,MATCH(I16,$G$10:$G$27,0)))</f>
        <v>C7</v>
      </c>
      <c r="N16" s="67">
        <v>4</v>
      </c>
      <c r="O16" s="118" t="str">
        <f>IF($Q$5=19,J16,IF($Q$5=20,J16,IF($Q$5=21,J16,IF($Q$5=22,J16,IF($Q$5=23,J16,IF(Q$5=24,J16,IF($Q$5=25,J16,IF($Q$5=26,J16,IF(Q$5=27,J16,IF($Q$5=28,J16,IF($Q$5=29,J16,IF($Q$5=30,J16,IF($Q$5=31,J16,IF($Q$5=32,J16,IF($Q$5=33,J16,IF($Q$5=34,J16,IF($Q$5=35,J16,IF($Q$5=36,J16,IF($Q$5=37,J16,IF($Q$5=38,J16,IF($Q$5=39,J16,IF($Q$5=40,J16,IF($Q$5=41,J16,IF($Q$5=42,J16,IF($Q$5=43,J16,IF($Q$5=44,J16,IF($Q$5=45,J16,IF($Q$5=46,J16,IF($Q$5=47,J16,IF($Q$5=48,J16,IF($Q$5=49,J16,IF($Q$5=50,J16,IF($Q$5=51,J16,IF($Q$5=52,J16,IF($Q$5=53,J16,IF($Q$5=54,J16,0))))))))))))))))))))))))))))))))))))</f>
        <v>A7</v>
      </c>
      <c r="P16" s="119" t="str">
        <f>IF($Q$5=19,L15,IF($Q$5=20,L14,IF($Q$5=21,L15,IF($Q$5=22,K16,IF($Q$5=23,K16,IF($Q$5=24,K16,IF($Q$5=25,K16,IF($Q$5=26,K16,IF($Q$5=27,K16,IF($Q$5=28,K16,IF($Q$5=29,K16,IF($Q$5=30,K16,IF($Q$5=31,K16,IF($Q$5=32,K16,IF($Q$5=33,K16,IF($Q$5=34,K16,IF($Q$5=35,K16,IF($Q$5=36,K16,IF($Q$5=37,K16,IF($Q$5=38,K16,IF($Q$5=39,K16,IF($Q$5=40,K16,IF($Q$5=41,K16,IF($Q$5=42,K16,IF($Q$5=43,K16,IF($Q$5=44,K16,IF($Q$5=45,K16,IF($Q$5=46,K16,IF($Q$5=47,K16,IF($Q$5=48,K16,IF($Q$5=49,K16,IF($Q$5=50,K16,IF($Q$5=51,K16,IF($Q$5=52,I16,IF($Q$5=53,K16,IF($Q$5=54,K16,0))))))))))))))))))))))))))))))))))))</f>
        <v>B7</v>
      </c>
      <c r="Q16" s="120" t="str">
        <f>IF($Q$5=23,L16,IF($Q$5=24,L16,IF($Q$5=27,L16,IF($Q$5=28,L16,IF($Q$5=29,L16,IF($Q$5=30,L16,IF($Q$5=31,L16,IF($Q$5=32,L16,IF($Q$5=33,L16,IF($Q$5=34,L16,IF($Q$5=35,L16,IF($Q$5=36,L16,IF($Q$5=37,L16,IF($Q$5=38,L16,IF($Q$5=39,L16,IF($Q$5=40,L16,IF($Q$5=41,L16,IF($Q$5=42,L16,IF($Q$5=43,L16,IF($Q$5=44,L16,IF($Q$5=45,L16,IF($Q$5=46,L16,IF($Q$5=47,L16,IF($Q$5=48,L16,IF($Q$5=49,L16,IF($Q$5=50,L16,IF($Q$5=51,L16,IF($Q$5=52,L16,IF($Q$5=53,L16,IF($Q$5=54,L16,0))))))))))))))))))))))))))))))</f>
        <v>C7</v>
      </c>
      <c r="R16" s="140" t="str">
        <f>IF($Q$5=19,J16,IF($Q$5=20,J16,IF($Q$5=21,J16,IF($Q$5=22,J17,IF($Q$5=23,J17,IF($Q$5=24,J17,IF($Q$5=25,J17,IF($Q$5=26,J17,IF($Q$5=27,J17,IF($Q$5=28,J17,IF($Q$5=29,J17,IF($Q$5=30,J17,IF($Q$5=31,J17,IF($Q$5=32,J17,IF($Q$5=33,J17,IF($Q$5=34,J17,IF($Q$5=35,J17,IF($Q$5=36,J17,IF($Q$5=37,J17,IF($Q$5=38,J17,IF($Q$5=39,J17,IF($Q$5=40,J17,IF($Q$5=41,J17,IF($Q$5=42,J17,IF($Q$5=43,J17,IF($Q$5=44,J17,IF($Q$5=45,J17,IF($Q$5=46,J17,IF($Q$5=47,J17,IF($Q$5=48,J17,IF($Q$5=49,J17,IF($Q$5=50,J17,IF($Q$5=51,J17,IF($Q$5=52,J17,IF($Q$5=53,J17,IF($Q$5=54,J17,0))))))))))))))))))))))))))))))))))))</f>
        <v>A8</v>
      </c>
      <c r="S16" s="132" t="str">
        <f>IF($Q$5=19,P16,IF($Q$5=20,L10,IF($Q$5=21,L11,IF($Q$5=22,K10,IF($Q$5=23,D11,IF($Q$5=24,K15,IF($Q$5=25,K10,IF($Q$5=26,K15,IF($Q$5=27,K17,IF(Q$5=28,K15,IF($Q$5=29,K17,IF($Q$5=30,K17,IF($Q$5=31,P18,IF($Q$5=32,K15,IF($Q$5=33,K15,IF($Q$5=34,K15,IF($Q$5=35,K15,IF($Q$5=36,K18,IF($Q$5=37,K18,IF($Q$5=38,K18,IF($Q$5=39,K18,IF($Q$5=40,K18,IF($Q$5=41,K18,IF($Q$5=42,K18,IF($Q$5=43,K18,IF($Q$5=44,K18,IF($Q$5=45,K18,IF($Q$5=46,K18,IF($Q$5=47,K18,IF($Q$5=48,K18,IF($Q$5=49,K18,IF($Q$5=50,K18,IF($Q$5=51,K18,IF($Q$5=52,K18,IF($Q$5=53,K18,IF($Q$5=54,K18,0))))))))))))))))))))))))))))))))))))</f>
        <v>B9</v>
      </c>
      <c r="T16" s="151" t="str">
        <f>IF($Q$5=22,0,IF($Q$5=23,L10,IF($Q$5=24,L10,IF($Q$5=26,0,IF($Q$5=27,P18,IF($Q$5=28,L17,IF($Q$5=29,L17,IF($Q$5=30,L17,IF($Q$5=31,L15,IF($Q$5=32,L10,IF($Q$5=33,L10,IF($Q$5=34,L10,IF($Q$5=35,L10,IF($Q$5=36,L19,IF($Q$5=37,P23,IF($Q$5=38,L19,IF($Q$5=39,L19,IF($Q$5=40,L19,IF($Q$5=41,L19,IF($Q$5=42,L19,IF($Q$5=43,L19,IF($Q$5=44,L19,IF($Q$5=45,L19,IF($Q$5=46,L19,IF($Q$5=47,L19,IF($Q$5=48,L19,IF($Q$5=49,L19,IF($Q$5=50,L19,IF($Q$5=51,L19,IF($Q$5=52,L19,IF($Q$5=53,L19,IF($Q$5=54,L19,0))))))))))))))))))))))))))))))))</f>
        <v>C10</v>
      </c>
      <c r="U16" s="140" t="str">
        <f>IF($Q$5=19,R16,IF($Q$5=20,R16,IF($Q$5=21,R16,IF($Q$5=22,R14,IF($Q$5=23,R16,IF($Q$5=24,R14,IF($Q$5=25,R14,IF($Q$5=26,R14,IF($Q$5=27,R14,IF($Q$5=28,R14,IF($Q$5=29,O15,IF($Q$5=30,O15,IF($Q$5=31,R16,IF($Q$5=32,R15,IF($Q$5=33,O16,IF($Q$5=34,O16,IF($Q$5=35,R15,IF($Q$5=36,O18,IF($Q$5=37,O18,IF($Q$5=38,O18,IF($Q$5=39,R17,IF($Q$5=40,O18,IF($Q$5=41,O18,IF($Q$5=42,O18,IF($Q$5=43,O18,IF($Q$5=44,O18,IF($Q$5=45,O18,IF($Q$5=46,O18,IF($Q$5=47,O18,IF($Q$5=48,O18,IF($Q$5=49,R17,IF($Q$5=50,O18,IF($Q$5=51,O18,IF($Q$5=52,O18,IF($Q$5=53,O18,IF($Q$5=54,O18,0))))))))))))))))))))))))))))))))))))</f>
        <v>A9</v>
      </c>
      <c r="V16" s="138" t="str">
        <f>IF($Q$5=19,S15,IF($Q$5=20,S17,IF($Q$5=21,S15,IF($Q$5=22,S12,IF($Q$5=23,S15,IF($Q$5=24,S12,IF($Q$5=25,S16,IF($Q$5=26,S19,IF($Q$5=27,T11,IF($Q$5=28,S19,IF($Q$5=29,S19,IF($Q$5=30,S19,IF($Q$5=31,R21,IF($Q$5=32,S20,IF($Q$5=33,S18,IF($Q$5=34,S18,IF($Q$5=35,S18,IF($Q$5=36,S18,IF($Q$5=37,S18,IF($Q$5=38,S18,IF($Q$5=39,S18,IF($Q$5=40,S18,IF($Q$5=41,S18,IF($Q$5=42,S18,IF($Q$5=43,S18,IF($Q$5=44,S18,IF($Q$5=45,S18,IF($Q$5=46,S18,IF($Q$5=47,S18,IF($Q$5=48,S18,IF($Q$5=49,S18,IF($Q$5=50,S18,IF($Q$5=51,S18,IF($Q$5=52,S18,IF($Q$5=53,S18,IF($Q$5=54,S18,0))))))))))))))))))))))))))))))))))))</f>
        <v>B11</v>
      </c>
      <c r="W16" s="145" t="str">
        <f>IF($Q$5=23,T10,IF($Q$5=24,T11,IF($Q$5=27,S18,IF($Q$5=28,T11,IF($Q$5=29,T12,IF($Q$5=30,T11,IF($Q$5=31,S18,IF($Q$5=32,T16,IF($Q$5=33,T16,IF($Q$5=34,T16,IF($Q$5=35,T19,IF($Q$5=36,T19,IF($Q$5=37,S21,IF($Q$5=38,T19,IF($Q$5=39,S22,IF($Q$5=40,T19,IF($Q$5=41,T19,IF($Q$5=42,T19,IF($Q$5=43,T19,IF($Q$5=44,T19,IF($Q$5=45,T19,IF($Q$5=46,T19,IF($Q$5=47,T19,IF($Q$5=48,T19,IF($Q$5=49,T19,IF($Q$5=50,T19,IF($Q$5=51,T19,IF($Q$5=52,T19,IF($Q$5=53,T19,IF($Q$5=54,T19,0))))))))))))))))))))))))))))))</f>
        <v>C13</v>
      </c>
      <c r="X16" s="18"/>
      <c r="Y16" s="383"/>
      <c r="Z16" s="11" t="str">
        <f>+P11</f>
        <v>B2</v>
      </c>
      <c r="AA16" s="57">
        <f>IF(ISTEXT(Z16),AA15,0)</f>
        <v>8</v>
      </c>
      <c r="AB16" s="14">
        <f>IF(ISTEXT(Z16),AB15,0)</f>
        <v>3</v>
      </c>
      <c r="AC16" s="15">
        <f>IF(ISTEXT(Z16),AC15,0)</f>
        <v>3</v>
      </c>
      <c r="AD16" s="6"/>
      <c r="AE16" s="11" t="str">
        <f>+S11</f>
        <v>B4</v>
      </c>
      <c r="AF16" s="14">
        <f>IF(ISTEXT(AE16),AF15,0)</f>
        <v>10</v>
      </c>
      <c r="AG16" s="14">
        <f>IF(ISTEXT(AE16),AG15,0)</f>
        <v>1</v>
      </c>
      <c r="AH16" s="15">
        <f>IF(ISTEXT(AE16),AH15,0)</f>
        <v>-2</v>
      </c>
      <c r="AI16" s="6"/>
      <c r="AJ16" s="11" t="str">
        <f>+V11</f>
        <v>B6</v>
      </c>
      <c r="AK16" s="14">
        <f>IF(ISTEXT(AJ16),AK15,0)</f>
        <v>5</v>
      </c>
      <c r="AL16" s="14">
        <f>IF(ISTEXT(AJ16),AL15,0)</f>
        <v>1</v>
      </c>
      <c r="AM16" s="15">
        <f>IF(ISTEXT(AJ16),AM15,0)</f>
        <v>-3</v>
      </c>
      <c r="AN16" s="18"/>
      <c r="AO16" s="44">
        <v>8</v>
      </c>
      <c r="AP16" s="278" t="str">
        <f>+Inscrits!B10</f>
        <v>A8</v>
      </c>
      <c r="AQ16" s="247">
        <f t="shared" si="3"/>
        <v>1</v>
      </c>
      <c r="AR16" s="82">
        <f t="shared" si="4"/>
        <v>-9</v>
      </c>
      <c r="AS16" s="184">
        <f t="shared" si="5"/>
        <v>4</v>
      </c>
      <c r="AT16" s="250">
        <f t="shared" si="6"/>
        <v>1</v>
      </c>
      <c r="AU16" s="82">
        <f t="shared" si="7"/>
        <v>-4</v>
      </c>
      <c r="AV16" s="252">
        <f t="shared" si="8"/>
        <v>5</v>
      </c>
      <c r="AW16" s="247">
        <f t="shared" si="9"/>
        <v>1</v>
      </c>
      <c r="AX16" s="82">
        <f t="shared" si="10"/>
        <v>-5</v>
      </c>
      <c r="AY16" s="252">
        <f t="shared" si="11"/>
        <v>6</v>
      </c>
      <c r="AZ16" s="247">
        <f t="shared" si="17"/>
        <v>3</v>
      </c>
      <c r="BA16" s="82">
        <f t="shared" si="12"/>
        <v>-18</v>
      </c>
      <c r="BB16" s="252">
        <f t="shared" si="13"/>
        <v>15</v>
      </c>
      <c r="BC16" s="255">
        <f t="shared" si="14"/>
        <v>-18</v>
      </c>
      <c r="BD16" s="7">
        <f t="shared" si="15"/>
        <v>0</v>
      </c>
      <c r="BE16" s="183">
        <f t="shared" si="16"/>
        <v>48.178500159999999</v>
      </c>
      <c r="BF16" s="82">
        <f>IF(AP16="","",SMALL(BE$9:BE$62,ROWS(AZ$9:AZ16)))</f>
        <v>5.8665002200000007</v>
      </c>
      <c r="BH16" s="82" t="str">
        <f>IF(OR(AP16="",AZ16=""),"",INDEX($AP$9:$AP$63,MATCH(BF16,$BE$9:BE$62,0)))</f>
        <v>A14</v>
      </c>
      <c r="BI16" s="7">
        <f t="shared" si="0"/>
        <v>7</v>
      </c>
      <c r="BJ16" s="7">
        <f t="shared" si="1"/>
        <v>13</v>
      </c>
      <c r="BK16" s="7">
        <f t="shared" si="2"/>
        <v>35</v>
      </c>
      <c r="BL16" s="17">
        <f>IF(BF16="","",IF(AND(BI15=BI16,BJ15=BJ16,BK15=BK16),BL15,$BL$9+7))</f>
        <v>8</v>
      </c>
      <c r="BM16" s="22"/>
      <c r="BN16" s="3"/>
    </row>
    <row r="17" spans="1:66" ht="21.6" thickBot="1" x14ac:dyDescent="0.35">
      <c r="A17" s="111">
        <v>8</v>
      </c>
      <c r="B17" s="330" t="s">
        <v>73</v>
      </c>
      <c r="C17" s="235">
        <f>IF($Q$5&gt;=22,8,0)</f>
        <v>8</v>
      </c>
      <c r="D17" s="335" t="s">
        <v>91</v>
      </c>
      <c r="E17" s="235">
        <f>IF($Q$5&gt;=23,8,0)</f>
        <v>8</v>
      </c>
      <c r="F17" s="333" t="s">
        <v>109</v>
      </c>
      <c r="G17" s="235">
        <f>IF($Q$5&gt;=24,8,0)</f>
        <v>8</v>
      </c>
      <c r="H17" s="18"/>
      <c r="I17" s="165">
        <v>8</v>
      </c>
      <c r="J17" s="172" t="str">
        <f>IF(ISNA(MATCH(I17,$C$10:$C$27,0)),"",INDEX(B$10:$B$27,MATCH(I17,$C$10:$C$27,0)))</f>
        <v>A8</v>
      </c>
      <c r="K17" s="117" t="str">
        <f>IF(ISNA(MATCH(I17,$E$10:$E$27,0)),"",INDEX($D$10:D$27,MATCH(I17,$E$10:$E$27,0)))</f>
        <v>B8</v>
      </c>
      <c r="L17" s="160" t="str">
        <f>IF(ISNA(MATCH(I17,$G$10:$G$27,0)),"",INDEX($F$10:F$27,MATCH(I17,$G$10:$G$27,0)))</f>
        <v>C8</v>
      </c>
      <c r="N17" s="42" t="s">
        <v>5</v>
      </c>
      <c r="O17" s="125" t="str">
        <f>IF($Q$5=19,K15,IF($Q$5=20,K16,IF($Q$5=21,K16,IF($Q$5=22,J17,IF($Q$5=23,J17,IF(Q$5=24,J17,IF($Q$5=25,J17,IF($Q$5=26,J17,IF($Q$5=27,J17,IF($Q$5=28,J17,IF($Q$5=29,J17,IF($Q$5=30,J17,IF($Q$5=31,J17,IF($Q$5=32,J17,IF($Q$5=33,J17,IF($Q$5=34,J17,IF($Q$5=35,J17,IF($Q$5=36,J17,IF($Q$5=37,J17,IF($Q$5=38,J17,IF($Q$5=39,J17,IF($Q$5=40,J17,IF($Q$5=41,J17,IF($Q$5=42,J17,IF($Q$5=43,J17,IF($Q$5=44,J17,IF($Q$5=45,J17,IF($Q$5=46,J17,IF($Q$5=47,J17,IF($Q$5=48,J17,IF($Q$5=49,J17,IF($Q$5=50,J17,IF($Q$5=51,J17,IF($Q$5=52,J17,IF($Q$5=53,J17,IF($Q$5=54,J17,0))))))))))))))))))))))))))))))))))))</f>
        <v>A8</v>
      </c>
      <c r="P17" s="126" t="str">
        <f>IF($Q$5=19,L14,IF($Q$5=20,L15,IF($Q$5=21,L16,IF(Q$5=22,L16,IF($Q$5=23,K17,IF($Q$5=24,K17,IF($Q$5=25,L15,IF($Q$5=26,K17,IF($Q$5=27,K17,IF($Q$5=28,K17,IF($Q$5=29,K17,IF($Q$5=30,K17,IF($Q$5=31,K17,IF($Q$5=32,K17,IF($Q$5=33,K17,IF($Q$5=34,K17,IF($Q$5=35,K17,IF($Q$5=36,K17,IF($Q$5=37,K17,IF($Q$5=38,K17,IF($Q$5=39,K17,IF($Q$5=40,K17,IF($Q$5=41,K17,IF($Q$5=42,K17,IF($Q$5=43,K17,IF($Q$5=44,K17,IF($Q$5=45,K17,IF($Q$5=46,K17,IF($Q$5=47,K17,IF($Q$5=48,K17,IF($Q$5=49,K17,IF($Q$5=50,K17,IF($Q$5=51,K17,IF($Q$5=52,K17,IF($Q$5=53,K17,IF($Q$5=54,K17,0))))))))))))))))))))))))))))))))))))</f>
        <v>B8</v>
      </c>
      <c r="Q17" s="123" t="str">
        <f>IF($Q$5=24,L17,IF($Q$5=28,L17,IF($Q$5=29,L17,IF($Q$5=30,L17,IF($Q$5=31,0,IF($Q$5=32,L17,IF($Q$5=33,L17,IF($Q$5=34,L17,IF($Q$5=35,L17,IF($Q$5=36,L17,IF($Q$5=37,L17,IF($Q$5=38,L17,IF($Q$5=39,L17,IF(Q$5=40,L17,IF($Q$5=41,L17,IF($Q$5=42,L17,IF($Q$5=43,L17,IF($Q$5=44,L17,IF($Q$5=45,L17,IF($Q$5=46,L17,IF($Q$5=47,L17,IF($Q$5=48,L17,IF($Q$5=49,L17,IF($Q$5=50,L17,IF($Q$5=51,L17,IF($Q$5=52,L17,IF($Q$5=53,L17,IF($Q$5=54,L17,0))))))))))))))))))))))))))))</f>
        <v>C8</v>
      </c>
      <c r="R17" s="136" t="str">
        <f>IF($Q$5=19,K15,IF($Q$5=20,O17,IF($Q$5=21,O17,IF($Q$5=22,J10,IF($Q$5=23,J10,IF($Q$5=24,J10,IF($Q$5=25,J18,IF($Q$5=26,J18,IF($Q$5=27,J18,IF($Q$5=28,J18,IF($Q$5=29,J18,IF($Q$5=30,J18,IF($Q$5=31,J18,IF($Q$5=32,J18,IF($Q$5=33,J18,IF($Q$5=34,J18,IF($Q$5=35,J18,IF($Q$5=36,J18,IF($Q$5=37,J18,IF($Q$5=38,J18,IF($Q$5=39,J18,IF($Q$5=40,J18,IF($Q$5=41,J18,IF($Q$5=42,J18,IF($Q$5=43,J18,IF($Q$5=44,J18,IF($Q$5=45,J18,IF($Q$5=46,J18,IF($Q$5=47,J18,IF($Q$5=48,J18,IF($Q$5=49,J18,IF($Q$5=50,J18,IF($Q$5=51,J18,IF($Q$5=52,J18,IF($Q$5=53,J18,IF($Q$5=54,J18,0))))))))))))))))))))))))))))))))))))</f>
        <v>A9</v>
      </c>
      <c r="S17" s="137" t="str">
        <f>IF($Q$5=19,L12,IF($Q$5=20,K15,IF($Q$5=21,L12,IF($Q$5=22,L11,IF($Q$5=23,K12,IF($Q$5=24,K11,IF($Q$5=25,L10,IF($Q$5=26,L10,IF($Q$5=27,L10,IF($Q$5=28,K10,IF($Q$5=29,K19,IF($Q$5=30,K19,IF(Q$5=31,P16,IF($Q$5=32,K16,IF($Q$5=33,K16,IF($Q$5=34,K16,IF($Q$5=35,K16,IF($Q$5=36,K19,IF($Q$5=37,K19,IF($Q$5=38,K19,IF($Q$5=39,K19,IF($Q$5=40,K19,IF($Q$5=41,K19,IF($Q$5=42,K19,IF($Q$5=43,K19,IF($Q$5=44,K19,IF($Q$5=45,K19,IF($Q$5=46,K19,IF($Q$5=47,K19,IF($Q$5=48,K19,IF($Q$5=49,K19,IF($Q$5=50,K19,IF($Q$5=51,K19,IF($Q$5=52,K19,IF($Q$5=53,K19,IF($Q$5=54,K19,0))))))))))))))))))))))))))))))))))))</f>
        <v>B10</v>
      </c>
      <c r="T17" s="153" t="str">
        <f>IF($Q$5=24,L17,IF($Q$5=27,0,IF($Q$5=28,P19,IF($Q$6=29,L18,IF($Q$5=29,L18,IF($Q$5=30,L18,IF($Q$5=32,L17,IF($Q$5=33,L17,IF($Q$5=34,L17,IF($Q$5=35,L17,IF($Q$5=36,L20,IF($Q$5=37,P22,IF($Q$5=38,P22,IF($Q$5=39,L20,IF($Q$5=40,L20,IF($Q$5=41,L20,IF($Q$5=42,L20,IF($Q$5=43,L20,IF($Q$5=44,L20,IF($Q$5=45,L20,IF($Q$5=46,L20,IF($Q$5=47,L20,IF($Q$5=48,L20,IF($Q$5=49,L20,IF($Q$5=50,L20,IF($Q$5=51,L20,IF($Q$5=52,L20,IF($Q$5=53,L20,IF($Q$5=54,L20,0)))))))))))))))))))))))))))))</f>
        <v>C11</v>
      </c>
      <c r="U17" s="156" t="str">
        <f>IF($Q$5=19,R17,IF($Q$5=20,R17,IF($Q$5=21,K16,IF($Q$5=22,R16,IF($Q$5=23,R10,IF($Q$5=24,R16,IF($Q$5=25,R16,IF($Q$5=26,R16,IF($Q$5=27,R16,IF($Q$5=28,R17,IF($Q$5=29,O18,IF($Q$5=30,O18,IF($Q$5=31,R17,IF($Q$5=32,O18,IF($Q$5=33,R17,IF($Q$5=34,O18,IF($Q$5=35,R17,IF($Q$5=36,R18,IF($Q$5=37,O19,IF($Q$5=38,O19,IF($Q$5=39,O19,IF($Q$5=40,R18,IF($Q$5=41,O19,IF($Q$5=42,R18,IF($Q$5=43,R18,IF($Q$5=44,O19,IF($Q$5=45,R18,IF($Q$5=46,R18,IF($Q$5=47,R18,IF($Q$5=48,R18,IF($Q$5=49,R18,IF($Q$5=50,R18,IF($Q$5=51,R18:R18,IF($Q$5=52,R18,IF($Q$5=53,R18,IF($Q$5=54,O19,0))))))))))))))))))))))))))))))))))))</f>
        <v>A10</v>
      </c>
      <c r="V17" s="134" t="str">
        <f>IF($Q$5=19,T10,IF($Q$5=20,T10,IF($Q$5=21,S16,IF($Q$5=22,T10,IF($Q$5=23,S12,IF($Q$5=24,S17,IF($Q$5=25,T10,IF($Q$5=26,S12,IF($Q$5=27,S12,IF($Q$5=28,S17,IF($Q$5=29,S18,IF($Q$5=30,S17,IF($Q$5=31,S17,IF($Q$5=32,S12,IF($Q$5=33,S12,IF($Q$5=34,S12,IF($Q$5=35,S12,IF($Q$5=36,S19,IF($Q$5=37,S19,IF($Q$5=38,S19,IF($Q$5=39,S19,IF($Q$5=40,S19,IF($Q$5=41,S19,IF($Q$5=42,S19,IF($Q$5=43,S19,IF($Q$5=44,S19,IF($Q$5=45,S19,IF($Q$5=46,S19,IF($Q$5=47,S19,IF($Q$5=48,S19,IF($Q$5=49,S19,IF($Q$5=50,S19,IF($Q$5=51,S19,IF($Q$5=52,S19,IF($Q$5=53,S19,IF($Q$5=54,S19,0))))))))))))))))))))))))))))))))))))</f>
        <v>B12</v>
      </c>
      <c r="W17" s="147" t="str">
        <f>IF($Q$5=24,T10,IF($Q$5=27,0,IF($Q$5=28,S18,IF($Q$5=29,T18,IF($Q$5=30,T18,IF($Q$5=32,T17,IF($Q$5=33,T17,IF($Q$5=34,T17,IF($Q$5=35,T17,IF($Q$5=36,T20,IF($Q$5=37,S22,IF($Q$5=38,S22,IF($Q$5=39,T18,IF($Q$5=40,T20,IF($Q$5=41,T20,IF($Q$5=42,T20,IF($Q$5=43,T20,IF($Q$5=44,T20,IF($Q$5=45,T20,IF($Q$5=46,T20,IF($Q$5=47,T20,IF($Q$5=48,T20,IF($Q$5=49,T20,IF($Q$5=50,T20,IF($Q$5=51,T20,IF($Q$5=52,T20,IF($Q$5=53,T20,IF($Q$5=54,T20,0))))))))))))))))))))))))))))</f>
        <v>C14</v>
      </c>
      <c r="X17" s="18"/>
      <c r="Y17" s="384"/>
      <c r="Z17" s="13" t="str">
        <f>+Q11</f>
        <v>C2</v>
      </c>
      <c r="AA17" s="57">
        <f>IF(ISTEXT(Z17),AA15,0)</f>
        <v>8</v>
      </c>
      <c r="AB17" s="14">
        <f>IF(ISTEXT(Z17),AB15,0)</f>
        <v>3</v>
      </c>
      <c r="AC17" s="15">
        <f>IF(ISTEXT(Z17),AC15,0)</f>
        <v>3</v>
      </c>
      <c r="AD17" s="6"/>
      <c r="AE17" s="13" t="str">
        <f>+T11</f>
        <v>C5</v>
      </c>
      <c r="AF17" s="14">
        <f>IF(ISTEXT(AE17),AF15,0)</f>
        <v>10</v>
      </c>
      <c r="AG17" s="14">
        <f>IF(ISTEXT(AE17),AG15,0)</f>
        <v>1</v>
      </c>
      <c r="AH17" s="15">
        <f>IF(ISTEXT(AE17),AH15,0)</f>
        <v>-2</v>
      </c>
      <c r="AI17" s="6"/>
      <c r="AJ17" s="13" t="str">
        <f>+W11</f>
        <v>C8</v>
      </c>
      <c r="AK17" s="14">
        <f>IF(ISTEXT(AJ17),AK15,0)</f>
        <v>5</v>
      </c>
      <c r="AL17" s="14">
        <f>IF(ISTEXT(AJ17),AL15,0)</f>
        <v>1</v>
      </c>
      <c r="AM17" s="15">
        <f>IF(ISTEXT(AJ17),AM15,0)</f>
        <v>-3</v>
      </c>
      <c r="AN17" s="18"/>
      <c r="AO17" s="44">
        <v>9</v>
      </c>
      <c r="AP17" s="278" t="str">
        <f>+Inscrits!B11</f>
        <v>A9</v>
      </c>
      <c r="AQ17" s="247">
        <f t="shared" si="3"/>
        <v>3</v>
      </c>
      <c r="AR17" s="82">
        <f t="shared" si="4"/>
        <v>11</v>
      </c>
      <c r="AS17" s="184">
        <f t="shared" si="5"/>
        <v>13</v>
      </c>
      <c r="AT17" s="250">
        <f t="shared" si="6"/>
        <v>3</v>
      </c>
      <c r="AU17" s="82">
        <f t="shared" si="7"/>
        <v>4</v>
      </c>
      <c r="AV17" s="252">
        <f t="shared" si="8"/>
        <v>9</v>
      </c>
      <c r="AW17" s="247">
        <f t="shared" si="9"/>
        <v>1</v>
      </c>
      <c r="AX17" s="82">
        <f t="shared" si="10"/>
        <v>-1</v>
      </c>
      <c r="AY17" s="252">
        <f t="shared" si="11"/>
        <v>6</v>
      </c>
      <c r="AZ17" s="247">
        <f t="shared" si="17"/>
        <v>7</v>
      </c>
      <c r="BA17" s="82">
        <f t="shared" si="12"/>
        <v>14</v>
      </c>
      <c r="BB17" s="252">
        <f t="shared" si="13"/>
        <v>28</v>
      </c>
      <c r="BC17" s="255">
        <f t="shared" si="14"/>
        <v>0</v>
      </c>
      <c r="BD17" s="7">
        <f t="shared" si="15"/>
        <v>14</v>
      </c>
      <c r="BE17" s="183">
        <f t="shared" si="16"/>
        <v>5.8572001700000005</v>
      </c>
      <c r="BF17" s="82">
        <f>IF(AP17="","",SMALL(BE$9:BE$62,ROWS(AZ$9:AZ17)))</f>
        <v>5.8668001400000005</v>
      </c>
      <c r="BH17" s="82" t="str">
        <f>IF(OR(AP17="",AZ17=""),"",INDEX($AP$9:$AP$63,MATCH(BF17,$BE$9:BE$62,0)))</f>
        <v>A6</v>
      </c>
      <c r="BI17" s="7">
        <f t="shared" si="0"/>
        <v>7</v>
      </c>
      <c r="BJ17" s="7">
        <f t="shared" si="1"/>
        <v>13</v>
      </c>
      <c r="BK17" s="7">
        <f t="shared" si="2"/>
        <v>32</v>
      </c>
      <c r="BL17" s="17">
        <f>IF(BF17="","",IF(AND(BI16=BI17,BJ16=BJ17,BK16=BK17),BL16,$BL$9+8))</f>
        <v>9</v>
      </c>
      <c r="BM17" s="22"/>
      <c r="BN17" s="3"/>
    </row>
    <row r="18" spans="1:66" ht="21.6" thickBot="1" x14ac:dyDescent="0.35">
      <c r="A18" s="111">
        <v>9</v>
      </c>
      <c r="B18" s="330" t="s">
        <v>74</v>
      </c>
      <c r="C18" s="235">
        <f>IF($Q$5&gt;=25,9,0)</f>
        <v>9</v>
      </c>
      <c r="D18" s="335" t="s">
        <v>92</v>
      </c>
      <c r="E18" s="235">
        <f>IF($Q$5&gt;=26,9,0)</f>
        <v>9</v>
      </c>
      <c r="F18" s="333" t="s">
        <v>110</v>
      </c>
      <c r="G18" s="235">
        <f>IF($Q$5&gt;=27,9,0)</f>
        <v>9</v>
      </c>
      <c r="H18" s="18"/>
      <c r="I18" s="165">
        <v>9</v>
      </c>
      <c r="J18" s="172" t="str">
        <f>IF(ISNA(MATCH(I18,$C$10:$C$27,0)),"",INDEX(B$10:$B$27,MATCH(I18,$C$10:$C$27,0)))</f>
        <v>A9</v>
      </c>
      <c r="K18" s="117" t="str">
        <f>IF(ISNA(MATCH(I18,$E$10:$E$27,0)),"",INDEX($D$10:D$27,MATCH(I18,$E$10:$E$27,0)))</f>
        <v>B9</v>
      </c>
      <c r="L18" s="160" t="str">
        <f>IF(ISNA(MATCH(I18,$G$10:$G$27,0)),"",INDEX($F$10:F$27,MATCH(I18,$G$10:$G$27,0)))</f>
        <v>C9</v>
      </c>
      <c r="N18" s="67">
        <v>5</v>
      </c>
      <c r="O18" s="118" t="str">
        <f>IF($Q$5=25,J18,IF($Q$5=26,J18,IF($Q$5=27,J18,IF(Q$5=28,J18,IF($Q$5=29,J18,IF($Q$5=30,J18,IF($Q$5=31,J18,IF($Q$5=32,J18,IF($Q$5=33,J18,IF($Q$5=34,J18,IF($Q$5=35,J18,IF($Q$5=36,J18,IF($Q$5=37,J18,IF($Q$5=38,J18,IF($Q$5=39,J18,IF($Q$5=40,J18,IF($Q$5=41,J18,IF($Q$5=42,J18,IF($Q$5=43,J18,IF($Q$5=44,J18,IF($Q$5=45,J18,IF($Q$5=46,J18,IF($Q$5=47,J18,IF($Q$5=48,J18,IF($Q$5=49,J18,IF($Q$5=50,J18,IF($Q$5=51,J18,IF($Q$5=52,J18,IF($Q$5=53,J18,IF($Q$5=54,J18,0))))))))))))))))))))))))))))))</f>
        <v>A9</v>
      </c>
      <c r="P18" s="119" t="str">
        <f>IF($Q$5=25,L16,IF($Q$5=26,L16,IF($Q$5=27,L17,IF($Q$5=28,K18,IF($Q$5=29,K18,IF($Q$5=30,K18,IF($Q$5=31,K18,IF($Q$5=32,K19,IF($Q$5=33,K18,IF($Q$5=34,K18,IF($Q$5=35,K18,IF($Q$5=36,K18,IF($Q$5=37,K18,IF($Q$5=38,K18,IF($Q$5=39,K18,IF($Q$5=40,K18,IF($Q$5=41,K18,IF($Q$5=42,K18,IF($Q$5=43,K18,IF($Q$5=44,K18,IF($Q$5=45,K18,IF($Q$5=46,K18,IF($Q$5=47,K18,IF($Q$5=48,K18,IF($Q$5=49,K18,IF($Q$5=50,K18,IF($Q$5=51,K18,IF($Q$5=52,K18,IF($Q$5=53,K18,IF($Q$5=54,K18,0))))))))))))))))))))))))))))))</f>
        <v>B9</v>
      </c>
      <c r="Q18" s="120" t="str">
        <f>IF($Q$5=29,L18,IF($Q$5=30,L18,IF($Q$5=33,L18,IF($Q$5=34,L18,IF($Q$5=35,L18,IF($Q$5=36,L18,IF($Q$5=37,L18,IF($Q$5=38,L18,IF($Q$5=39,L18,IF($Q$5=40,L18,IF($Q$5=41,L18,IF($Q$5=42,L18,IF($Q$5=43,L18,IF($Q$5=44,L18,IF($Q$5=45,L18,IF($Q$5=46,L18,IF($Q$5=47,L18,IF($Q$5=48,L18,IF($Q$5=49,L18,IF($Q$5=50,L18,IF($Q$5=51,L18,IF($Q$5=52,L18,IF($Q$5=53,L18,IF($Q$5=54,L18,0))))))))))))))))))))))))</f>
        <v>C9</v>
      </c>
      <c r="R18" s="135" t="str">
        <f>IF($Q$5=25,O19,IF($Q$5=26,O19,IF($Q$5=27,J10,IF($Q$5=28,J19,IF($Q$5=29,J19,IF($Q$5=30,J19,IF($Q$5=31,J19,IF($Q$5=32,J19,IF($Q$5=33,J19,IF($Q$5=34,J19,IF($Q$5=35,J19,IF($Q$5=36,J19,IF($Q$5=37,J19,IF($Q$5=38,J19,IF($Q$5=39,J19,IF($Q$5=40,J19,IF($Q$5=41,J19,IF($Q$5=42,J19,IF($Q$5=43,J19,IF($Q$5=44,J19,IF($Q$5=45,J19,IF($Q$5=46,J19,IF($Q$5=47,J19,IF($Q$5=48,J19,IF($Q$5=49,J19,IF($Q$5=50,J19,IF($Q$5=51,J19,IF($Q$5=52,J19,IF($Q$5=53,J19,IF($Q$5=54,J19,0))))))))))))))))))))))))))))))</f>
        <v>A10</v>
      </c>
      <c r="S18" s="138" t="str">
        <f>IF($Q$5=25,L11,IF($Q$5=26,L11,IF(Q$5=27,Q11,IF($Q$5=28,L11,IF($Q$5=29,K10,IF($Q$5=30,K10,IF($Q$5=31,P21,IF($Q$5=32,P20,IF($Q$5=33,K10,IF($Q$5=34,K10,IF($Q$5=35,K10,IF($Q$5=36,K20,IF($Q$5=37,K20,IF($Q$5=38,K20,IF($Q$5=39,K20,IF($Q$5=40,K20,IF($Q$5=41,K20,IF($Q$5=42,K20,IF($Q$5=43,K20,IF($Q$5=44,K20,IF($Q$5=45,K20,IF($Q$5=46,K20,IF($Q$5=47,K20,IF($Q$5=48,K20,IF($Q$5=49,K20,IF($Q$5=50,K20,IF($Q$5=51,K20,IF($Q$5=52,K20,IF($Q$5=53,K20,IF($Q$5=54,K20,0))))))))))))))))))))))))))))))</f>
        <v>B11</v>
      </c>
      <c r="T18" s="154" t="str">
        <f>IF($Q$5=27,0,IF($Q$5=29,L11,IF($Q$5=30,L13,IF(J$5=32,0,IF($Q$5=33,L18,IF($Q$5=34,P21,IF($Q$5=35,L20,IF($Q$5=36,L21,IF($Q$5=37,P21,IF($Q$5=38,P23,IF($Q$5=39,L10,IF($Q$5=40,L21,IF($Q$5=41,L21,IF($Q$5=42,L21,IF($Q$5=43,P25,IF($Q$5=44,L21,IF($Q$5=45,L21,IF($Q$5=46,L21,IF($Q$5=47,L21,IF($Q$5=48,L21,IF($Q$5=49,L21,IF($Q$5=50,L21,IF($Q$5=51,L21,IF($Q$5=52,L21,IF($Q$5=53,L21,IF($Q$5=54,L21,0))))))))))))))))))))))))))</f>
        <v>C12</v>
      </c>
      <c r="U18" s="135" t="str">
        <f>IF($Q$5=25,R17,IF($Q$5=26,R17,IF($Q$5=27,R17,IF($Q$5=28,O17,IF($Q$5=29,O17,IF($Q$5=30,O17,IF($Q$5=31,R10,IF($Q$5=32,O19,IF($Q$5=33,O19,IF($Q$5=34,O20,IF($Q$5=35,R19,IF($Q$5=36,O20,IF($Q$5=37,R19,IF($Q$5=38,R19,IF($Q$5=39,O20,IF($Q$5=40,O20,IF($Q$5=41,O20,IF($Q$5=42,O20,IF($Q$5=43,O20,IF($Q$5=44,O20,IF($Q$5=45,O20,IF($Q$5=46,O20,IF($Q$5=47,O20,IF($Q$5=48,O20,IF($Q$5=49,O20,IF($Q$5=50,O20,IF($Q$5=51,O20,IF($Q$5=52,O20,IF($Q$5=53,O20,IF($Q$5=54,O20,0))))))))))))))))))))))))))))))</f>
        <v>A11</v>
      </c>
      <c r="V18" s="132" t="str">
        <f>IF($Q$5=25,T11,IF($Q$5=26,S18,IF($Q$5=27,R19,IF($Q$5=28,S12,IF($Q$5=29,S17,IF($Q$5=30,S18,IF($Q$5=31,S12,IF($Q$5=32,S13,IF($Q$5=33,S13,IF($Q$5=34,S13,IF($Q$5=35,S13,IF($Q$5=36,S20,IF($Q$5=37,S20,IF($Q$5=38,S20,IF($Q$5=39,S11,IF($Q$5=40,S20,IF($Q$5=41,S20,IF($Q$5=42,S20,IF($Q$5=43,S20,IF($Q$5=44,S20,IF($Q$5=45,S20,IF($Q$5=46,S20,IF($Q$5=47,S20,IF($Q$5=48,S20,IF($Q$5=49,S20,IF($Q$5=50,S20,IF($Q$5=51,S20,IF($Q$5=52,S20,IF($Q$5=53,S20,IF($Q$5=54,S20,0))))))))))))))))))))))))))))))</f>
        <v>B13</v>
      </c>
      <c r="W18" s="144" t="str">
        <f>IF($Q$5=29,T10,IF($Q$5=30,Q19,IF($Q$5=32,0,IF($Q$5=33,S20,IF($Q$5=34,T15,IF($Q$5=35,T15,IF($Q$5=36,T21,IF($Q$5=37,S23,IF($Q$5=38,S23,IF($Q$5=39,T19,IF($Q$5=40,T21,IF($Q$5=41,T21,IF($Q$5=42,T21,IF($Q$5=43,S25,IF($Q$5=44,T21,IF($Q$5=45,T21,IF($Q$5=46,T21,IF($Q$5=47,T21,IF($Q$5=48,T21,IF($Q$5=49,T21,IF($Q$5=50,T21,IF($Q$5=51,T21,IF($Q$5=52,T21,IF($Q$5=53,T21,IF($Q$5=54,T21,0)))))))))))))))))))))))))</f>
        <v>C15</v>
      </c>
      <c r="X18" s="18"/>
      <c r="Y18" s="20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18"/>
      <c r="AO18" s="44">
        <v>10</v>
      </c>
      <c r="AP18" s="278" t="str">
        <f>+Inscrits!B12</f>
        <v>A10</v>
      </c>
      <c r="AQ18" s="247">
        <f t="shared" si="3"/>
        <v>1</v>
      </c>
      <c r="AR18" s="82">
        <f t="shared" si="4"/>
        <v>-11</v>
      </c>
      <c r="AS18" s="184">
        <f t="shared" si="5"/>
        <v>2</v>
      </c>
      <c r="AT18" s="250">
        <f t="shared" si="6"/>
        <v>1</v>
      </c>
      <c r="AU18" s="82">
        <f t="shared" si="7"/>
        <v>-3</v>
      </c>
      <c r="AV18" s="252">
        <f t="shared" si="8"/>
        <v>5</v>
      </c>
      <c r="AW18" s="247">
        <f t="shared" si="9"/>
        <v>3</v>
      </c>
      <c r="AX18" s="82">
        <f t="shared" si="10"/>
        <v>1</v>
      </c>
      <c r="AY18" s="252">
        <f t="shared" si="11"/>
        <v>7</v>
      </c>
      <c r="AZ18" s="247">
        <f t="shared" si="17"/>
        <v>5</v>
      </c>
      <c r="BA18" s="82">
        <f t="shared" si="12"/>
        <v>-13</v>
      </c>
      <c r="BB18" s="252">
        <f t="shared" si="13"/>
        <v>14</v>
      </c>
      <c r="BC18" s="255">
        <f t="shared" si="14"/>
        <v>-13</v>
      </c>
      <c r="BD18" s="7">
        <f t="shared" si="15"/>
        <v>0</v>
      </c>
      <c r="BE18" s="183">
        <f t="shared" si="16"/>
        <v>30.128600179999999</v>
      </c>
      <c r="BF18" s="82">
        <f>IF(AP18="","",SMALL(BE$9:BE$62,ROWS(AZ$9:AZ18)))</f>
        <v>5.8670004699999998</v>
      </c>
      <c r="BH18" s="82" t="str">
        <f>IF(OR(AP18="",AZ18=""),"",INDEX($AP$9:$AP$63,MATCH(BF18,$BE$9:BE$62,0)))</f>
        <v>C3</v>
      </c>
      <c r="BI18" s="7">
        <f t="shared" si="0"/>
        <v>7</v>
      </c>
      <c r="BJ18" s="7">
        <f t="shared" si="1"/>
        <v>13</v>
      </c>
      <c r="BK18" s="7">
        <f t="shared" si="2"/>
        <v>30</v>
      </c>
      <c r="BL18" s="17">
        <f>IF(BF18="","",IF(AND(BI17=BI18,BJ17=BJ18,BK17=BK18),BL17,$BL$9+9))</f>
        <v>10</v>
      </c>
      <c r="BM18" s="22"/>
      <c r="BN18" s="3"/>
    </row>
    <row r="19" spans="1:66" ht="21.6" thickBot="1" x14ac:dyDescent="0.35">
      <c r="A19" s="111">
        <v>10</v>
      </c>
      <c r="B19" s="330" t="s">
        <v>75</v>
      </c>
      <c r="C19" s="235">
        <f>IF($Q$5&gt;=28,10,0)</f>
        <v>10</v>
      </c>
      <c r="D19" s="335" t="s">
        <v>93</v>
      </c>
      <c r="E19" s="235">
        <f>IF($Q$5&gt;=29,10,0)</f>
        <v>10</v>
      </c>
      <c r="F19" s="333" t="s">
        <v>111</v>
      </c>
      <c r="G19" s="235">
        <f>IF($Q$5&gt;=30,10,0)</f>
        <v>10</v>
      </c>
      <c r="H19" s="18"/>
      <c r="I19" s="165">
        <v>10</v>
      </c>
      <c r="J19" s="172" t="str">
        <f>IF(ISNA(MATCH(I19,$C$10:$C$27,0)),"",INDEX(B$10:$B$27,MATCH(I19,$C$10:$C$27,0)))</f>
        <v>A10</v>
      </c>
      <c r="K19" s="117" t="str">
        <f>IF(ISNA(MATCH(I19,$E$10:$E$27,0)),"",INDEX($D$10:D$27,MATCH(I19,$E$10:$E$27,0)))</f>
        <v>B10</v>
      </c>
      <c r="L19" s="160" t="str">
        <f>IF(ISNA(MATCH(I19,$G$10:$G$27,0)),"",INDEX($F$10:F$27,MATCH(I19,$G$10:$G$27,0)))</f>
        <v>C10</v>
      </c>
      <c r="N19" s="3" t="s">
        <v>5</v>
      </c>
      <c r="O19" s="121" t="str">
        <f>IF($Q$5=25,K17,IF($Q$5=26,K18,IF($Q$5=27,K18,IF($Q$5=28,J19,IF($Q$5=29,J19,IF($Q$5=30,J19,IF($Q$5=31,J19,IF($Q$5=32,J19,IF($Q$5=33,J19,IF($Q$5=34,J19,IF($Q$5=35,J19,IF($Q$5=36,J19,IF($Q$5=37,J19,IF($Q$5=38,J19,IF($Q$5=39,J19,IF($Q$5=40,J19,IF($Q$5=41,J19,IF($Q$5=42,J19,IF($Q$5=43,J19,IF($Q$5=44,J19,IF($Q$5=45,J19,IF($Q$5=46,J19,IF($Q$5=47,J19,IF($Q$5=48,J19,IF($Q$5=49,J19,IF($Q$5=50,J19,IF($Q$5=51,J19,IF($Q$5=52,J19,IF($Q$5=53,J19,IF($Q$5=54,J19,0))))))))))))))))))))))))))))))</f>
        <v>A10</v>
      </c>
      <c r="P19" s="126" t="str">
        <f>IF($Q$5=25,L17,IF($Q$5=26,L17,IF($Q$5=27,L18,IF($Q$5=28,L18,IF($Q$5=29,K19,IF($Q$5=30,K19,IF($Q$5=31,L17,IF($Q$5=32,K18,IF($Q$5=33,K19,IF($Q$5=34,K19,IF($Q$5=35,K19,IF($Q$5=36,K19,IF($Q$5=37,K19,IF($Q$5=38,K19,IF($Q$5=39,K19,IF($Q$5=40,K19,IF($Q$5=41,K19,IF($Q$5=42,K19,IF($Q$5=43,K19,IF($Q$5=44,K19,IF($Q$5=45,K19,IF($Q$5=46,K19,IF($Q$5=47,K19,IF($Q$5=48,K19,IF($Q$5=49,K19,IF($Q$5=50,K19,IF($Q$5=51,K19,IF($Q$5=52,K19,IF($Q$5=53,K19,IF($Q$5=54,K19,0))))))))))))))))))))))))))))))</f>
        <v>B10</v>
      </c>
      <c r="Q19" s="123" t="str">
        <f>IF($Q$5=30,L19,IF($Q$5=34,L19,IF($Q$5=35,L19,IF($Q$5=36,L19,IF($Q$5=38,L19,IF($Q$5=39,L19,IF($Q$5=40,L19,IF($Q$5=41,L19,IF($Q$5=42,L19,IF($Q$5=43,L19,IF($Q$5=44,L19,IF($Q$5=45,L19,IF($Q$5=46,L19,IF($Q$5=47,L19,IF($Q$5=48,L19,IF($Q$5=49,L19,IF($Q$5=50,L19,IF($Q$5=51,L19,IF($Q$5=52,L19,IF($Q$5=53,L19,IF($Q$5=54,L19,0)))))))))))))))))))))</f>
        <v>C10</v>
      </c>
      <c r="R19" s="139" t="str">
        <f>IF($Q$5=25,J10,IF($Q$5=26,J10,IF($Q$5=27,K10,IF($Q$5=28,J10,IF($Q$5=29,J10,IF($Q$5=30,J10,IF($Q$5=31,J20,IF($Q$5=32,J20,IF($Q$5=33,J20,IF($Q$5=34,J20,IF($Q$5=35,J20,IF($Q$5=36,J20,IF($Q$5=37,J20,IF($Q$5=38,J20,IF($Q$5=39,J20,IF($Q$5=40,J20,IF($Q$5=41,J20,IF($Q$5=42,J20,IF($Q$5=43,J20,IF($Q$5=44,J20,IF($Q$5=45,J20,IF($Q$5=46,J20,IF($Q$5=47,J20,IF($Q$5=48,J20,IF($Q$5=49,J20,IF($Q$5=50,J20,IF($Q$5=51,J20,IF($Q$5=52,J20,IF($Q$5=53,J20,IF($Q$5=54,J20,0))))))))))))))))))))))))))))))</f>
        <v>A11</v>
      </c>
      <c r="S19" s="134" t="str">
        <f>IF($Q$5=25,P18,IF($Q$5=26,K10,IF($Q$5=27,O19,IF($Q$5=28,K18,IF($Q$5=29,K18,IF($Q$5=30,K18,IF($Q$5=31,P19,IF($Q$5=32,P21,IF($Q$5=33,K19,IF($Q$5=34,K19,IF($Q$5=35,K19,IF($Q$5=36,K21,IF($Q$5=37,P11,IF($Q$5=38,K21,IF($Q$5=39,K21,IF($Q$5=40,K21,IF($Q$5=41,K21,IF($Q$5=42,K21,IF($Q$5=43,K21,IF($Q$5=44,K21,IF($Q$5=45,K21,IF($Q$5=46,K21,IF($Q$5=47,K21,IF($Q$5=48,K21,IF($Q$5=49,K21,IF($Q$5=50,K21,IF($Q$5=51,K21,IF($Q$5=52,K21,IF($Q$5=53,K21,IF($Q$5=54,K21,0))))))))))))))))))))))))))))))</f>
        <v>B12</v>
      </c>
      <c r="T19" s="155" t="str">
        <f>IF($Q$5=30,L19,IF($Q$5=34,L18,IF($Q$5=35,L18,IF($Q$5=36,L10,IF($Q$5=38,L10,IF($Q$5=39,L11,IF($Q$5=40,P23,IF($Q$5=41,L22,IF($Q$5=42,L22,IF($Q$5=43,P23,IF($Q$5=44,P24,IF($Q$5=45,L22,IF($Q$5=46,L22,IF($Q$5=47,L22,IF($Q$5=48,L22,IF($Q$5=49,L22,IF($Q$5=50,L22,IF($Q$5=51,L22,IF($Q$5=52,L22,IF($Q$5=53,L22,IF($Q$5=54,L22,0)))))))))))))))))))))</f>
        <v>C13</v>
      </c>
      <c r="U19" s="157" t="str">
        <f>IF($Q$5=25,O19,IF($Q$5=26,R18,IF($Q$5=27,S19,IF($Q$5=28,R18,IF($Q$5=29,O19,IF($Q$5=30,O19,IF($Q$5=31,R18,IF($Q$5=32,R10,IF($Q$5=33,O11,IF($Q$5=34,R10,IF($Q$5=35,R10,IF($Q$5=36,O21,IF($Q$5=37,R20,IF($Q$5=38,R20,IF($Q$5=39,O21,IF($Q$5=40,O21,IF($Q$5=41,O21,IF($Q$5=42,O21,IF($Q$5=43,R20,IF($Q$5=44,O21,IF($Q$5=45,R20,IF($Q$5=46,O21,IF($Q$5=47,O21,IF($Q$5=48,O21,IF($Q$5=49,O21,IF($Q$5=50,O21,IF($Q$5=51,O21,IF($Q$5=52,O21,IF($Q$5=53,O21,IF($Q$5=54,O21,0))))))))))))))))))))))))))))))</f>
        <v>A12</v>
      </c>
      <c r="V19" s="137" t="str">
        <f>IF($Q$5=25,S12,IF($Q$5=26,T10,IF($Q$5=27,T10,IF($Q$5=28,T10,IF($Q$5=29,S12,IF($Q$5=30,S12,IF($Q$5=31,T16,IF($Q$5=32,S14,IF($Q$5=33,S14,IF($Q$5=34,S20,IF($Q$5=35,S20,IF($Q$5=36,S21,IF($Q$5=37,S11,IF($Q$5=38,S21,IF($Q$5=39,S20,IF($Q$5=40,S21,IF($Q$5=41,S21,IF($Q$5=42,S21,IF($Q$5=43,S11,IF($Q$5=44,S21,IF($Q$5=45,S21,IF($Q$5=46,S21,IF($Q$5=47,S21,IF($Q$5=48,S21,IF($Q$5=49,S21,IF($Q$5=50,S21,IF($Q$5=51,S21,IF($Q$5=52,S21,IF($Q$5=53,S21,IF($Q$5=54,S21,0))))))))))))))))))))))))))))))</f>
        <v>B14</v>
      </c>
      <c r="W19" s="146" t="str">
        <f>IF($Q$5=30,T10,IF($Q$5=35,T16,IF($Q$5=36,T10,IF($Q$5=38,T10,IF($Q$5=39,T20,IF($Q$5=34,S21,IF($Q$5=40,S23,IF($Q$5=41,T22,IF($Q$5=42,T22,IF($Q$5=43,S23,IF($Q$5=44,S23,IF($Q$5=45,T22,IF($Q$5=46,T22,IF($Q$5=47,T22,IF($Q$5=48,T22,IF($Q$5=49,T22,IF($Q$5=50,T22,IF($Q$5=51,S27,IF($Q$5=52,T22,IF($Q$5=53,T22,IF($Q$5=54,T22,0)))))))))))))))))))))</f>
        <v>C16</v>
      </c>
      <c r="X19" s="18"/>
      <c r="Y19" s="382">
        <v>2</v>
      </c>
      <c r="Z19" s="9" t="str">
        <f>+O12</f>
        <v>A3</v>
      </c>
      <c r="AA19" s="25">
        <v>4</v>
      </c>
      <c r="AB19" s="38">
        <f>IF(AA19+AA23=0,0,IF(AA19=AA23,2,IF(AA19&gt;AA23,3,1)))</f>
        <v>1</v>
      </c>
      <c r="AC19" s="10">
        <f>AA19-AA23</f>
        <v>-7</v>
      </c>
      <c r="AD19" s="6"/>
      <c r="AE19" s="9" t="str">
        <f>+R12</f>
        <v>A4</v>
      </c>
      <c r="AF19" s="107">
        <v>6</v>
      </c>
      <c r="AG19" s="38">
        <f>IF(AF19+AF23=0,0,IF(AF19=AF23,2,IF(AF19&gt;AF23,3,1)))</f>
        <v>1</v>
      </c>
      <c r="AH19" s="10">
        <f>AF19-AF23</f>
        <v>-3</v>
      </c>
      <c r="AI19" s="6"/>
      <c r="AJ19" s="9" t="str">
        <f>+U12</f>
        <v>A5</v>
      </c>
      <c r="AK19" s="28">
        <v>4</v>
      </c>
      <c r="AL19" s="38">
        <f>IF(AK19+AK23=0,0,IF(AK19=AK23,2,IF(AK19&gt;AK23,3,1)))</f>
        <v>1</v>
      </c>
      <c r="AM19" s="10">
        <f>AK19-AK23</f>
        <v>-8</v>
      </c>
      <c r="AN19" s="18"/>
      <c r="AO19" s="44">
        <v>11</v>
      </c>
      <c r="AP19" s="278" t="str">
        <f>+Inscrits!B13</f>
        <v>A11</v>
      </c>
      <c r="AQ19" s="247">
        <f t="shared" si="3"/>
        <v>1</v>
      </c>
      <c r="AR19" s="82">
        <f t="shared" si="4"/>
        <v>-1</v>
      </c>
      <c r="AS19" s="184">
        <f t="shared" si="5"/>
        <v>12</v>
      </c>
      <c r="AT19" s="250">
        <f t="shared" si="6"/>
        <v>3</v>
      </c>
      <c r="AU19" s="82">
        <f t="shared" si="7"/>
        <v>3</v>
      </c>
      <c r="AV19" s="252">
        <f t="shared" si="8"/>
        <v>8</v>
      </c>
      <c r="AW19" s="247">
        <f t="shared" si="9"/>
        <v>3</v>
      </c>
      <c r="AX19" s="82">
        <f t="shared" si="10"/>
        <v>3</v>
      </c>
      <c r="AY19" s="252">
        <f t="shared" si="11"/>
        <v>7</v>
      </c>
      <c r="AZ19" s="247">
        <f t="shared" si="17"/>
        <v>7</v>
      </c>
      <c r="BA19" s="82">
        <f t="shared" si="12"/>
        <v>5</v>
      </c>
      <c r="BB19" s="252">
        <f t="shared" si="13"/>
        <v>27</v>
      </c>
      <c r="BC19" s="255">
        <f t="shared" si="14"/>
        <v>0</v>
      </c>
      <c r="BD19" s="7">
        <f t="shared" si="15"/>
        <v>5</v>
      </c>
      <c r="BE19" s="183">
        <f t="shared" si="16"/>
        <v>5.94730019</v>
      </c>
      <c r="BF19" s="82">
        <f>IF(AP19="","",SMALL(BE$9:BE$62,ROWS(AZ$9:AZ19)))</f>
        <v>5.8770003299999996</v>
      </c>
      <c r="BH19" s="82" t="str">
        <f>IF(OR(AP19="",AZ19=""),"",INDEX($AP$9:$AP$63,MATCH(BF19,$BE$9:BE$62,0)))</f>
        <v>B7</v>
      </c>
      <c r="BI19" s="7">
        <f t="shared" si="0"/>
        <v>7</v>
      </c>
      <c r="BJ19" s="7">
        <f t="shared" si="1"/>
        <v>12</v>
      </c>
      <c r="BK19" s="7">
        <f t="shared" si="2"/>
        <v>30</v>
      </c>
      <c r="BL19" s="17">
        <f>IF(BF19="","",IF(AND(BI18=BI19,BJ18=BJ19,BK18=BK19),BL18,$BL$9+10))</f>
        <v>11</v>
      </c>
      <c r="BM19" s="22"/>
      <c r="BN19" s="3"/>
    </row>
    <row r="20" spans="1:66" ht="21.6" thickBot="1" x14ac:dyDescent="0.35">
      <c r="A20" s="111">
        <v>11</v>
      </c>
      <c r="B20" s="330" t="s">
        <v>76</v>
      </c>
      <c r="C20" s="235">
        <f>IF($Q$5&gt;=31,11,0)</f>
        <v>11</v>
      </c>
      <c r="D20" s="335" t="s">
        <v>94</v>
      </c>
      <c r="E20" s="235">
        <f>IF($Q$5&gt;=32,11,0)</f>
        <v>11</v>
      </c>
      <c r="F20" s="333" t="s">
        <v>112</v>
      </c>
      <c r="G20" s="235">
        <f>IF($Q$5&gt;=33,11,0)</f>
        <v>11</v>
      </c>
      <c r="H20" s="18"/>
      <c r="I20" s="165">
        <v>11</v>
      </c>
      <c r="J20" s="172" t="str">
        <f>IF(ISNA(MATCH(I20,$C$10:$C$27,0)),"",INDEX(B$10:$B$27,MATCH(I20,$C$10:$C$27,0)))</f>
        <v>A11</v>
      </c>
      <c r="K20" s="117" t="str">
        <f>IF(ISNA(MATCH(I20,$E$10:$E$27,0)),"",INDEX($D$10:D$27,MATCH(I20,$E$10:$E$27,0)))</f>
        <v>B11</v>
      </c>
      <c r="L20" s="160" t="str">
        <f>IF(ISNA(MATCH(I20,$G$10:$G$27,0)),"",INDEX($F$10:F$27,MATCH(I20,$G$10:$G$27,0)))</f>
        <v>C11</v>
      </c>
      <c r="N20" s="3">
        <v>6</v>
      </c>
      <c r="O20" s="118" t="str">
        <f>IF($Q$5=31,J20,IF($Q$5=32,J20,IF($Q$5=33,J20,IF($Q$5=34,J20,IF($Q$5=35,J20,IF($Q$5=36,J20,IF($Q$5=37,J20,IF($Q$5=38,J20,IF($Q$5=39,J20,IF($Q$5=40,J20,IF($Q$5=41,J20,IF($Q$5=42,J20,IF($Q$5=43,J20,IF($Q$5=44,J20,IF($Q$5=45,J20,IF($Q$5=46,J20,IF($Q$5=47,J20,IF($Q$5=48,J20,IF($Q$5=49,J20,IF($Q$5=50,J20,IF($Q$5=51,J20,IF($Q$5=52,J20,IF($Q$5=53,J20,IF($Q$5=54,J20,0))))))))))))))))))))))))</f>
        <v>A11</v>
      </c>
      <c r="P20" s="119" t="str">
        <f>IF($Q$5=31,L18,IF($Q$5=32,L18,IF($Q$5=33,L19,IF($Q$5=34,K20,IF($Q$5=35,K20,IF($Q$5=36,K20,IF($Q$5=37,K20,IF($Q$5=38,K20,IF($Q$5=39,K20,IF($Q$5=40,K20,IF($Q$5=41,K20,IF($Q$5=42,K20,IF($Q$5=43,K20,IF($Q$5=44,K20,IF($Q$5=45,K20,IF($Q$5=46,K20,IF($Q$5=47,K20,IF($Q$5=48,K20,IF($Q$5=49,K20,IF($Q$5=50,K20,IF($Q$5=51,K20,IF($Q$5=52,K20,IF($Q$5=53,K20,IF($Q$5=54,K20,0))))))))))))))))))))))))</f>
        <v>B11</v>
      </c>
      <c r="Q20" s="120" t="str">
        <f>IF($Q$5=35,L20,IF($Q$5=36,L20,IF($Q$5=39,L20,IF($Q$5=40,L20,IF($Q$5=41,L20,IF($Q$5=42,L20,IF($Q$5=43,L20,IF($Q$5=44,L20,IF($Q$5=45,L20,IF($Q$5=46,L20,IF($Q$5=47,L20,IF($Q$5=48,L20,IF($Q$5=49,L20,IF($Q$5=50,L20,IF($Q$5=51,L20,IF($Q$5=52,L20,IF($Q$5=53,L20,IF($Q$5=54,L20,0))))))))))))))))))</f>
        <v>C11</v>
      </c>
      <c r="R20" s="140" t="str">
        <f>IF($Q$5=31,J10,IF($Q$5=32,K20,IF($Q$5=33,J10,IF($Q$5=34,J21,IF($Q$5=35,J21,IF($Q$5=36,J21,IF($Q$5=37,J21,IF($Q$5=38,J21,IF($Q$5=39,J21,IF($Q$5=40,J21,IF($Q$5=41,J21,IF($Q$5=42,J21,IF($Q$5=43,J21,IF($Q$5=44,J21,IF($Q$5=45,J21,IF($Q$5=46,J21,IF($Q$5=47,J21,IF($Q$5=48,J21,IF($Q$5=49,J21,IF($Q$5=50,J21,IF($Q$5=51,J21,IF($Q$5=52,J21,IF($Q$5=53,J21,IF($Q$5=54,J21,0))))))))))))))))))))))))</f>
        <v>A12</v>
      </c>
      <c r="S20" s="132" t="str">
        <f>IF($Q$5=31,P20,IF($Q$5=32,K10,IF($Q$5=33,P21,IF($Q$5=34,K20,IF($Q$5=35,K20,IF($Q$5=36,K10,IF($Q$5=37,K10,IF($Q$5=38,P11,IF($Q$5=39,K10,IF($Q$5=40,K22,IF($Q$5=41,K22,IF($Q$5=42,K22,IF($Q$5=43,K22,IF($Q$5=44,K22,IF($Q$5=45,K22,IF($Q$5=46,K22,IF($Q$5=47,K22,IF($Q$5=48,K22,IF($Q$5=49,K22,IF($Q$5=50,K22,IF($Q$5=51,K22,IF($Q$5=52,K22,IF($Q$5=53,K22,IF($Q$5=54,K22,0))))))))))))))))))))))))</f>
        <v>B13</v>
      </c>
      <c r="T20" s="151" t="str">
        <f>IF($Q$5=35,L19,IF($Q$5=36,L11,IF($Q$5=39,L12,IF($Q$5=40,L10,IF($Q$5=41,L10,IF($Q$5=42,L23,IF($Q$5=43,P24,IF($Q$5=44,P25,IF($Q$5=45,P24,IF($Q$5=46,L23,IF($Q$5=47,L23,IF($Q$5=48,L23,IF($Q$5=49,L10,IF($Q$5=50,L23,IF($Q$5=51,L23,IF($Q$5=52,L23,IF($Q$5=53,L23,IF($Q$5=54,L23,0))))))))))))))))))</f>
        <v>C14</v>
      </c>
      <c r="U20" s="140" t="str">
        <f>IF($Q$5=30,0,IF($Q$5=31,R19,IF($Q$5=32,R19,IF($Q$5=33,R19,IF($Q$5=34,R18,IF($Q$5=35,R18,IF($Q$5=36,O10,IF($Q$5=37,R21,IF($Q$5=38,R21,IF($Q$5=39,O22,IF($Q$5=40,R21,IF($Q$5=41,O22,IF($Q$5=42,O22,IF($Q$5=43,R21,IF($Q$5=44,R21,IF($Q$5=45,O22,IF($Q$5=46,O22,IF($Q$5=47,O22,IF($Q$5=48,O22,IF($Q$5=49,O22,IF($Q$5=50,O22,IF($Q$5=51,R21,IF($Q$5=52,O22,IF($Q$5=53,O22,IF($Q$5=54,O22,0)))))))))))))))))))))))))</f>
        <v>A13</v>
      </c>
      <c r="V20" s="138" t="str">
        <f>IF($Q$5=31,T10,IF($Q$5=32,S18,IF($Q$5=33,T18,IF($Q$5=34,S14,IF($Q$5=35,S21,IF($Q$5=36,S10,IF($Q$5=37,S10,IF($Q$5=38,S11,IF($Q$5=39,S21,IF($Q$5=40,S22,IF($Q$5=41,S22,IF($Q$5=42,S22,IF($Q$5=43,S22,IF($Q$5=44,S22,IF($Q$5=45,S22,IF($Q$5=46,S22,IF($Q$5=47,S22,IF($Q$5=48,S22,IF($Q$5=49,S22,IF($Q$5=50,S22,IF($Q$5=51,S22,IF($Q$5=52,S22,IF($Q$5=53,S22,IF($Q$5=54,S22,0))))))))))))))))))))))))</f>
        <v>B15</v>
      </c>
      <c r="W20" s="145" t="str">
        <f>IF($Q$5=35,T18,IF($Q$5=36,T11,IF($Q$5=39,T10,IF($Q$5=40,T10,IF($Q$5=41,T10,IF($Q$5=42,T23,IF($Q$5=43,S24,IF($Q$5=44,S24,IF($Q$5=45,S24,IF($Q$5=46,T23,IF($Q$5=47,T23,IF($Q$5=48,T23,IF($Q$5=49,T10,IF($Q$5=50,T23,IF($Q$5=51,S26,IF($Q$5=52,S27,IF($Q$5=53,T23,IF($Q$5=54,T23,0))))))))))))))))))</f>
        <v>C17</v>
      </c>
      <c r="X20" s="18"/>
      <c r="Y20" s="383"/>
      <c r="Z20" s="11" t="str">
        <f>+P12</f>
        <v>B3</v>
      </c>
      <c r="AA20" s="14">
        <f>IF(ISTEXT(Z20),AA19,0)</f>
        <v>4</v>
      </c>
      <c r="AB20" s="14">
        <f>IF(ISTEXT(Z20),AB19,0)</f>
        <v>1</v>
      </c>
      <c r="AC20" s="15">
        <f>IF(ISTEXT(Z20),AC19,0)</f>
        <v>-7</v>
      </c>
      <c r="AD20" s="6"/>
      <c r="AE20" s="11" t="str">
        <f>+S12</f>
        <v>B5</v>
      </c>
      <c r="AF20" s="14">
        <f>IF(ISTEXT(AE20),AF19,0)</f>
        <v>6</v>
      </c>
      <c r="AG20" s="48">
        <f>IF(ISTEXT(AE20),AG19,0)</f>
        <v>1</v>
      </c>
      <c r="AH20" s="15">
        <f>IF(ISTEXT(AE20),AH19,0)</f>
        <v>-3</v>
      </c>
      <c r="AI20" s="6"/>
      <c r="AJ20" s="11" t="str">
        <f>+V12</f>
        <v>B7</v>
      </c>
      <c r="AK20" s="14">
        <f>IF(ISTEXT(AJ20),AK19,0)</f>
        <v>4</v>
      </c>
      <c r="AL20" s="48">
        <f>IF(ISTEXT(AJ20),AL19,0)</f>
        <v>1</v>
      </c>
      <c r="AM20" s="15">
        <f>IF(ISTEXT(AJ20),AM19,0)</f>
        <v>-8</v>
      </c>
      <c r="AN20" s="18"/>
      <c r="AO20" s="44">
        <v>12</v>
      </c>
      <c r="AP20" s="278" t="str">
        <f>+Inscrits!B14</f>
        <v>A12</v>
      </c>
      <c r="AQ20" s="247">
        <f t="shared" si="3"/>
        <v>3</v>
      </c>
      <c r="AR20" s="82">
        <f t="shared" si="4"/>
        <v>1</v>
      </c>
      <c r="AS20" s="184">
        <f t="shared" si="5"/>
        <v>13</v>
      </c>
      <c r="AT20" s="250">
        <f t="shared" si="6"/>
        <v>3</v>
      </c>
      <c r="AU20" s="82">
        <f t="shared" si="7"/>
        <v>5</v>
      </c>
      <c r="AV20" s="252">
        <f t="shared" si="8"/>
        <v>10</v>
      </c>
      <c r="AW20" s="247">
        <f t="shared" si="9"/>
        <v>1</v>
      </c>
      <c r="AX20" s="82">
        <f t="shared" si="10"/>
        <v>-3</v>
      </c>
      <c r="AY20" s="252">
        <f t="shared" si="11"/>
        <v>4</v>
      </c>
      <c r="AZ20" s="247">
        <f t="shared" si="17"/>
        <v>7</v>
      </c>
      <c r="BA20" s="82">
        <f t="shared" si="12"/>
        <v>3</v>
      </c>
      <c r="BB20" s="252">
        <f t="shared" si="13"/>
        <v>27</v>
      </c>
      <c r="BC20" s="255">
        <f t="shared" si="14"/>
        <v>0</v>
      </c>
      <c r="BD20" s="7">
        <f t="shared" si="15"/>
        <v>3</v>
      </c>
      <c r="BE20" s="183">
        <f t="shared" si="16"/>
        <v>5.9673001999999995</v>
      </c>
      <c r="BF20" s="82">
        <f>IF(AP20="","",SMALL(BE$9:BE$62,ROWS(AZ$9:AZ20)))</f>
        <v>5.8771003499999992</v>
      </c>
      <c r="BH20" s="82" t="str">
        <f>IF(OR(AP20="",AZ20=""),"",INDEX($AP$9:$AP$63,MATCH(BF20,$BE$9:BE$62,0)))</f>
        <v>B9</v>
      </c>
      <c r="BI20" s="7">
        <f t="shared" si="0"/>
        <v>7</v>
      </c>
      <c r="BJ20" s="7">
        <f t="shared" si="1"/>
        <v>12</v>
      </c>
      <c r="BK20" s="7">
        <f t="shared" si="2"/>
        <v>29</v>
      </c>
      <c r="BL20" s="17">
        <f>IF(BF20="","",IF(AND(BI19=BI20,BJ19=BJ20,BK19=BK20),BL19,$BL$9+11))</f>
        <v>12</v>
      </c>
      <c r="BM20" s="22"/>
      <c r="BN20" s="3"/>
    </row>
    <row r="21" spans="1:66" ht="21.6" thickBot="1" x14ac:dyDescent="0.35">
      <c r="A21" s="111">
        <v>12</v>
      </c>
      <c r="B21" s="330" t="s">
        <v>77</v>
      </c>
      <c r="C21" s="235">
        <f>IF($Q$5&gt;=34,12,0)</f>
        <v>12</v>
      </c>
      <c r="D21" s="335" t="s">
        <v>95</v>
      </c>
      <c r="E21" s="235">
        <f>IF($Q$5&gt;=35,12,0)</f>
        <v>12</v>
      </c>
      <c r="F21" s="333" t="s">
        <v>113</v>
      </c>
      <c r="G21" s="235">
        <f>IF($Q$5&gt;=36,12,0)</f>
        <v>12</v>
      </c>
      <c r="H21" s="18"/>
      <c r="I21" s="165">
        <v>12</v>
      </c>
      <c r="J21" s="172" t="str">
        <f>IF(ISNA(MATCH(I21,$C$10:$C$27,0)),"",INDEX(B$10:$B$27,MATCH(I21,$C$10:$C$27,0)))</f>
        <v>A12</v>
      </c>
      <c r="K21" s="117" t="str">
        <f>IF(ISNA(MATCH(I21,$E$10:$E$27,0)),"",INDEX($D$10:D$27,MATCH(I21,$E$10:$E$27,0)))</f>
        <v>B12</v>
      </c>
      <c r="L21" s="160" t="str">
        <f>IF(ISNA(MATCH(I21,$G$10:$G$27,0)),"",INDEX($F$10:F$27,MATCH(I21,$G$10:$G$27,0)))</f>
        <v>C12</v>
      </c>
      <c r="N21" s="42" t="s">
        <v>5</v>
      </c>
      <c r="O21" s="121" t="str">
        <f>IF($Q$5=31,K19,IF($Q$5=32,K20,IF($Q$5=33,K20,IF($Q$5=34,J21,IF($Q$5=35,J21,IF($Q$5=36,J21,IF($Q$5=37,J21,IF($Q$5=38,J21,IF($Q$5=39,J21,IF($Q$5=40,J21,IF($Q$5=41,J21,IF($Q$5=42,J21,IF($Q$5=43,J21,IF($Q$5=44,J21,IF($Q$5=45,J21,IF($Q$5=46,J21,IF($Q$5=47,J21,IF($Q$5=48,J21,IF($Q$5=49,J21,IF($Q$5=50,J21,IF($Q$5=51,J21,IF($Q$5=52,J21,IF($Q$5=53,J21,IF($Q$5=54,J21,0))))))))))))))))))))))))</f>
        <v>A12</v>
      </c>
      <c r="P21" s="126" t="str">
        <f>IF($Q$5=31,L19,IF($Q$5=32,L19,IF($Q$5=33,L20,IF($Q$5=34,L20,IF($Q$5=35,K21,IF($Q$5=36,K21,IF($Q$5=37,L21,IF($Q$5=38,K21,IF($Q$5=39,K21,IF($Q$5=40,K21,IF($Q$5=41,K21,IF($Q$5=42,K21,IF($Q$5=43,K21,IF($Q$5=44,K21,IF($Q$5=45,K21,IF($Q$5=46,K21,IF($Q$5=47,K21,IF($Q$5=48,K21,IF($Q$5=49,K21,IF($Q$5=50,K21,IF($Q$5=51,K21,IF($Q$5=52,K21,IF($Q$5=53,K21,IF($Q$5=54,K21,0))))))))))))))))))))))))</f>
        <v>B12</v>
      </c>
      <c r="Q21" s="123" t="str">
        <f>IF($Q$5=36,L21,IF($Q$5=40,L21,IF($Q$5=41,L21,IF($Q$5=42,L21,IF($Q$5=43,0,IF($Q$5=44,L21,IF($Q$5=45,L21,IF($Q$5=46,L21,IF($Q$5=47,L21,IF($Q$5=48,L21,IF($Q$5=49,L21,IF($Q$5=50,L21,IF($Q$5=51,L21,IF($Q$5=52,L21,IF($Q$5=53,L21,IF($Q$5=54,L21,0))))))))))))))))</f>
        <v>C12</v>
      </c>
      <c r="R21" s="141" t="str">
        <f>IF($Q$5=31,K11,IF($Q$5=32,J10,IF($Q$5=33,O21,IF($Q$5=34,J10,IF($Q$5=35,J10,IF($Q$5=36,J10,IF($Q$5=37,J22,IF($Q$5=38,J22,IF($Q$5=39,J22,IF($Q$5=40,J22,IF($Q$5=41,J22,IF($Q$5=42,J22,IF($Q$5=43,J22,IF($Q$5=44,J22,IF($Q$5=45,J22,IF($Q$5=46,J22,IF($Q$5=47,J22,IF($Q$5=48,J22,IF($Q$5=49,J22,IF($Q$5=50,J22,IF($Q$5=51,J22,IF($Q$5=52,J22,IF($Q$5=53,J22,IF($Q$5=54,J22,0))))))))))))))))))))))))</f>
        <v>A13</v>
      </c>
      <c r="S21" s="137" t="str">
        <f>IF($Q$5=31,O21,IF($Q$5=32,P18,IF($Q$5=33,P20,IF($Q$5=34,L19,IF($Q$5=35,K21,IF($Q$5=36,K11,IF($Q$5=37,L10,IF($Q$5=38,K10,IF($Q$5=39,K11,IF($Q$5=40,K10,IF($Q$5=41,K23,IF($Q$5=42,K23,IF($Q$5=43,P11,IF($Q$5=44,K23,IF($Q$5=45,K23,IF($Q$5=46,K23,IF($Q$5=47,K23,IF($Q$5=48,K23,IF($Q$5=49,K23,IF($Q$5=50,K23,IF($Q$5=51,K23,IF($Q$5=52,K23,IF($Q$5=53,K23,IF($Q$5=54,K23,0))))))))))))))))))))))))</f>
        <v>B14</v>
      </c>
      <c r="T21" s="153" t="str">
        <f>IF($Q$5=36,L12,IF($Q$5=40,L11,IF($Q$5=41,L11,IF($Q$5=42,L10,IF($Q$5=43,0,IF($Q$5=44,L10,IF($Q$5=45,P25,IF($Q$5=46,P25,IF($Q$5=47,L24,IF($Q$5=48,L24,IF($Q$5=49,L11,IF($Q$5=50,P26,IF($Q$5=51,L24,IF($Q$5=52,L24,IF($Q$5=53,L24,IF($Q$5=54,L24,0))))))))))))))))</f>
        <v>C15</v>
      </c>
      <c r="U21" s="156" t="str">
        <f>IF($Q$5=31,S21,IF($Q$5=32,R20,IF($Q$5=33,R21,IF($Q$5=34,R20,IF($Q$5=35,R20,IF($Q$5=36,O11,IF($Q$5=37,R22,IF($Q$5=38,R22,IF($Q$5=39,O10,IF($Q$5=40,R22,IF($Q$5=41,R22,IF($Q$5=42,O23,IF($Q$5=43,R22,IF($Q$5=44,O23,IF($Q$5=45,R22,IF($Q$5=46,O23,IF($Q$5=47,O23,IF($Q$5=48,R22,IF($Q$5=49,R22,IF($Q$5=50,O23,IF($Q$5=51,R22,IF($Q$5=52,R22,IF($Q$5=53,O23,IF($Q$5=54,O23,0))))))))))))))))))))))))</f>
        <v>A14</v>
      </c>
      <c r="V21" s="137" t="str">
        <f>IF($Q$5=31,S15,IF($Q$5=32,S19,IF($Q$5=33,S21,IF($Q$5=34,T19,IF($Q$5=35,S14,IF($Q$5=36,S11,IF($Q$5=37,T10,IF($Q$5=38,S10,IF($Q$5=39,S10,IF($Q$5=40,S10,IF($Q$5=41,S23,IF($Q$5=42,S23,IF($Q$5=43,S21,IF($Q$5=44,S11,IF($Q$5=45,S23,IF($Q$5=46,S23,IF($Q$5=47,S23,IF($Q$5=48,S23,IF($Q$5=49,S23,IF($Q$5=50,S23,IF($Q$5=51,S23,IF($Q$5=52,S23,IF($Q$5=53,S23,IF($Q$5=54,S23,0))))))))))))))))))))))))</f>
        <v>B16</v>
      </c>
      <c r="W21" s="146" t="str">
        <f>IF($Q$5=36,T12,IF($Q$5=39,0,IF($Q$5=40,T11,IF($Q$5=41,T11,IF($Q$5=42,T10,IF($Q$5=43,0,IF($Q$5=44,T10,IF($Q$5=45,S25,IF($Q$5=46,S25,IF($Q$5=47,T24,IF($Q$5=48,T24,IF($Q$5=49,T11,IF($Q$5=50,S26,IF($Q$5=51,T22,IF($Q$5=52,T23,IF($Q$5=53,T24,IF($Q$5=54,T24,0)))))))))))))))))</f>
        <v>C18</v>
      </c>
      <c r="X21" s="18"/>
      <c r="Y21" s="383"/>
      <c r="Z21" s="11" t="str">
        <f>+Q12</f>
        <v>C3</v>
      </c>
      <c r="AA21" s="55">
        <f>IF(ISTEXT(Z21),AA19,0)</f>
        <v>4</v>
      </c>
      <c r="AB21" s="55">
        <f>IF(ISTEXT(Z21),AB19,0)</f>
        <v>1</v>
      </c>
      <c r="AC21" s="56">
        <f>IF(ISTEXT(Z21),AC19,0)</f>
        <v>-7</v>
      </c>
      <c r="AD21" s="6"/>
      <c r="AE21" s="11" t="str">
        <f>+T12</f>
        <v>C6</v>
      </c>
      <c r="AF21" s="55">
        <f>IF(ISTEXT(AE21),AF19,0)</f>
        <v>6</v>
      </c>
      <c r="AG21" s="52">
        <f>IF(ISTEXT(AE21),AG19,0)</f>
        <v>1</v>
      </c>
      <c r="AH21" s="56">
        <f>IF(ISTEXT(AE21),AH19,0)</f>
        <v>-3</v>
      </c>
      <c r="AI21" s="6"/>
      <c r="AJ21" s="11" t="str">
        <f>+W12</f>
        <v>C9</v>
      </c>
      <c r="AK21" s="55">
        <f>IF(ISTEXT(AJ21),AK19,0)</f>
        <v>4</v>
      </c>
      <c r="AL21" s="52">
        <f>IF(ISTEXT(AJ21),AL19,0)</f>
        <v>1</v>
      </c>
      <c r="AM21" s="56">
        <f>IF(ISTEXT(AJ21),AM19,0)</f>
        <v>-8</v>
      </c>
      <c r="AN21" s="18"/>
      <c r="AO21" s="44">
        <v>13</v>
      </c>
      <c r="AP21" s="278" t="str">
        <f>+Inscrits!B15</f>
        <v>A13</v>
      </c>
      <c r="AQ21" s="247">
        <f t="shared" si="3"/>
        <v>1</v>
      </c>
      <c r="AR21" s="82">
        <f t="shared" si="4"/>
        <v>-11</v>
      </c>
      <c r="AS21" s="184">
        <f t="shared" si="5"/>
        <v>2</v>
      </c>
      <c r="AT21" s="250">
        <f t="shared" si="6"/>
        <v>1</v>
      </c>
      <c r="AU21" s="82">
        <f t="shared" si="7"/>
        <v>-5</v>
      </c>
      <c r="AV21" s="252">
        <f t="shared" si="8"/>
        <v>5</v>
      </c>
      <c r="AW21" s="247">
        <f t="shared" si="9"/>
        <v>1</v>
      </c>
      <c r="AX21" s="82">
        <f t="shared" si="10"/>
        <v>-3</v>
      </c>
      <c r="AY21" s="252">
        <f t="shared" si="11"/>
        <v>8</v>
      </c>
      <c r="AZ21" s="247">
        <f t="shared" si="17"/>
        <v>3</v>
      </c>
      <c r="BA21" s="82">
        <f t="shared" si="12"/>
        <v>-19</v>
      </c>
      <c r="BB21" s="252">
        <f t="shared" si="13"/>
        <v>15</v>
      </c>
      <c r="BC21" s="255">
        <f t="shared" si="14"/>
        <v>-19</v>
      </c>
      <c r="BD21" s="7">
        <f t="shared" si="15"/>
        <v>0</v>
      </c>
      <c r="BE21" s="183">
        <f t="shared" si="16"/>
        <v>48.188500210000001</v>
      </c>
      <c r="BF21" s="82">
        <f>IF(AP21="","",SMALL(BE$9:BE$62,ROWS(AZ$9:AZ21)))</f>
        <v>5.8969000900000008</v>
      </c>
      <c r="BH21" s="82" t="str">
        <f>IF(OR(AP21="",AZ21=""),"",INDEX($AP$9:$AP$63,MATCH(BF21,$BE$9:BE$62,0)))</f>
        <v>A1</v>
      </c>
      <c r="BI21" s="7">
        <f t="shared" si="0"/>
        <v>7</v>
      </c>
      <c r="BJ21" s="7">
        <f t="shared" si="1"/>
        <v>10</v>
      </c>
      <c r="BK21" s="7">
        <f t="shared" si="2"/>
        <v>31</v>
      </c>
      <c r="BL21" s="17">
        <f>IF(BF21="","",IF(AND(BI20=BI21,BJ20=BJ21,BK20=BK21),BL20,$BL$9+12))</f>
        <v>13</v>
      </c>
      <c r="BM21" s="22"/>
      <c r="BN21" s="3"/>
    </row>
    <row r="22" spans="1:66" ht="21" x14ac:dyDescent="0.3">
      <c r="A22" s="111">
        <v>13</v>
      </c>
      <c r="B22" s="330" t="s">
        <v>78</v>
      </c>
      <c r="C22" s="235">
        <f>IF($Q$5&gt;=37,13,0)</f>
        <v>13</v>
      </c>
      <c r="D22" s="335" t="s">
        <v>96</v>
      </c>
      <c r="E22" s="235">
        <f>IF($Q$5&gt;=38,13,0)</f>
        <v>13</v>
      </c>
      <c r="F22" s="333" t="s">
        <v>114</v>
      </c>
      <c r="G22" s="235">
        <f>IF($Q$5&gt;=39,13,0)</f>
        <v>13</v>
      </c>
      <c r="H22" s="18"/>
      <c r="I22" s="165">
        <v>13</v>
      </c>
      <c r="J22" s="172" t="str">
        <f>IF(ISNA(MATCH(I22,$C$10:$C$27,0)),"",INDEX(B$10:$B$27,MATCH(I22,$C$10:$C$27,0)))</f>
        <v>A13</v>
      </c>
      <c r="K22" s="117" t="str">
        <f>IF(ISNA(MATCH(I22,$E$10:$E$27,0)),"",INDEX($D$10:D$27,MATCH(I22,$E$10:$E$27,0)))</f>
        <v>B13</v>
      </c>
      <c r="L22" s="160" t="str">
        <f>IF(ISNA(MATCH(I22,$G$10:$G$27,0)),"",INDEX($F$10:F$27,MATCH(I22,$G$10:$G$27,0)))</f>
        <v>C13</v>
      </c>
      <c r="N22" s="67">
        <v>7</v>
      </c>
      <c r="O22" s="127" t="str">
        <f>IF($Q$5=36,0,IF($Q$5=37,J22,IF($Q$5=38,J22,IF($Q$5=39,J22,IF($Q$5=40,J22,IF($Q$5=41,J22,IF($Q$5=42,J22,IF($Q$5=43,J22,IF($Q$5=44,J22,IF($Q$5=45,J22,IF($Q$5=46,J22,IF($Q$5=47,J22,IF($Q$5=48,J22,IF($Q$5=49,J22,IF($Q$5=50,J22,IF($Q$5=51,J22,IF($Q$5=52,J22,IF($Q$5=53,J22,IF($Q$5=54,J22,0)))))))))))))))))))</f>
        <v>A13</v>
      </c>
      <c r="P22" s="122" t="str">
        <f>IF($Q$5=36,0,IF($Q$5=37,L20,IF($Q$5=38,L20,IF($Q$5=39,L21,IF($Q$5=40,K22,IF($Q$5=41,K22,IF($Q$5=42,K22,IF($Q$5=43,K22,IF($Q$5=44,K22,IF($Q$5=45,K22,IF($Q$5=46,K22,IF($Q$5=47,K22,IF($Q$5=48,K22,IF($Q$5=49,K22,IF($Q$5=50,K22,IF($Q$5=51,K22,IF($Q$5=52,K22,IF($Q$5=53,K22,IF($Q$5=54,K22,0)))))))))))))))))))</f>
        <v>B13</v>
      </c>
      <c r="Q22" s="128" t="str">
        <f>IF($Q$5=39,0,IF($Q$5=40,0,IF($Q$5=41,L22,IF($Q$5=42,L22,IF($Q$5=43,0,IF($Q$5=44,0,IF($Q$5=45,L22,IF($Q$5=46,L22,IF($Q$5=47,L22,IF($Q$5=48,L22,IF($Q$5=49,L22,IF($Q$5=50,L22,IF($Q$5=51,L22,IF($Q$5=52,L22,IF($Q$5=53,L22,IF($Q$5=54,L22,0))))))))))))))))</f>
        <v>C13</v>
      </c>
      <c r="R22" s="140" t="str">
        <f>IF($Q$5=33,0,IF($Q$5=34,0,IF($Q$5=35,0,IF($Q$5=36,0,IF($Q$5=37,J10,IF($Q$5=38,J10,IF($Q$5=39,J10,IF($Q$5=40,J23,IF($Q$5=41,J23,IF($Q$5=42,J23,IF($Q$5=43,J23,IF($Q$5=44,J23,IF($Q$5=45,J23,IF($Q$5=46,J23,IF($Q$5=47,J23,IF($Q$5=48,J23,IF($Q$5=49,J23,IF($Q$5=50,J23,IF($Q$5=51,J23,IF($Q$5=52,J23,IF($Q$5=53,J23,IF($Q$5=54,J23,0))))))))))))))))))))))</f>
        <v>A14</v>
      </c>
      <c r="S22" s="132" t="str">
        <f>IF($Q$5=37,L11,IF($Q$5=38,L11,IF($Q$5=39,P23,IF($Q$5=40,K11,IF($Q$5=41,K10,IF($Q$5=42,K10,IF($Q$5=43,K10,IF($Q$5=44,P10,IF($Q$5=45,P11,IF($Q$5=46,K24,IF($Q$5=47,K24,IF($Q$5=48,K24,IF($Q$5=49,K24,IF($Q$5=50,K24,IF($Q$5=51,K24,IF($Q$5=52,K24,IF($Q$5=53,K24,IF($Q$5=54,K24,0))))))))))))))))))</f>
        <v>B15</v>
      </c>
      <c r="T22" s="151" t="str">
        <f>IF($Q$5=41,L12,IF($Q$5=42,L11,IF($Q$5=43,0,IF($Q$5=44,0,IF($Q$5=45,L10,IF($Q$5=46,L10,IF($Q$5=47,L10,IF($Q$5=48,L25,IF($Q$5=49,L12,IF($Q$5=50,P27,IF($Q$5=51,L10,IF($Q$5=52,L25,IF($Q$5=53,L25,IF($Q$5=54,L25,0))))))))))))))</f>
        <v>C16</v>
      </c>
      <c r="U22" s="135" t="str">
        <f>IF($Q$5=37,O11,IF($Q$5=38,R10,IF($Q$5=39,R10,IF($Q$5=40,R23,IF($Q$5=41,R23,IF($Q$5=42,R23,IF($Q$5=43,R23,IF($Q$5=44,O24,IF($Q$5=45,R23,IF($Q$5=46,R23,IF($Q$5=47,R23,IF($Q$5=48,R23,IF($Q$5=49,R23,IF($Q$5=50,R23,IF($Q$5=51,R23,IF($Q$5=52,R23,IF($Q$5=53,R23,IF($Q$5=54,O24,0))))))))))))))))))</f>
        <v>A15</v>
      </c>
      <c r="V22" s="138" t="str">
        <f>IF($Q$5=37,T11,IF($Q$5=38,T12,IF($Q$5=39,T11,IF($Q$5=40,S11,IF($Q$5=41,S10,IF($Q$5=42,S10,IF($Q$5=43,S10,IF($Q$5=44,S25,IF($Q$5=45,S11,IF($Q$5=46,S24,IF($Q$5=47,S24,IF($Q$5=48,S24,IF($Q$5=49,S24,IF($Q$5=50,S11,IF($Q$5=51,S11,IF($Q$5=52,S24,IF($Q$5=53,S24,IF($Q$5=54,S24,0))))))))))))))))))</f>
        <v>B17</v>
      </c>
      <c r="W22" s="145" t="str">
        <f>IF($Q$5=41,T12,IF($Q$5=42,T11,IF($Q$5=43,0,IF($Q$5=44,0,IF($Q$5=45,T10,IF($Q$5=46,T10,IF($Q$5=47,T10,IF($Q$5=48,T25,IF($Q$5=49,T12,IF($Q$5=50,S27,IF($Q$5=51,T23,IF($Q$5=52,T24,IF($Q$5=53,T25,IF($Q$5=54,T25,0))))))))))))))</f>
        <v>C1</v>
      </c>
      <c r="X22" s="18"/>
      <c r="Y22" s="383"/>
      <c r="Z22" s="24"/>
      <c r="AA22" s="16" t="s">
        <v>5</v>
      </c>
      <c r="AB22" s="16"/>
      <c r="AC22" s="17"/>
      <c r="AD22" s="1"/>
      <c r="AE22" s="24"/>
      <c r="AF22" s="16" t="s">
        <v>5</v>
      </c>
      <c r="AG22" s="16"/>
      <c r="AH22" s="17"/>
      <c r="AI22" s="1"/>
      <c r="AJ22" s="24"/>
      <c r="AK22" s="16" t="s">
        <v>5</v>
      </c>
      <c r="AL22" s="16"/>
      <c r="AM22" s="17"/>
      <c r="AN22" s="18"/>
      <c r="AO22" s="44">
        <v>14</v>
      </c>
      <c r="AP22" s="278" t="str">
        <f>+Inscrits!B16</f>
        <v>A14</v>
      </c>
      <c r="AQ22" s="247">
        <f t="shared" si="3"/>
        <v>3</v>
      </c>
      <c r="AR22" s="82">
        <f t="shared" si="4"/>
        <v>11</v>
      </c>
      <c r="AS22" s="184">
        <f t="shared" si="5"/>
        <v>13</v>
      </c>
      <c r="AT22" s="250">
        <f t="shared" si="6"/>
        <v>1</v>
      </c>
      <c r="AU22" s="82">
        <f t="shared" si="7"/>
        <v>-1</v>
      </c>
      <c r="AV22" s="252">
        <f t="shared" si="8"/>
        <v>11</v>
      </c>
      <c r="AW22" s="247">
        <f t="shared" si="9"/>
        <v>3</v>
      </c>
      <c r="AX22" s="82">
        <f t="shared" si="10"/>
        <v>3</v>
      </c>
      <c r="AY22" s="252">
        <f t="shared" si="11"/>
        <v>11</v>
      </c>
      <c r="AZ22" s="247">
        <f t="shared" si="17"/>
        <v>7</v>
      </c>
      <c r="BA22" s="82">
        <f t="shared" si="12"/>
        <v>13</v>
      </c>
      <c r="BB22" s="252">
        <f t="shared" si="13"/>
        <v>35</v>
      </c>
      <c r="BC22" s="255">
        <f t="shared" si="14"/>
        <v>0</v>
      </c>
      <c r="BD22" s="7">
        <f t="shared" si="15"/>
        <v>13</v>
      </c>
      <c r="BE22" s="183">
        <f t="shared" si="16"/>
        <v>5.8665002200000007</v>
      </c>
      <c r="BF22" s="82">
        <f>IF(AP22="","",SMALL(BE$9:BE$62,ROWS(AZ$9:AZ22)))</f>
        <v>5.9064004900000002</v>
      </c>
      <c r="BH22" s="82" t="str">
        <f>IF(OR(AP22="",AZ22=""),"",INDEX($AP$9:$AP$63,MATCH(BF22,$BE$9:BE$62,0)))</f>
        <v>C5</v>
      </c>
      <c r="BI22" s="7">
        <f t="shared" si="0"/>
        <v>7</v>
      </c>
      <c r="BJ22" s="7">
        <f t="shared" si="1"/>
        <v>9</v>
      </c>
      <c r="BK22" s="7">
        <f t="shared" si="2"/>
        <v>36</v>
      </c>
      <c r="BL22" s="17">
        <f>IF(BF22="","",IF(AND(BI21=BI22,BJ21=BJ22,BK21=BK22),BL21,$BL$9+13))</f>
        <v>14</v>
      </c>
      <c r="BM22" s="22"/>
      <c r="BN22" s="3"/>
    </row>
    <row r="23" spans="1:66" ht="21.6" thickBot="1" x14ac:dyDescent="0.35">
      <c r="A23" s="111">
        <v>14</v>
      </c>
      <c r="B23" s="330" t="s">
        <v>79</v>
      </c>
      <c r="C23" s="237">
        <f>IF($Q$5&gt;=40,14,0)</f>
        <v>14</v>
      </c>
      <c r="D23" s="335" t="s">
        <v>97</v>
      </c>
      <c r="E23" s="237">
        <f>IF($Q$5&gt;=41,14,0)</f>
        <v>14</v>
      </c>
      <c r="F23" s="333" t="s">
        <v>115</v>
      </c>
      <c r="G23" s="237">
        <f>IF($Q$5&gt;=42,14,0)</f>
        <v>14</v>
      </c>
      <c r="H23" s="18"/>
      <c r="I23" s="165">
        <v>14</v>
      </c>
      <c r="J23" s="172" t="str">
        <f>IF(ISNA(MATCH(I23,$C$10:$C$27,0)),"",INDEX(B$10:$B$27,MATCH(I23,$C$10:$C$27,0)))</f>
        <v>A14</v>
      </c>
      <c r="K23" s="117" t="str">
        <f>IF(ISNA(MATCH(I23,$E$10:$E$27,0)),"",INDEX($D$10:D$27,MATCH(I23,$E$10:$E$27,0)))</f>
        <v>B14</v>
      </c>
      <c r="L23" s="160" t="str">
        <f>IF(ISNA(MATCH(I23,$G$10:$G$27,0)),"",INDEX($F$10:F$27,MATCH(I23,$G$10:$G$27,0)))</f>
        <v>C14</v>
      </c>
      <c r="N23" s="42" t="s">
        <v>5</v>
      </c>
      <c r="O23" s="121" t="str">
        <f>IF($Q$5=36,0,IF($Q$5=37,K21,IF($Q$5=38,K22,IF($Q$5=39,K22,IF($Q$5=40,J23,IF($Q$5=41,J23,IF($Q$5=42,J23,IF($Q$5=43,J23,IF($Q$5=44,J23,IF($Q$5=45,J23,IF($Q$5=46,J23,IF($Q$5=47,J23,IF($Q$5=48,J23,IF($Q$5=49,J23,IF($Q$5=50,J23,IF($Q$5=51,J23,IF($Q$5=52,J23,IF($Q$5=53,J23,IF($Q$5=54,J23,0)))))))))))))))))))</f>
        <v>A14</v>
      </c>
      <c r="P23" s="126" t="str">
        <f>IF($Q$5=36,0,IF($Q$5=37,L19,IF($Q$5=38,L21,IF($Q$5=39,L22,IF($Q$5=40,L22,IF($Q$5=41,K23,IF($Q$5=42,K23,IF($Q$5=43,L22,IF($Q$5=44,K23,IF($Q$5=45,K23,IF($Q$5=46,K2:K23,IF($Q$5=47,K23,IF($Q$5=48,K23,IF($Q$5=49,K23,IF($Q$5=50,K23,IF($Q$5=51,K23,IF($Q$5=52,K23,IF($Q$5=53,K23,IF($Q$5=54,K23,0)))))))))))))))))))</f>
        <v>B14</v>
      </c>
      <c r="Q23" s="123" t="str">
        <f>IF($Q$5=40,0,IF($Q$5=41,0,IF($Q$5=42,L23,IF($Q$5=43,0,IF($Q$5=44,0,IF($Q$5=45,0,IF($Q$5=46,L23,IF($Q$5=47,L23,IF($Q$5=48,L23,IF($Q$5=49,0,IF($Q$5=50,L23,IF($Q$5=51,L23,IF($Q$5=52,L23,IF($Q$5=53,L23,IF($Q$5=54,L23,0)))))))))))))))</f>
        <v>C14</v>
      </c>
      <c r="R23" s="142" t="str">
        <f>IF($Q$5=37,O23,IF($Q$5=38,O23,IF($Q$5=39,O23,IF($Q$5=40,J10,IF($Q$5=41,J10,IF($Q$5=42,J10,IF($Q$5=43,J24,IF($Q$5=44,J24,IF($Q$5=45,J24,IF($Q$5=46,J24,IF($Q$5=47,J24,IF($Q$5=48,J24,IF($Q$5=49,J24,IF($Q$5=50,J24,IF($Q$5=51,J24,IF($Q$5=52,J24,IF($Q$5=53,J24,IF($Q$5=54,J24,0))))))))))))))))))</f>
        <v>A15</v>
      </c>
      <c r="S23" s="143" t="str">
        <f>IF($Q$5=37,L12,IF($Q$5=38,L12,IF($Q$5=39,P22,IF($Q$5=40,L12,IF($Q$5=41,K11,IF($Q$5=42,K11,IF($Q$5=43,L11,IF($Q$5=44,L11,IF($Q$5=45,K10,IF($Q$5=46,K10,IF($Q$5=47,K25,IF($Q$5=48,K25,IF($Q$5=49,P11,IF($Q$5=50,K25,IF($Q$5=51,K25,IF($Q$5=52,K25,IF($Q$5=53,K25,IF($Q$5=54,K25,0))))))))))))))))))</f>
        <v>B16</v>
      </c>
      <c r="T23" s="153" t="str">
        <f>IF($Q$5=42,L12,IF($Q$5=46,L11,IF($Q$5=47,L11,IF($Q$5=48,L10,IF($Q$5=49,0,IF($Q$5=50,L10,IF($Q$5=51,L11,IF($Q$5=52,L10,IF($Q$5=53,L26,IF($Q$5=54,L26,0))))))))))</f>
        <v>C17</v>
      </c>
      <c r="U23" s="157" t="str">
        <f>IF($Q$5=32,0,IF($Q$5=33,0,IF($Q$5=34,0,IF($Q$5=35,0,IF($Q$5=36,0,IF($Q$5=37,R23,IF($Q$5=38,R23,IF($Q$5=39,R23,IF($Q$5=40,R10,IF($Q$5=41,R10,IF($Q$5=42,R10,IF($Q$5=43,R24,IF($Q$5=44,R24,IF($Q$5=45,R24,IF($Q$5=46,R24,IF($Q$5=47,R24,IF($Q$5=48,R24,IF($Q$5=49,R24,IF($Q$5=50,R24,IF($Q$5=51,R24,IF($Q$5=52,R24,IF($Q$5=53,R24,IF($Q$5=54,O25,0)))))))))))))))))))))))</f>
        <v>A16</v>
      </c>
      <c r="V23" s="148" t="str">
        <f>IF($Q$5=37,T12,IF($Q$5=38,T11,IF($Q$5=39,T12,IF($Q$5=40,T12,IF($Q$5=41,S11,IF($Q$5=42,S11,IF($Q$5=43,T12,IF($Q$5=44,S10,IF($Q$5=45,S10,IF($Q$5=46,S10,IF($Q$5=47,S25,IF($Q$5=48,S25,IF($Q$5=49,S11,IF($Q$5=50,S24,IF($Q$5=51,S24,IF($Q$5=52,S25,IF($Q$5=53,S25,IF($Q$5=54,S25,0))))))))))))))))))</f>
        <v>B18</v>
      </c>
      <c r="W23" s="149" t="str">
        <f>IF($Q$5=42,T12,IF($Q$5=43,0,IF($Q$5=44,0,IF($Q$5=45,0,IF($Q$5=46,T11,IF($Q$5=47,T11,IF($Q$5=48,T10,IF($Q$5=49,0,IF($Q$5=50,T10,IF($Q$5=51,T24,IF($Q$5=52,T25,IF($Q$5=53,T26,IF($Q$5=54,T26,0)))))))))))))</f>
        <v>C2</v>
      </c>
      <c r="X23" s="18"/>
      <c r="Y23" s="383"/>
      <c r="Z23" s="11" t="str">
        <f>+O13</f>
        <v>A4</v>
      </c>
      <c r="AA23" s="27">
        <v>11</v>
      </c>
      <c r="AB23" s="23">
        <f>IF(AA19+AA23=0,0,IF(AA19=AA23,2,IF(AA19&lt;AA23,3,1)))</f>
        <v>3</v>
      </c>
      <c r="AC23" s="12">
        <f>AA23-AA19</f>
        <v>7</v>
      </c>
      <c r="AD23" s="6"/>
      <c r="AE23" s="11" t="str">
        <f>+R13</f>
        <v>A5</v>
      </c>
      <c r="AF23" s="108">
        <v>9</v>
      </c>
      <c r="AG23" s="23">
        <f>IF(AF19+AF23=0,0,IF(AF19=AF23,2,IF(AF19&lt;AF23,3,1)))</f>
        <v>3</v>
      </c>
      <c r="AH23" s="12">
        <f>AF23-AF19</f>
        <v>3</v>
      </c>
      <c r="AI23" s="6"/>
      <c r="AJ23" s="11" t="str">
        <f>+U13</f>
        <v>A6</v>
      </c>
      <c r="AK23" s="29">
        <v>12</v>
      </c>
      <c r="AL23" s="23">
        <f>IF(AK19+AK23=0,0,IF(AK19=AK23,2,IF(AK19&lt;AK23,3,1)))</f>
        <v>3</v>
      </c>
      <c r="AM23" s="12">
        <f>AK23-AK19</f>
        <v>8</v>
      </c>
      <c r="AN23" s="18"/>
      <c r="AO23" s="44">
        <v>15</v>
      </c>
      <c r="AP23" s="278" t="str">
        <f>+Inscrits!B17</f>
        <v>A15</v>
      </c>
      <c r="AQ23" s="247">
        <f t="shared" si="3"/>
        <v>1</v>
      </c>
      <c r="AR23" s="82">
        <f t="shared" si="4"/>
        <v>-4</v>
      </c>
      <c r="AS23" s="184">
        <f t="shared" si="5"/>
        <v>8</v>
      </c>
      <c r="AT23" s="250">
        <f t="shared" si="6"/>
        <v>3</v>
      </c>
      <c r="AU23" s="82">
        <f t="shared" si="7"/>
        <v>1</v>
      </c>
      <c r="AV23" s="252">
        <f t="shared" si="8"/>
        <v>12</v>
      </c>
      <c r="AW23" s="247">
        <f t="shared" si="9"/>
        <v>3</v>
      </c>
      <c r="AX23" s="82">
        <f t="shared" si="10"/>
        <v>3</v>
      </c>
      <c r="AY23" s="252">
        <f t="shared" si="11"/>
        <v>10</v>
      </c>
      <c r="AZ23" s="247">
        <f t="shared" si="17"/>
        <v>7</v>
      </c>
      <c r="BA23" s="82">
        <f t="shared" si="12"/>
        <v>0</v>
      </c>
      <c r="BB23" s="252">
        <f t="shared" si="13"/>
        <v>30</v>
      </c>
      <c r="BC23" s="255">
        <f t="shared" si="14"/>
        <v>0</v>
      </c>
      <c r="BD23" s="7">
        <f t="shared" si="15"/>
        <v>0</v>
      </c>
      <c r="BE23" s="183">
        <f t="shared" si="16"/>
        <v>5.9970002300000003</v>
      </c>
      <c r="BF23" s="82">
        <f>IF(AP23="","",SMALL(BE$9:BE$62,ROWS(AZ$9:AZ23)))</f>
        <v>5.9168005500000005</v>
      </c>
      <c r="BH23" s="82" t="str">
        <f>IF(OR(AP23="",AZ23=""),"",INDEX($AP$9:$AP$63,MATCH(BF23,$BE$9:BE$62,0)))</f>
        <v>C11</v>
      </c>
      <c r="BI23" s="7">
        <f t="shared" si="0"/>
        <v>7</v>
      </c>
      <c r="BJ23" s="7">
        <f t="shared" si="1"/>
        <v>8</v>
      </c>
      <c r="BK23" s="7">
        <f t="shared" si="2"/>
        <v>32</v>
      </c>
      <c r="BL23" s="17">
        <f>IF(BF23="","",IF(AND(BI22=BI23,BJ22=BJ23,BK22=BK23),BL22,$BL$9+14))</f>
        <v>15</v>
      </c>
      <c r="BM23" s="22"/>
      <c r="BN23" s="3"/>
    </row>
    <row r="24" spans="1:66" ht="21.6" thickBot="1" x14ac:dyDescent="0.35">
      <c r="A24" s="111">
        <v>15</v>
      </c>
      <c r="B24" s="330" t="s">
        <v>80</v>
      </c>
      <c r="C24" s="237">
        <f>IF($Q$5&gt;=43,15,0)</f>
        <v>15</v>
      </c>
      <c r="D24" s="335" t="s">
        <v>98</v>
      </c>
      <c r="E24" s="237">
        <f>IF($Q$5&gt;=44,15,0)</f>
        <v>15</v>
      </c>
      <c r="F24" s="333" t="s">
        <v>116</v>
      </c>
      <c r="G24" s="237">
        <f>IF($Q$5&gt;=45,15,0)</f>
        <v>15</v>
      </c>
      <c r="H24" s="18"/>
      <c r="I24" s="165">
        <v>15</v>
      </c>
      <c r="J24" s="172" t="str">
        <f>IF(ISNA(MATCH(I24,$C$10:$C$27,0)),"",INDEX(B$10:$B$27,MATCH(I24,$C$10:$C$27,0)))</f>
        <v>A15</v>
      </c>
      <c r="K24" s="117" t="str">
        <f>IF(ISNA(MATCH(I24,$E$10:$E$27,0)),"",INDEX($D$10:D$27,MATCH(I24,$E$10:$E$27,0)))</f>
        <v>B15</v>
      </c>
      <c r="L24" s="160" t="str">
        <f>IF(ISNA(MATCH(I24,$G$10:$G$27,0)),"",INDEX($F$10:F$27,MATCH(I24,$G$10:$G$27,0)))</f>
        <v>C15</v>
      </c>
      <c r="N24" s="67">
        <v>8</v>
      </c>
      <c r="O24" s="127" t="str">
        <f>IF($Q$5=43,J24,IF($Q$5=44,J24,IF($Q$5=45,J24,IF($Q$5=46,J24,IF($Q$5=47,J24,IF($Q$5=48,J24,IF($Q$5=49,J24,IF($Q$5=50,J24,IF($Q$5=51,J24,IF($Q$5=52,J24,IF($Q$5=53,J24,IF($Q$5=54,J24,0))))))))))))</f>
        <v>A15</v>
      </c>
      <c r="P24" s="122" t="str">
        <f>IF($Q$5=43,L23,IF($Q$5=44,L22,IF($Q$5=45,L23,IF($Q$5=46,K24,IF($Q$5=47,K24,IF($Q$5=48,K24,IF($Q$5=49,K24,IF($Q$5=50,K24,IF($Q$5=51,K24,IF($Q$5=52,K24,IF($Q$5=53,K24,IF($Q$5=54,K24,0))))))))))))</f>
        <v>B15</v>
      </c>
      <c r="Q24" s="128" t="str">
        <f>IF($Q$5=43,0,IF($Q$5=44,0,IF($Q$5=45,0,IF($Q$5=46,0,IF($Q$5=47,L24,IF($Q$5=48,L24,IF($Q$5=49,0,IF($Q$5=50,0,IF($Q$5=51,L24,IF($Q$5=52,L24,IF($Q$5=53,L24,IF($Q$5=54,L24,0))))))))))))</f>
        <v>C15</v>
      </c>
      <c r="R24" s="140" t="str">
        <f>IF($Q$5=43,J10,IF($Q$5=44,J10,IF($Q$5=45,J10,IF($Q$5=46,J25,IF($Q$5=47,J25,IF($Q$5=48,J25,IF($Q$5=49,J25,IF($Q$5=50,J25,IF($Q$5=51,J25,IF($Q$5=52,J25,IF($Q$5=53,J25,IF($Q$5=54,J25,0))))))))))))</f>
        <v>A16</v>
      </c>
      <c r="S24" s="132" t="str">
        <f>IF($Q$5=43,L12,IF($Q$5=44,L12,IF($Q$5=45,L11,IF($Q$5=46,K11,IF($Q$5=47,K10,IF($Q$5=48,K10,IF($Q$5=49,K10,IF($Q$5=50,K10,IF($Q$5=51,K10,IF($Q$5=52,K26,IF($Q$5=53,K26,IF($Q$5=54,K26,0))))))))))))</f>
        <v>B17</v>
      </c>
      <c r="T24" s="151" t="str">
        <f>IF($Q$5=47,L12,IF($Q$5=48,L11,IF($Q$5=49,0,IF($Q$5=50,0,IF($Q$5=51,L12,IF($Q$5=52,L11,IF($Q$5=53,L10,IF($Q$5=54,L27,0))))))))</f>
        <v>C18</v>
      </c>
      <c r="U24" s="140" t="str">
        <f>IF($Q$5=42,0,IF($Q$5=43,R10,IF($Q$5=44,R10,IF($Q$5=45,R10,IF($Q$5=46,R25,IF($Q$5=47,R25,IF($Q$5=48,O10,IF($Q$5=49,R25,IF($Q$5=50,R25,IF($Q$5=51,R25,IF($Q$5=52,R25,IF($Q$5=53,O26,IF($Q$5=54,O26,0)))))))))))))</f>
        <v>A17</v>
      </c>
      <c r="V24" s="138" t="str">
        <f>IF($Q$5=43,T10,IF($Q$5=44,T11,IF($Q$5=45,T11,IF($Q$5=46,S11,IF($Q$5=47,S10,IF($Q$5=48,S10,IF($Q$5=49,S10,IF($Q$5=50,S25,IF($Q$5=51,S25,IF($Q$5=52,S26,IF($Q$5=53,S26,IF($Q$5=54,S26,0))))))))))))</f>
        <v>B1</v>
      </c>
      <c r="W24" s="145" t="str">
        <f>IF($Q$5=47,T12,IF($Q$5=48,T11,IF($Q$5=49,0,IF($Q$5=50,0,IF($Q$5=51,T10,IF($Q$5=52,T10,IF($Q$5=53,T10,IF($Q$5=54,T27,0))))))))</f>
        <v>C3</v>
      </c>
      <c r="X24" s="18"/>
      <c r="Y24" s="383"/>
      <c r="Z24" s="11" t="str">
        <f>+P13</f>
        <v>B4</v>
      </c>
      <c r="AA24" s="57">
        <f>IF(ISTEXT(Z24),AA23,0)</f>
        <v>11</v>
      </c>
      <c r="AB24" s="14">
        <f>IF(ISTEXT(Z24),AB23,0)</f>
        <v>3</v>
      </c>
      <c r="AC24" s="15">
        <f>IF(ISTEXT(Z24),AC23,0)</f>
        <v>7</v>
      </c>
      <c r="AD24" s="6"/>
      <c r="AE24" s="11" t="str">
        <f>+S13</f>
        <v>B6</v>
      </c>
      <c r="AF24" s="14">
        <f>IF(ISTEXT(AE24),AF23,0)</f>
        <v>9</v>
      </c>
      <c r="AG24" s="14">
        <f>IF(ISTEXT(AE24),AG23,0)</f>
        <v>3</v>
      </c>
      <c r="AH24" s="15">
        <f>IF(ISTEXT(AE24),AH23,0)</f>
        <v>3</v>
      </c>
      <c r="AI24" s="6"/>
      <c r="AJ24" s="11" t="str">
        <f>+V13</f>
        <v>B8</v>
      </c>
      <c r="AK24" s="14">
        <f>IF(ISTEXT(AJ24),AK23,0)</f>
        <v>12</v>
      </c>
      <c r="AL24" s="14">
        <f>IF(ISTEXT(AJ24),AL23,0)</f>
        <v>3</v>
      </c>
      <c r="AM24" s="15">
        <f>IF(ISTEXT(AJ24),AM23,0)</f>
        <v>8</v>
      </c>
      <c r="AN24" s="18"/>
      <c r="AO24" s="44">
        <v>16</v>
      </c>
      <c r="AP24" s="278" t="str">
        <f>+Inscrits!B18</f>
        <v>A16</v>
      </c>
      <c r="AQ24" s="247">
        <f t="shared" si="3"/>
        <v>3</v>
      </c>
      <c r="AR24" s="82">
        <f t="shared" si="4"/>
        <v>4</v>
      </c>
      <c r="AS24" s="184">
        <f t="shared" si="5"/>
        <v>12</v>
      </c>
      <c r="AT24" s="250">
        <f t="shared" si="6"/>
        <v>3</v>
      </c>
      <c r="AU24" s="82">
        <f t="shared" si="7"/>
        <v>1</v>
      </c>
      <c r="AV24" s="252">
        <f t="shared" si="8"/>
        <v>10</v>
      </c>
      <c r="AW24" s="247">
        <f t="shared" si="9"/>
        <v>1</v>
      </c>
      <c r="AX24" s="82">
        <f t="shared" si="10"/>
        <v>-3</v>
      </c>
      <c r="AY24" s="252">
        <f t="shared" si="11"/>
        <v>7</v>
      </c>
      <c r="AZ24" s="247">
        <f t="shared" si="17"/>
        <v>7</v>
      </c>
      <c r="BA24" s="82">
        <f t="shared" si="12"/>
        <v>2</v>
      </c>
      <c r="BB24" s="252">
        <f t="shared" si="13"/>
        <v>29</v>
      </c>
      <c r="BC24" s="255">
        <f t="shared" si="14"/>
        <v>0</v>
      </c>
      <c r="BD24" s="7">
        <f t="shared" si="15"/>
        <v>2</v>
      </c>
      <c r="BE24" s="183">
        <f t="shared" si="16"/>
        <v>5.9771002400000004</v>
      </c>
      <c r="BF24" s="82">
        <f>IF(AP24="","",SMALL(BE$9:BE$62,ROWS(AZ$9:AZ24)))</f>
        <v>5.9373003100000004</v>
      </c>
      <c r="BH24" s="82" t="str">
        <f>IF(OR(AP24="",AZ24=""),"",INDEX($AP$9:$AP$63,MATCH(BF24,$BE$9:BE$62,0)))</f>
        <v>B5</v>
      </c>
      <c r="BI24" s="7">
        <f t="shared" si="0"/>
        <v>7</v>
      </c>
      <c r="BJ24" s="7">
        <f t="shared" si="1"/>
        <v>6</v>
      </c>
      <c r="BK24" s="7">
        <f t="shared" si="2"/>
        <v>27</v>
      </c>
      <c r="BL24" s="17">
        <f>IF(BF24="","",IF(AND(BI23=BI24,BJ23=BJ24,BK23=BK24),BL23,$BL$9+15))</f>
        <v>16</v>
      </c>
      <c r="BM24" s="22"/>
      <c r="BN24" s="3"/>
    </row>
    <row r="25" spans="1:66" ht="21.6" thickBot="1" x14ac:dyDescent="0.35">
      <c r="A25" s="111">
        <v>16</v>
      </c>
      <c r="B25" s="330" t="s">
        <v>81</v>
      </c>
      <c r="C25" s="237">
        <f>IF($Q$5&gt;=46,16,0)</f>
        <v>16</v>
      </c>
      <c r="D25" s="335" t="s">
        <v>99</v>
      </c>
      <c r="E25" s="237">
        <f>IF($Q$5&gt;=47,16,0)</f>
        <v>16</v>
      </c>
      <c r="F25" s="333" t="s">
        <v>117</v>
      </c>
      <c r="G25" s="237">
        <f>IF($Q$5&gt;=48,16,0)</f>
        <v>16</v>
      </c>
      <c r="H25" s="18"/>
      <c r="I25" s="165">
        <v>16</v>
      </c>
      <c r="J25" s="172" t="str">
        <f>IF(ISNA(MATCH(I25,$C$10:$C$27,0)),"",INDEX(B$10:$B$27,MATCH(I25,$C$10:$C$27,0)))</f>
        <v>A16</v>
      </c>
      <c r="K25" s="117" t="str">
        <f>IF(ISNA(MATCH(I25,$E$10:$E$27,0)),"",INDEX($D$10:D$27,MATCH(I25,$E$10:$E$27,0)))</f>
        <v>B16</v>
      </c>
      <c r="L25" s="160" t="str">
        <f>IF(ISNA(MATCH(I25,$G$10:$G$27,0)),"",INDEX($F$10:F$27,MATCH(I25,$G$10:$G$27,0)))</f>
        <v>C16</v>
      </c>
      <c r="N25" s="42" t="s">
        <v>5</v>
      </c>
      <c r="O25" s="121" t="str">
        <f>IF($Q$5=43,K23,IF($Q$5=44,K24,IF($Q$5=45,K24,IF($Q$5=46,J25,IF($Q$5=47,J25,IF($Q$5=48,J25,IF($Q$5=49,J25,IF($Q$5=50,J25,IF($Q$5=51,J25,IF($Q$5=52,J25,IF($Q$5=53,J25,IF($Q$5=54,J25,0))))))))))))</f>
        <v>A16</v>
      </c>
      <c r="P25" s="126" t="str">
        <f>IF($Q$5=43,L21,IF($Q$5=44,L23,IF($Q$5=45,L24,IF($Q$5=46,L24,IF($Q$5=47,K25,IF($Q$5=48,K25,IF($Q$5=49,L25,IF($Q$5=50,K25,IF($Q$5=51,K25,IF($Q$5=52,K25,IF($Q$5=53,K25,IF($Q$5=54,K25,0))))))))))))</f>
        <v>B16</v>
      </c>
      <c r="Q25" s="123" t="str">
        <f>IF($Q$5=48,L25,IF($Q$5=49,0,IF($Q$5=50,0,IF($Q$5=51,0,IF($Q$5=52,L25,IF($Q$5=53,L25,IF($Q$5=54,L25,0)))))))</f>
        <v>C16</v>
      </c>
      <c r="R25" s="142" t="str">
        <f>IF($Q$5=43,O25,IF($Q$5=44,O25,IF($Q$5=45,O25,IF($Q$5=46,J10,IF($Q$5=47,J10,IF($Q$5=48,J10,IF($Q$5=49,J26,IF($Q$5=50,J26,IF($Q$5=51,J26,IF($Q$5=52,J26,IF($Q$5=53,J26,IF($Q$5=54,J26,0))))))))))))</f>
        <v>A17</v>
      </c>
      <c r="S25" s="143" t="str">
        <f>IF($Q$5=43,L10,IF($Q$5=44,K11,IF($Q$5=45,L12,IF($Q$5=46,L12,IF($Q$5=47,K11,IF($Q$5=48,K11,IF($Q$5=49,P27,IF($Q$5=50,K11,IF($Q$5=51,K11,IF($Q$5=52,K10,IF($Q$5=53,K27,IF($Q$5=54,K27,0))))))))))))</f>
        <v>B18</v>
      </c>
      <c r="T25" s="153" t="str">
        <f>IF($Q$5=48,L12,IF($Q$5=49,0,IF($Q$5=50,0,IF($Q$5=51,0,IF($Q$5=52,L12,IF($Q$5=53,L11,IF($Q$5=54,L10,0)))))))</f>
        <v>C1</v>
      </c>
      <c r="U25" s="156" t="str">
        <f>IF($Q$5=43,R25,IF($Q$5=44,R25,IF($Q$5=45,R25,IF($Q$5=46,R10,IF($Q$5=47,R10,IF($Q$5=48,R10,IF($Q$5=49,R26,IF($Q$5=50,R26,IF($Q$5=51,R26,IF($Q$5=52,O27,IF($Q$5=53,R26,IF($Q$5=54,O27,0))))))))))))</f>
        <v>A18</v>
      </c>
      <c r="V25" s="148" t="str">
        <f>IF($Q$5=43,T11,IF($Q$5=44,T12,IF($Q$5=45,T12,IF($Q$5=46,T12,IF($Q$5=47,S11,IF($Q$5=48,S11,IF($Q$5=49,S25,IF($Q$5=50,S10,IF($Q$5=51,S10,IF($Q$5=52,S10,IF($Q$5=53,S27,IF($Q$5=54,S27,0))))))))))))</f>
        <v>B2</v>
      </c>
      <c r="W25" s="149" t="str">
        <f>IF($Q$5=48,T12,IF($Q$5=49,0,IF($Q$5=50,0,IF($Q$5=51,0,IF($Q$5=52,T11,IF($Q$5=53,T11,IF($Q$5=54,T10,0)))))))</f>
        <v>C4</v>
      </c>
      <c r="X25" s="18"/>
      <c r="Y25" s="384"/>
      <c r="Z25" s="13" t="str">
        <f>+Q13</f>
        <v>C4</v>
      </c>
      <c r="AA25" s="57">
        <f>IF(ISTEXT(Z25),AA23,0)</f>
        <v>11</v>
      </c>
      <c r="AB25" s="14">
        <f>IF(ISTEXT(Z25),AB23,0)</f>
        <v>3</v>
      </c>
      <c r="AC25" s="15">
        <f>IF(ISTEXT(Z25),AC23,0)</f>
        <v>7</v>
      </c>
      <c r="AD25" s="6"/>
      <c r="AE25" s="13" t="str">
        <f>+T13</f>
        <v>C7</v>
      </c>
      <c r="AF25" s="14">
        <f>IF(ISTEXT(AE25),AF23,0)</f>
        <v>9</v>
      </c>
      <c r="AG25" s="14">
        <f>IF(ISTEXT(AE25),AG23,0)</f>
        <v>3</v>
      </c>
      <c r="AH25" s="15">
        <f>IF(ISTEXT(AE25),AH23,0)</f>
        <v>3</v>
      </c>
      <c r="AI25" s="6"/>
      <c r="AJ25" s="13" t="str">
        <f>+W13</f>
        <v>C10</v>
      </c>
      <c r="AK25" s="14">
        <f>IF(ISTEXT(AJ25),AK23,0)</f>
        <v>12</v>
      </c>
      <c r="AL25" s="14">
        <f>IF(ISTEXT(AJ25),AL23,0)</f>
        <v>3</v>
      </c>
      <c r="AM25" s="15">
        <f>IF(ISTEXT(AJ25),AM23,0)</f>
        <v>8</v>
      </c>
      <c r="AN25" s="18"/>
      <c r="AO25" s="44">
        <v>17</v>
      </c>
      <c r="AP25" s="278" t="str">
        <f>+Inscrits!B19</f>
        <v>A17</v>
      </c>
      <c r="AQ25" s="247">
        <f t="shared" si="3"/>
        <v>3</v>
      </c>
      <c r="AR25" s="82">
        <f t="shared" si="4"/>
        <v>6</v>
      </c>
      <c r="AS25" s="184">
        <f t="shared" si="5"/>
        <v>11</v>
      </c>
      <c r="AT25" s="250">
        <f t="shared" si="6"/>
        <v>1</v>
      </c>
      <c r="AU25" s="82">
        <f t="shared" si="7"/>
        <v>-1</v>
      </c>
      <c r="AV25" s="252">
        <f t="shared" si="8"/>
        <v>9</v>
      </c>
      <c r="AW25" s="247">
        <f t="shared" si="9"/>
        <v>3</v>
      </c>
      <c r="AX25" s="82">
        <f t="shared" si="10"/>
        <v>12</v>
      </c>
      <c r="AY25" s="252">
        <f t="shared" si="11"/>
        <v>13</v>
      </c>
      <c r="AZ25" s="247">
        <f t="shared" si="17"/>
        <v>7</v>
      </c>
      <c r="BA25" s="82">
        <f t="shared" si="12"/>
        <v>17</v>
      </c>
      <c r="BB25" s="252">
        <f t="shared" si="13"/>
        <v>33</v>
      </c>
      <c r="BC25" s="255">
        <f t="shared" si="14"/>
        <v>0</v>
      </c>
      <c r="BD25" s="7">
        <f t="shared" si="15"/>
        <v>17</v>
      </c>
      <c r="BE25" s="183">
        <f t="shared" si="16"/>
        <v>5.82670025</v>
      </c>
      <c r="BF25" s="82">
        <f>IF(AP25="","",SMALL(BE$9:BE$62,ROWS(AZ$9:AZ25)))</f>
        <v>5.94730019</v>
      </c>
      <c r="BH25" s="82" t="str">
        <f>IF(OR(AP25="",AZ25=""),"",INDEX($AP$9:$AP$63,MATCH(BF25,$BE$9:BE$62,0)))</f>
        <v>A11</v>
      </c>
      <c r="BI25" s="7">
        <f t="shared" si="0"/>
        <v>7</v>
      </c>
      <c r="BJ25" s="7">
        <f t="shared" si="1"/>
        <v>5</v>
      </c>
      <c r="BK25" s="7">
        <f t="shared" si="2"/>
        <v>27</v>
      </c>
      <c r="BL25" s="17">
        <f>IF(BF25="","",IF(AND(BI24=BI25,BJ24=BJ25,BK24=BK25),BL24,$BL$9+16))</f>
        <v>17</v>
      </c>
      <c r="BM25" s="22"/>
      <c r="BN25" s="3"/>
    </row>
    <row r="26" spans="1:66" ht="21.6" thickBot="1" x14ac:dyDescent="0.35">
      <c r="A26" s="111">
        <v>17</v>
      </c>
      <c r="B26" s="330" t="s">
        <v>82</v>
      </c>
      <c r="C26" s="235">
        <f>IF($Q$5&gt;=49,17,0)</f>
        <v>17</v>
      </c>
      <c r="D26" s="335" t="s">
        <v>100</v>
      </c>
      <c r="E26" s="235">
        <f>IF($Q$5&gt;=50,17,0)</f>
        <v>17</v>
      </c>
      <c r="F26" s="333" t="s">
        <v>118</v>
      </c>
      <c r="G26" s="235">
        <f>IF($Q$5&gt;=51,17,0)</f>
        <v>17</v>
      </c>
      <c r="H26" s="114"/>
      <c r="I26" s="168">
        <v>17</v>
      </c>
      <c r="J26" s="173" t="str">
        <f>IF(ISNA(MATCH(I26,$C$10:$C$27,0)),"",INDEX(B$10:$B$27,MATCH(I26,$C$10:$C$27,0)))</f>
        <v>A17</v>
      </c>
      <c r="K26" s="169" t="str">
        <f>IF(ISNA(MATCH(I26,$E$10:$E$27,0)),"",INDEX($D$10:D$27,MATCH(I26,$E$10:$E$27,0)))</f>
        <v>B17</v>
      </c>
      <c r="L26" s="174" t="str">
        <f>IF(ISNA(MATCH(I26,$G$10:$G$27,0)),"",INDEX($F$10:F$27,MATCH(I26,$G$10:$G$27,0)))</f>
        <v>C17</v>
      </c>
      <c r="N26" s="67">
        <v>9</v>
      </c>
      <c r="O26" s="127" t="str">
        <f>IF($Q$5=49,J26,IF($Q$5=50,J26,IF($Q$5=51,J26,IF($Q$5=52,J26,IF($Q$5=53,J26,IF($Q$5=54,J26,0))))))</f>
        <v>A17</v>
      </c>
      <c r="P26" s="122" t="str">
        <f>IF($Q$5=49,L24,IF($Q$5=50,L24,IF($Q$5=51,L25,IF($Q$5=52,K26,IF($Q$5=53,K26,IF($Q$5=54,K26,0))))))</f>
        <v>B17</v>
      </c>
      <c r="Q26" s="128" t="str">
        <f>IF($Q$5=51,0,IF($Q$5=52,0,IF($Q$5=53,L26,IF($Q$5=54,L26,0))))</f>
        <v>C17</v>
      </c>
      <c r="R26" s="140" t="str">
        <f>IF($Q$5=43,0,IF($Q$5=44,0,IF($Q$5=45,0,IF($Q$5=46,0,IF($Q$5=47,0,IF($Q$5=48,0,IF($Q$5=49,O10,IF($Q$5=50,O10,IF($Q$5=51,O10,IF($Q$5=52,O27,IF($Q$5=53,O27,IF($Q$5=54,O27,0))))))))))))</f>
        <v>A18</v>
      </c>
      <c r="S26" s="132" t="str">
        <f>IF($Q$5=43,0,IF($Q$5=44,0,IF($Q$5=45,0,IF($Q$5=46,0,IF($Q$5=47,0,IF($Q$5=48,0,IF($Q$5=49,P26,IF($Q$5=50,Q11,IF($Q$5=51,P27,IF($Q$5=52,P11,IF($Q$5=53,P10,IF($Q$5=54,P10,0))))))))))))</f>
        <v>B1</v>
      </c>
      <c r="T26" s="177" t="str">
        <f>IF($Q$5=53,Q12,IF($Q$5=54,Q11,0))</f>
        <v>C2</v>
      </c>
      <c r="U26" s="180" t="str">
        <f>IF($Q$5=43,0,IF($Q$5=44,0,IF($Q$5=45,0,IF($Q$5=46,0,IF($Q$5=47,0,IF($Q$5=48,0,IF($Q$5=49,R10,IF($Q$5=50,R10,IF($Q$5=51,R10,IF($Q$5=52,R27,IF($Q$5=53,R27,IF($Q$5=54,R27,0))))))))))))</f>
        <v>A1</v>
      </c>
      <c r="V26" s="138" t="str">
        <f>IF($Q$5=43,0,IF($Q$5=44,0,IF($Q$5=45,0,IF($Q$5=46,0,IF($Q$5=47,0,IF($Q$5=48,0,IF($Q$5=49,S27,IF($Q$5=50,T11,IF($Q$5=51,T11,IF($Q$5=52,S11,IF($Q$5=53,S10,IF($Q$5=54,S10,0))))))))))))</f>
        <v>B3</v>
      </c>
      <c r="W26" s="145" t="str">
        <f>IF($Q$5=43,0,IF($Q$5=44,0,IF($Q$5=45,0,IF($Q$5=46,0,IF($Q$5=47,0,IF($Q$5=48,0,IF($Q$5=49,0,IF($Q$5=50,0,IF($Q$5=51,0,IF($Q$5=52,0,IF($Q$5=53,T12,IF($Q$5=54,T11,0))))))))))))</f>
        <v>C5</v>
      </c>
      <c r="X26" s="18"/>
      <c r="Y26" s="20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18"/>
      <c r="AO26" s="44">
        <v>18</v>
      </c>
      <c r="AP26" s="278" t="str">
        <f>+Inscrits!B20</f>
        <v>A18</v>
      </c>
      <c r="AQ26" s="247">
        <f t="shared" si="3"/>
        <v>1</v>
      </c>
      <c r="AR26" s="82">
        <f t="shared" si="4"/>
        <v>-6</v>
      </c>
      <c r="AS26" s="184">
        <f t="shared" si="5"/>
        <v>5</v>
      </c>
      <c r="AT26" s="250">
        <f t="shared" si="6"/>
        <v>1</v>
      </c>
      <c r="AU26" s="82">
        <f t="shared" si="7"/>
        <v>-8</v>
      </c>
      <c r="AV26" s="252">
        <f t="shared" si="8"/>
        <v>5</v>
      </c>
      <c r="AW26" s="247">
        <f t="shared" si="9"/>
        <v>1</v>
      </c>
      <c r="AX26" s="82">
        <f t="shared" si="10"/>
        <v>-12</v>
      </c>
      <c r="AY26" s="252">
        <f t="shared" si="11"/>
        <v>1</v>
      </c>
      <c r="AZ26" s="247">
        <f t="shared" si="17"/>
        <v>3</v>
      </c>
      <c r="BA26" s="82">
        <f t="shared" si="12"/>
        <v>-26</v>
      </c>
      <c r="BB26" s="252">
        <f t="shared" si="13"/>
        <v>11</v>
      </c>
      <c r="BC26" s="255">
        <f t="shared" si="14"/>
        <v>-26</v>
      </c>
      <c r="BD26" s="7">
        <f t="shared" si="15"/>
        <v>0</v>
      </c>
      <c r="BE26" s="183">
        <f t="shared" si="16"/>
        <v>48.258900259999997</v>
      </c>
      <c r="BF26" s="82">
        <f>IF(AP26="","",SMALL(BE$9:BE$62,ROWS(AZ$9:AZ26)))</f>
        <v>5.9569006099999999</v>
      </c>
      <c r="BH26" s="82" t="str">
        <f>IF(OR(AP26="",AZ26=""),"",INDEX($AP$9:$AP$63,MATCH(BF26,$BE$9:BE$62,0)))</f>
        <v>C17</v>
      </c>
      <c r="BI26" s="7">
        <f t="shared" si="0"/>
        <v>7</v>
      </c>
      <c r="BJ26" s="7">
        <f t="shared" si="1"/>
        <v>4</v>
      </c>
      <c r="BK26" s="7">
        <f t="shared" si="2"/>
        <v>31</v>
      </c>
      <c r="BL26" s="17">
        <f>IF(BF26="","",IF(AND(BI25=BI26,BJ25=BJ26,BK25=BK26),BL25,$BL$9+17))</f>
        <v>18</v>
      </c>
      <c r="BM26" s="22"/>
      <c r="BN26" s="3"/>
    </row>
    <row r="27" spans="1:66" ht="21.6" thickBot="1" x14ac:dyDescent="0.35">
      <c r="A27" s="166">
        <v>18</v>
      </c>
      <c r="B27" s="331" t="s">
        <v>83</v>
      </c>
      <c r="C27" s="238">
        <f>IF($Q$5&gt;=52,18,0)</f>
        <v>18</v>
      </c>
      <c r="D27" s="338" t="s">
        <v>101</v>
      </c>
      <c r="E27" s="238">
        <f>IF($Q$5&gt;=53,18,0)</f>
        <v>18</v>
      </c>
      <c r="F27" s="339" t="s">
        <v>119</v>
      </c>
      <c r="G27" s="238">
        <f>IF($Q$5&gt;=54,18,0)</f>
        <v>18</v>
      </c>
      <c r="H27" s="114"/>
      <c r="I27" s="167">
        <v>18</v>
      </c>
      <c r="J27" s="175" t="str">
        <f>IF(ISNA(MATCH(I27,$C$10:$C$27,0)),"",INDEX(B$10:$B$27,MATCH(I27,$C$10:$C$27,0)))</f>
        <v>A18</v>
      </c>
      <c r="K27" s="161" t="str">
        <f>IF(ISNA(MATCH(I27,$E$10:$E$27,0)),"",INDEX($D$10:D$27,MATCH(I27,$E$10:$E$27,0)))</f>
        <v>B18</v>
      </c>
      <c r="L27" s="162" t="str">
        <f>IF(ISNA(MATCH(I27,$G$10:$G$27,0)),"",INDEX($F$10:F$27,MATCH(I27,$G$10:$G$27,0)))</f>
        <v>C18</v>
      </c>
      <c r="N27" s="42" t="s">
        <v>5</v>
      </c>
      <c r="O27" s="121" t="str">
        <f>IF($Q$5=49,K25,IF($Q$5=50,K26,IF($Q$5=51,K26,IF($Q$5=52,J27,IF($Q$5=53,J27,IF($Q$5=54,J27,0))))))</f>
        <v>A18</v>
      </c>
      <c r="P27" s="126" t="str">
        <f>IF($Q$5=49,L23,IF($Q$5=50,L25,IF($Q$5=51,L26,IF($Q$5=52,L26,IF($Q$5=53,K27,IF($Q$5=54,K27,0))))))</f>
        <v>B18</v>
      </c>
      <c r="Q27" s="176" t="str">
        <f>IF($Q$5=54,L27,0)</f>
        <v>C18</v>
      </c>
      <c r="R27" s="178" t="str">
        <f>IF($Q$5=43,0,IF($Q$5=44,0,IF($Q$5=45,0,IF($Q$5=46,0,IF($Q$5=47,0,IF($Q$5=48,0,IF($Q$5=49,O27,IF($Q$5=50,O27,IF($Q$5=51,O27,IF($Q$5=52,O10,IF($Q$5=53,O10,IF($Q$5=54,O10,0))))))))))))</f>
        <v>A1</v>
      </c>
      <c r="S27" s="126" t="str">
        <f>IF($Q$5=43,0,IF($Q$5=44,0,IF($Q$5=45,0,IF($Q$5=46,0,IF($Q$5=47,0,IF($Q$5=48,0,IF($Q$5=49,P25,IF($Q$5=50,Q12,IF($Q$5=51,P26,IF($Q$5=52,P27,IF($Q$5=53,P11,IF($Q$5=54,P11,0))))))))))))</f>
        <v>B2</v>
      </c>
      <c r="T27" s="179" t="str">
        <f>IF($Q$5=54,Q12,0)</f>
        <v>C3</v>
      </c>
      <c r="U27" s="181" t="str">
        <f>IF($Q$5=43,0,IF($Q$5=44,0,IF($Q$5=45,0,IF($Q$5=46,0,IF($Q$5=47,0,IF($Q$5=48,0,IF($Q$5=49,R27,IF($Q$5=50,R27,IF($Q$5=51,R27,IF($Q$5=52,R10,IF($Q$5=53,R10,IF($Q$5=54,R10,0))))))))))))</f>
        <v>A2</v>
      </c>
      <c r="V27" s="148" t="str">
        <f>IF($Q$5=43,0,IF($Q$5=44,0,IF($Q$5=45,0,IF($Q$5=46,0,IF($Q$5=47,0,IF($Q$5=48,0,IF($Q$5=49,S26,IF($Q$5=50,T12,IF($Q$5=51,T12,IF($Q$5=52,T12,IF($Q$5=53,S11,IF($Q$5=54,S11,0))))))))))))</f>
        <v>B4</v>
      </c>
      <c r="W27" s="149" t="str">
        <f>IF($Q$5=43,0,IF($Q$5=44,0,IF($Q$5=45,0,IF($Q$5=46,0,IF($Q$5=47,0,IF($Q$5=48,0,IF($Q$5=49,0,IF($Q$5=50,0,IF($Q$5=51,0,IF($Q$5=52,0,IF($Q$5=53,0,IF($Q$5=54,T12,0))))))))))))</f>
        <v>C6</v>
      </c>
      <c r="X27" s="18"/>
      <c r="Y27" s="382">
        <v>3</v>
      </c>
      <c r="Z27" s="9" t="str">
        <f>+O14</f>
        <v>A5</v>
      </c>
      <c r="AA27" s="25">
        <v>13</v>
      </c>
      <c r="AB27" s="38">
        <f>IF(AA27+AA31=0,0,IF(AA27=AA31,2,IF(AA27&gt;AA31,3,1)))</f>
        <v>3</v>
      </c>
      <c r="AC27" s="10">
        <f>AA27-AA31</f>
        <v>6</v>
      </c>
      <c r="AD27" s="6"/>
      <c r="AE27" s="9" t="str">
        <f>+R14</f>
        <v>A6</v>
      </c>
      <c r="AF27" s="107">
        <v>13</v>
      </c>
      <c r="AG27" s="38">
        <f>IF(AF27+AF31=0,0,IF(AF27=AF31,2,IF(AF27&gt;AF31,3,1)))</f>
        <v>3</v>
      </c>
      <c r="AH27" s="10">
        <f>AF27-AF31</f>
        <v>11</v>
      </c>
      <c r="AI27" s="6"/>
      <c r="AJ27" s="9" t="str">
        <f>+U14</f>
        <v>A7</v>
      </c>
      <c r="AK27" s="28">
        <v>11</v>
      </c>
      <c r="AL27" s="38">
        <f>IF(AK27+AK31=0,0,IF(AK27=AK31,2,IF(AK27&gt;AK31,3,1)))</f>
        <v>3</v>
      </c>
      <c r="AM27" s="10">
        <f>AK27-AK31</f>
        <v>5</v>
      </c>
      <c r="AN27" s="18"/>
      <c r="AO27" s="44">
        <v>19</v>
      </c>
      <c r="AP27" s="279" t="str">
        <f>+Inscrits!D3</f>
        <v>B1</v>
      </c>
      <c r="AQ27" s="247">
        <f t="shared" si="3"/>
        <v>1</v>
      </c>
      <c r="AR27" s="82">
        <f t="shared" si="4"/>
        <v>-3</v>
      </c>
      <c r="AS27" s="184">
        <f t="shared" si="5"/>
        <v>5</v>
      </c>
      <c r="AT27" s="250">
        <f t="shared" si="6"/>
        <v>1</v>
      </c>
      <c r="AU27" s="82">
        <f t="shared" si="7"/>
        <v>-8</v>
      </c>
      <c r="AV27" s="252">
        <f t="shared" si="8"/>
        <v>5</v>
      </c>
      <c r="AW27" s="247">
        <f t="shared" si="9"/>
        <v>3</v>
      </c>
      <c r="AX27" s="82">
        <f t="shared" si="10"/>
        <v>12</v>
      </c>
      <c r="AY27" s="252">
        <f t="shared" si="11"/>
        <v>13</v>
      </c>
      <c r="AZ27" s="247">
        <f t="shared" si="17"/>
        <v>5</v>
      </c>
      <c r="BA27" s="82">
        <f t="shared" si="12"/>
        <v>1</v>
      </c>
      <c r="BB27" s="252">
        <f t="shared" si="13"/>
        <v>23</v>
      </c>
      <c r="BC27" s="255">
        <f t="shared" si="14"/>
        <v>0</v>
      </c>
      <c r="BD27" s="7">
        <f t="shared" si="15"/>
        <v>1</v>
      </c>
      <c r="BE27" s="183">
        <f t="shared" si="16"/>
        <v>29.987700269999998</v>
      </c>
      <c r="BF27" s="82">
        <f>IF(AP27="","",SMALL(BE$9:BE$62,ROWS(AZ$9:AZ27)))</f>
        <v>5.9673001999999995</v>
      </c>
      <c r="BH27" s="82" t="str">
        <f>IF(OR(AP27="",AZ27=""),"",INDEX($AP$9:$AP$63,MATCH(BF27,$BE$9:BE$62,0)))</f>
        <v>A12</v>
      </c>
      <c r="BI27" s="7">
        <f t="shared" si="0"/>
        <v>7</v>
      </c>
      <c r="BJ27" s="7">
        <f t="shared" si="1"/>
        <v>3</v>
      </c>
      <c r="BK27" s="7">
        <f t="shared" si="2"/>
        <v>27</v>
      </c>
      <c r="BL27" s="17">
        <f>IF(BF27="","",IF(AND(BI26=BI27,BJ26=BJ27,BK26=BK27),BL26,$BL$9+18))</f>
        <v>19</v>
      </c>
      <c r="BM27" s="22"/>
      <c r="BN27" s="3"/>
    </row>
    <row r="28" spans="1:66" ht="16.2" thickBot="1" x14ac:dyDescent="0.3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0"/>
      <c r="P28" s="18"/>
      <c r="Q28" s="18"/>
      <c r="R28" s="18"/>
      <c r="S28" s="18"/>
      <c r="T28" s="18"/>
      <c r="U28" s="22"/>
      <c r="V28" s="18"/>
      <c r="W28" s="18"/>
      <c r="X28" s="18"/>
      <c r="Y28" s="383"/>
      <c r="Z28" s="11" t="str">
        <f>+P14</f>
        <v>B5</v>
      </c>
      <c r="AA28" s="14">
        <f>IF(ISTEXT(Z28),AA27,0)</f>
        <v>13</v>
      </c>
      <c r="AB28" s="14">
        <f>IF(ISTEXT(Z28),AB27,0)</f>
        <v>3</v>
      </c>
      <c r="AC28" s="15">
        <f>IF(ISTEXT(Z28),AC27,0)</f>
        <v>6</v>
      </c>
      <c r="AD28" s="6"/>
      <c r="AE28" s="11" t="str">
        <f>+S14</f>
        <v>B7</v>
      </c>
      <c r="AF28" s="14">
        <f>IF(ISTEXT(AE28),AF27,0)</f>
        <v>13</v>
      </c>
      <c r="AG28" s="48">
        <f>IF(ISTEXT(AE28),AG27,0)</f>
        <v>3</v>
      </c>
      <c r="AH28" s="15">
        <f>IF(ISTEXT(AE28),AH27,0)</f>
        <v>11</v>
      </c>
      <c r="AI28" s="6"/>
      <c r="AJ28" s="11" t="str">
        <f>+V14</f>
        <v>B9</v>
      </c>
      <c r="AK28" s="14">
        <f>IF(ISTEXT(AJ28),AK27,0)</f>
        <v>11</v>
      </c>
      <c r="AL28" s="48">
        <f>IF(ISTEXT(AJ28),AL27,0)</f>
        <v>3</v>
      </c>
      <c r="AM28" s="15">
        <f>IF(ISTEXT(AJ28),AM27,0)</f>
        <v>5</v>
      </c>
      <c r="AN28" s="18"/>
      <c r="AO28" s="44">
        <v>20</v>
      </c>
      <c r="AP28" s="279" t="str">
        <f>+Inscrits!D4</f>
        <v>B2</v>
      </c>
      <c r="AQ28" s="247">
        <f t="shared" si="3"/>
        <v>3</v>
      </c>
      <c r="AR28" s="82">
        <f t="shared" si="4"/>
        <v>3</v>
      </c>
      <c r="AS28" s="184">
        <f t="shared" si="5"/>
        <v>8</v>
      </c>
      <c r="AT28" s="250">
        <f t="shared" si="6"/>
        <v>3</v>
      </c>
      <c r="AU28" s="82">
        <f t="shared" si="7"/>
        <v>8</v>
      </c>
      <c r="AV28" s="252">
        <f t="shared" si="8"/>
        <v>13</v>
      </c>
      <c r="AW28" s="247">
        <f t="shared" si="9"/>
        <v>1</v>
      </c>
      <c r="AX28" s="82">
        <f t="shared" si="10"/>
        <v>-12</v>
      </c>
      <c r="AY28" s="252">
        <f t="shared" si="11"/>
        <v>1</v>
      </c>
      <c r="AZ28" s="247">
        <f t="shared" si="17"/>
        <v>7</v>
      </c>
      <c r="BA28" s="82">
        <f t="shared" si="12"/>
        <v>-1</v>
      </c>
      <c r="BB28" s="252">
        <f t="shared" si="13"/>
        <v>22</v>
      </c>
      <c r="BC28" s="255">
        <f t="shared" si="14"/>
        <v>-1</v>
      </c>
      <c r="BD28" s="7">
        <f t="shared" si="15"/>
        <v>0</v>
      </c>
      <c r="BE28" s="183">
        <f t="shared" si="16"/>
        <v>6.0078002799999997</v>
      </c>
      <c r="BF28" s="82">
        <f>IF(AP28="","",SMALL(BE$9:BE$62,ROWS(AZ$9:AZ28)))</f>
        <v>5.9674001499999996</v>
      </c>
      <c r="BH28" s="82" t="str">
        <f>IF(OR(AP28="",AZ28=""),"",INDEX($AP$9:$AP$63,MATCH(BF28,$BE$9:BE$62,0)))</f>
        <v>A7</v>
      </c>
      <c r="BI28" s="7">
        <f t="shared" si="0"/>
        <v>7</v>
      </c>
      <c r="BJ28" s="7">
        <f t="shared" si="1"/>
        <v>3</v>
      </c>
      <c r="BK28" s="7">
        <f t="shared" si="2"/>
        <v>26</v>
      </c>
      <c r="BL28" s="17">
        <f>IF(BF28="","",IF(AND(BI27=BI28,BJ27=BJ28,BK27=BK28),BL27,$BL$9+19))</f>
        <v>20</v>
      </c>
      <c r="BM28" s="22"/>
      <c r="BN28" s="3"/>
    </row>
    <row r="29" spans="1:66" ht="15.6" x14ac:dyDescent="0.3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P29" s="18"/>
      <c r="Q29" s="18"/>
      <c r="R29" s="18"/>
      <c r="S29" s="18"/>
      <c r="T29" s="18"/>
      <c r="U29" s="22"/>
      <c r="V29" s="18"/>
      <c r="W29" s="18"/>
      <c r="X29" s="18"/>
      <c r="Y29" s="383"/>
      <c r="Z29" s="11" t="str">
        <f>+Q14</f>
        <v>C5</v>
      </c>
      <c r="AA29" s="55">
        <f>IF(ISTEXT(Z29),AA27,0)</f>
        <v>13</v>
      </c>
      <c r="AB29" s="55">
        <f>IF(ISTEXT(Z29),AB27,0)</f>
        <v>3</v>
      </c>
      <c r="AC29" s="56">
        <f>IF(ISTEXT(Z29),AC27,0)</f>
        <v>6</v>
      </c>
      <c r="AD29" s="6"/>
      <c r="AE29" s="11" t="str">
        <f>+T14</f>
        <v>C8</v>
      </c>
      <c r="AF29" s="55">
        <f>IF(ISTEXT(AE29),AF27,0)</f>
        <v>13</v>
      </c>
      <c r="AG29" s="52">
        <f>IF(ISTEXT(AE29),AG27,0)</f>
        <v>3</v>
      </c>
      <c r="AH29" s="56">
        <f>IF(ISTEXT(AE29),AH27,0)</f>
        <v>11</v>
      </c>
      <c r="AI29" s="6"/>
      <c r="AJ29" s="11" t="str">
        <f>+W14</f>
        <v>C11</v>
      </c>
      <c r="AK29" s="55">
        <f>IF(ISTEXT(AJ29),AK27,0)</f>
        <v>11</v>
      </c>
      <c r="AL29" s="52">
        <f>IF(ISTEXT(AJ29),AL27,0)</f>
        <v>3</v>
      </c>
      <c r="AM29" s="56">
        <f>IF(ISTEXT(AJ29),AM27,0)</f>
        <v>5</v>
      </c>
      <c r="AN29" s="18"/>
      <c r="AO29" s="44">
        <v>21</v>
      </c>
      <c r="AP29" s="279" t="str">
        <f>+Inscrits!D5</f>
        <v>B3</v>
      </c>
      <c r="AQ29" s="247">
        <f t="shared" si="3"/>
        <v>1</v>
      </c>
      <c r="AR29" s="82">
        <f t="shared" si="4"/>
        <v>-7</v>
      </c>
      <c r="AS29" s="184">
        <f t="shared" si="5"/>
        <v>4</v>
      </c>
      <c r="AT29" s="250">
        <f t="shared" si="6"/>
        <v>3</v>
      </c>
      <c r="AU29" s="82">
        <f t="shared" si="7"/>
        <v>2</v>
      </c>
      <c r="AV29" s="252">
        <f t="shared" si="8"/>
        <v>12</v>
      </c>
      <c r="AW29" s="247">
        <f t="shared" si="9"/>
        <v>3</v>
      </c>
      <c r="AX29" s="82">
        <f t="shared" si="10"/>
        <v>5</v>
      </c>
      <c r="AY29" s="252">
        <f t="shared" si="11"/>
        <v>13</v>
      </c>
      <c r="AZ29" s="247">
        <f t="shared" si="17"/>
        <v>7</v>
      </c>
      <c r="BA29" s="82">
        <f t="shared" si="12"/>
        <v>0</v>
      </c>
      <c r="BB29" s="252">
        <f t="shared" si="13"/>
        <v>29</v>
      </c>
      <c r="BC29" s="255">
        <f t="shared" si="14"/>
        <v>0</v>
      </c>
      <c r="BD29" s="7">
        <f t="shared" si="15"/>
        <v>0</v>
      </c>
      <c r="BE29" s="183">
        <f t="shared" si="16"/>
        <v>5.9971002899999997</v>
      </c>
      <c r="BF29" s="82">
        <f>IF(AP29="","",SMALL(BE$9:BE$62,ROWS(AZ$9:AZ29)))</f>
        <v>5.9771002400000004</v>
      </c>
      <c r="BH29" s="82" t="str">
        <f>IF(OR(AP29="",AZ29=""),"",INDEX($AP$9:$AP$63,MATCH(BF29,$BE$9:BE$62,0)))</f>
        <v>A16</v>
      </c>
      <c r="BI29" s="7">
        <f t="shared" si="0"/>
        <v>7</v>
      </c>
      <c r="BJ29" s="7">
        <f t="shared" si="1"/>
        <v>2</v>
      </c>
      <c r="BK29" s="7">
        <f t="shared" si="2"/>
        <v>29</v>
      </c>
      <c r="BL29" s="17">
        <f>IF(BF29="","",IF(AND(BI28=BI29,BJ28=BJ29,BK28=BK29),BL28,$BL$9+20))</f>
        <v>21</v>
      </c>
      <c r="BM29" s="22"/>
      <c r="BN29" s="3"/>
    </row>
    <row r="30" spans="1:66" ht="15.6" x14ac:dyDescent="0.3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P30" s="18"/>
      <c r="Q30" s="18"/>
      <c r="R30" s="18"/>
      <c r="S30" s="18"/>
      <c r="T30" s="18"/>
      <c r="U30" s="22"/>
      <c r="V30" s="18"/>
      <c r="W30" s="18"/>
      <c r="X30" s="18"/>
      <c r="Y30" s="383"/>
      <c r="Z30" s="24"/>
      <c r="AA30" s="16" t="s">
        <v>5</v>
      </c>
      <c r="AB30" s="16"/>
      <c r="AC30" s="17"/>
      <c r="AD30" s="1"/>
      <c r="AE30" s="24"/>
      <c r="AF30" s="16" t="s">
        <v>5</v>
      </c>
      <c r="AG30" s="16"/>
      <c r="AH30" s="17"/>
      <c r="AI30" s="1"/>
      <c r="AJ30" s="24"/>
      <c r="AK30" s="16" t="s">
        <v>5</v>
      </c>
      <c r="AL30" s="16"/>
      <c r="AM30" s="17"/>
      <c r="AN30" s="18"/>
      <c r="AO30" s="44">
        <v>22</v>
      </c>
      <c r="AP30" s="279" t="str">
        <f>+Inscrits!D6</f>
        <v>B4</v>
      </c>
      <c r="AQ30" s="247">
        <f t="shared" si="3"/>
        <v>3</v>
      </c>
      <c r="AR30" s="82">
        <f t="shared" si="4"/>
        <v>7</v>
      </c>
      <c r="AS30" s="184">
        <f t="shared" si="5"/>
        <v>11</v>
      </c>
      <c r="AT30" s="250">
        <f t="shared" si="6"/>
        <v>1</v>
      </c>
      <c r="AU30" s="82">
        <f t="shared" si="7"/>
        <v>-2</v>
      </c>
      <c r="AV30" s="252">
        <f t="shared" si="8"/>
        <v>10</v>
      </c>
      <c r="AW30" s="247">
        <f t="shared" si="9"/>
        <v>1</v>
      </c>
      <c r="AX30" s="82">
        <f t="shared" si="10"/>
        <v>-5</v>
      </c>
      <c r="AY30" s="252">
        <f t="shared" si="11"/>
        <v>8</v>
      </c>
      <c r="AZ30" s="247">
        <f t="shared" si="17"/>
        <v>5</v>
      </c>
      <c r="BA30" s="82">
        <f t="shared" si="12"/>
        <v>0</v>
      </c>
      <c r="BB30" s="252">
        <f t="shared" si="13"/>
        <v>29</v>
      </c>
      <c r="BC30" s="255">
        <f t="shared" si="14"/>
        <v>0</v>
      </c>
      <c r="BD30" s="7">
        <f t="shared" si="15"/>
        <v>0</v>
      </c>
      <c r="BE30" s="183">
        <f t="shared" si="16"/>
        <v>29.9971003</v>
      </c>
      <c r="BF30" s="82">
        <f>IF(AP30="","",SMALL(BE$9:BE$62,ROWS(AZ$9:AZ30)))</f>
        <v>5.9874001300000002</v>
      </c>
      <c r="BH30" s="82" t="str">
        <f>IF(OR(AP30="",AZ30=""),"",INDEX($AP$9:$AP$63,MATCH(BF30,$BE$9:BE$62,0)))</f>
        <v>A5</v>
      </c>
      <c r="BI30" s="7">
        <f t="shared" si="0"/>
        <v>7</v>
      </c>
      <c r="BJ30" s="7">
        <f t="shared" si="1"/>
        <v>1</v>
      </c>
      <c r="BK30" s="7">
        <f t="shared" si="2"/>
        <v>26</v>
      </c>
      <c r="BL30" s="17">
        <f>IF(BF30="","",IF(AND(BI29=BI30,BJ29=BJ30,BK29=BK30),BL29,$BL$9+21))</f>
        <v>22</v>
      </c>
      <c r="BM30" s="22"/>
      <c r="BN30" s="3"/>
    </row>
    <row r="31" spans="1:66" ht="15.6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P31" s="18"/>
      <c r="Q31" s="18"/>
      <c r="R31" s="18"/>
      <c r="S31" s="18"/>
      <c r="T31" s="18"/>
      <c r="U31" s="18"/>
      <c r="V31" s="18"/>
      <c r="W31" s="18"/>
      <c r="X31" s="18"/>
      <c r="Y31" s="383"/>
      <c r="Z31" s="11" t="str">
        <f>+O15</f>
        <v>A6</v>
      </c>
      <c r="AA31" s="27">
        <v>7</v>
      </c>
      <c r="AB31" s="23">
        <f>IF(AA27+AA31=0,0,IF(AA27=AA31,2,IF(AA27&lt;AA31,3,1)))</f>
        <v>1</v>
      </c>
      <c r="AC31" s="12">
        <f>AA31-AA27</f>
        <v>-6</v>
      </c>
      <c r="AD31" s="6"/>
      <c r="AE31" s="11" t="str">
        <f>+R15</f>
        <v>A7</v>
      </c>
      <c r="AF31" s="108">
        <v>2</v>
      </c>
      <c r="AG31" s="23">
        <f>IF(AF27+AF31=0,0,IF(AF27=AF31,2,IF(AF27&lt;AF31,3,1)))</f>
        <v>1</v>
      </c>
      <c r="AH31" s="12">
        <f>AF31-AF27</f>
        <v>-11</v>
      </c>
      <c r="AI31" s="6"/>
      <c r="AJ31" s="11" t="str">
        <f>+U15</f>
        <v>A8</v>
      </c>
      <c r="AK31" s="29">
        <v>6</v>
      </c>
      <c r="AL31" s="23">
        <f>IF(AK27+AK31=0,0,IF(AK27=AK31,2,IF(AK27&lt;AK31,3,1)))</f>
        <v>1</v>
      </c>
      <c r="AM31" s="12">
        <f>AK31-AK27</f>
        <v>-5</v>
      </c>
      <c r="AN31" s="18"/>
      <c r="AO31" s="44">
        <v>23</v>
      </c>
      <c r="AP31" s="279" t="str">
        <f>+Inscrits!D7</f>
        <v>B5</v>
      </c>
      <c r="AQ31" s="247">
        <f t="shared" si="3"/>
        <v>3</v>
      </c>
      <c r="AR31" s="82">
        <f t="shared" si="4"/>
        <v>6</v>
      </c>
      <c r="AS31" s="184">
        <f t="shared" si="5"/>
        <v>13</v>
      </c>
      <c r="AT31" s="250">
        <f t="shared" si="6"/>
        <v>1</v>
      </c>
      <c r="AU31" s="82">
        <f t="shared" si="7"/>
        <v>-3</v>
      </c>
      <c r="AV31" s="252">
        <f t="shared" si="8"/>
        <v>6</v>
      </c>
      <c r="AW31" s="247">
        <f t="shared" si="9"/>
        <v>3</v>
      </c>
      <c r="AX31" s="82">
        <f t="shared" si="10"/>
        <v>3</v>
      </c>
      <c r="AY31" s="252">
        <f t="shared" si="11"/>
        <v>8</v>
      </c>
      <c r="AZ31" s="247">
        <f t="shared" si="17"/>
        <v>7</v>
      </c>
      <c r="BA31" s="82">
        <f t="shared" si="12"/>
        <v>6</v>
      </c>
      <c r="BB31" s="252">
        <f t="shared" si="13"/>
        <v>27</v>
      </c>
      <c r="BC31" s="255">
        <f t="shared" si="14"/>
        <v>0</v>
      </c>
      <c r="BD31" s="7">
        <f t="shared" si="15"/>
        <v>6</v>
      </c>
      <c r="BE31" s="183">
        <f t="shared" si="16"/>
        <v>5.9373003100000004</v>
      </c>
      <c r="BF31" s="82">
        <f>IF(AP31="","",SMALL(BE$9:BE$62,ROWS(AZ$9:AZ31)))</f>
        <v>5.9970002300000003</v>
      </c>
      <c r="BH31" s="82" t="str">
        <f>IF(OR(AP31="",AZ31=""),"",INDEX($AP$9:$AP$63,MATCH(BF31,$BE$9:BE$62,0)))</f>
        <v>A15</v>
      </c>
      <c r="BI31" s="7">
        <f t="shared" si="0"/>
        <v>7</v>
      </c>
      <c r="BJ31" s="7">
        <f t="shared" si="1"/>
        <v>0</v>
      </c>
      <c r="BK31" s="7">
        <f t="shared" si="2"/>
        <v>30</v>
      </c>
      <c r="BL31" s="17">
        <f>IF(BF31="","",IF(AND(BI30=BI31,BJ30=BJ31,BK30=BK31),BL30,$BL$9+22))</f>
        <v>23</v>
      </c>
      <c r="BM31" s="22"/>
      <c r="BN31" s="3"/>
    </row>
    <row r="32" spans="1:66" ht="16.2" thickBot="1" x14ac:dyDescent="0.3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P32" s="18"/>
      <c r="Q32" s="18"/>
      <c r="R32" s="18"/>
      <c r="S32" s="18"/>
      <c r="T32" s="18"/>
      <c r="U32" s="18"/>
      <c r="V32" s="18"/>
      <c r="W32" s="18"/>
      <c r="X32" s="18"/>
      <c r="Y32" s="383"/>
      <c r="Z32" s="11" t="str">
        <f>+P15</f>
        <v>B6</v>
      </c>
      <c r="AA32" s="14">
        <f>IF(ISTEXT(Z32),AA31,0)</f>
        <v>7</v>
      </c>
      <c r="AB32" s="14">
        <f>IF(ISTEXT(Z32),AB31,0)</f>
        <v>1</v>
      </c>
      <c r="AC32" s="15">
        <f>IF(ISTEXT(Z32),AC31,0)</f>
        <v>-6</v>
      </c>
      <c r="AD32" s="6"/>
      <c r="AE32" s="11" t="str">
        <f>+S15</f>
        <v>B8</v>
      </c>
      <c r="AF32" s="14">
        <f>IF(ISTEXT(AE32),AF31,0)</f>
        <v>2</v>
      </c>
      <c r="AG32" s="14">
        <f>IF(ISTEXT(AE32),AG31,0)</f>
        <v>1</v>
      </c>
      <c r="AH32" s="15">
        <f>IF(ISTEXT(AE32),AH31,0)</f>
        <v>-11</v>
      </c>
      <c r="AI32" s="6"/>
      <c r="AJ32" s="11" t="str">
        <f>+V15</f>
        <v>B10</v>
      </c>
      <c r="AK32" s="14">
        <f>IF(ISTEXT(AJ32),AK31,0)</f>
        <v>6</v>
      </c>
      <c r="AL32" s="14">
        <f>IF(ISTEXT(AJ32),AL31,0)</f>
        <v>1</v>
      </c>
      <c r="AM32" s="15">
        <f>IF(ISTEXT(AJ32),AM31,0)</f>
        <v>-5</v>
      </c>
      <c r="AN32" s="18"/>
      <c r="AO32" s="44">
        <v>24</v>
      </c>
      <c r="AP32" s="279" t="str">
        <f>+Inscrits!D8</f>
        <v>B6</v>
      </c>
      <c r="AQ32" s="247">
        <f t="shared" si="3"/>
        <v>1</v>
      </c>
      <c r="AR32" s="82">
        <f t="shared" si="4"/>
        <v>-6</v>
      </c>
      <c r="AS32" s="184">
        <f t="shared" si="5"/>
        <v>7</v>
      </c>
      <c r="AT32" s="250">
        <f t="shared" si="6"/>
        <v>3</v>
      </c>
      <c r="AU32" s="82">
        <f t="shared" si="7"/>
        <v>3</v>
      </c>
      <c r="AV32" s="252">
        <f t="shared" si="8"/>
        <v>9</v>
      </c>
      <c r="AW32" s="247">
        <f t="shared" si="9"/>
        <v>1</v>
      </c>
      <c r="AX32" s="82">
        <f t="shared" si="10"/>
        <v>-3</v>
      </c>
      <c r="AY32" s="252">
        <f t="shared" si="11"/>
        <v>5</v>
      </c>
      <c r="AZ32" s="247">
        <f t="shared" si="17"/>
        <v>5</v>
      </c>
      <c r="BA32" s="82">
        <f t="shared" si="12"/>
        <v>-6</v>
      </c>
      <c r="BB32" s="252">
        <f t="shared" si="13"/>
        <v>21</v>
      </c>
      <c r="BC32" s="255">
        <f t="shared" si="14"/>
        <v>-6</v>
      </c>
      <c r="BD32" s="7">
        <f t="shared" si="15"/>
        <v>0</v>
      </c>
      <c r="BE32" s="183">
        <f t="shared" si="16"/>
        <v>30.057900320000002</v>
      </c>
      <c r="BF32" s="82">
        <f>IF(AP32="","",SMALL(BE$9:BE$62,ROWS(AZ$9:AZ32)))</f>
        <v>5.9971002899999997</v>
      </c>
      <c r="BH32" s="82" t="str">
        <f>IF(OR(AP32="",AZ32=""),"",INDEX($AP$9:$AP$63,MATCH(BF32,$BE$9:BE$62,0)))</f>
        <v>B3</v>
      </c>
      <c r="BI32" s="7">
        <f t="shared" si="0"/>
        <v>7</v>
      </c>
      <c r="BJ32" s="7">
        <f t="shared" si="1"/>
        <v>0</v>
      </c>
      <c r="BK32" s="7">
        <f t="shared" si="2"/>
        <v>29</v>
      </c>
      <c r="BL32" s="17">
        <f>IF(BF32="","",IF(AND(BI31=BI32,BJ31=BJ32,BK31=BK32),BL31,$BL$9+23))</f>
        <v>24</v>
      </c>
      <c r="BM32" s="22"/>
      <c r="BN32" s="3"/>
    </row>
    <row r="33" spans="1:66" ht="16.2" thickBot="1" x14ac:dyDescent="0.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P33" s="18"/>
      <c r="Q33" s="18"/>
      <c r="R33" s="18"/>
      <c r="S33" s="18"/>
      <c r="T33" s="18"/>
      <c r="U33" s="18"/>
      <c r="V33" s="18"/>
      <c r="W33" s="18"/>
      <c r="X33" s="18"/>
      <c r="Y33" s="384"/>
      <c r="Z33" s="13" t="str">
        <f>+Q15</f>
        <v>C6</v>
      </c>
      <c r="AA33" s="14">
        <f>IF(ISTEXT(Z33),AA31,0)</f>
        <v>7</v>
      </c>
      <c r="AB33" s="14">
        <f>IF(ISTEXT(Z33),AB31,0)</f>
        <v>1</v>
      </c>
      <c r="AC33" s="15">
        <f>IF(ISTEXT(Z33),AC31,0)</f>
        <v>-6</v>
      </c>
      <c r="AD33" s="6"/>
      <c r="AE33" s="13" t="str">
        <f>+T15</f>
        <v>C9</v>
      </c>
      <c r="AF33" s="14">
        <f>IF(ISTEXT(AE33),AF31,0)</f>
        <v>2</v>
      </c>
      <c r="AG33" s="14">
        <f>IF(ISTEXT(AE33),AG31,0)</f>
        <v>1</v>
      </c>
      <c r="AH33" s="15">
        <f>IF(ISTEXT(AE33),AH31,0)</f>
        <v>-11</v>
      </c>
      <c r="AI33" s="6"/>
      <c r="AJ33" s="13" t="str">
        <f>+W15</f>
        <v>C12</v>
      </c>
      <c r="AK33" s="14">
        <f>IF(ISTEXT(AJ33),AK31,0)</f>
        <v>6</v>
      </c>
      <c r="AL33" s="14">
        <f>IF(ISTEXT(AJ33),AL31,0)</f>
        <v>1</v>
      </c>
      <c r="AM33" s="15">
        <f>IF(ISTEXT(AJ33),AM31,0)</f>
        <v>-5</v>
      </c>
      <c r="AN33" s="18"/>
      <c r="AO33" s="44">
        <v>25</v>
      </c>
      <c r="AP33" s="279" t="str">
        <f>+Inscrits!D9</f>
        <v>B7</v>
      </c>
      <c r="AQ33" s="247">
        <f t="shared" si="3"/>
        <v>3</v>
      </c>
      <c r="AR33" s="82">
        <f t="shared" si="4"/>
        <v>9</v>
      </c>
      <c r="AS33" s="184">
        <f t="shared" si="5"/>
        <v>13</v>
      </c>
      <c r="AT33" s="250">
        <f t="shared" si="6"/>
        <v>3</v>
      </c>
      <c r="AU33" s="82">
        <f t="shared" si="7"/>
        <v>11</v>
      </c>
      <c r="AV33" s="252">
        <f t="shared" si="8"/>
        <v>13</v>
      </c>
      <c r="AW33" s="247">
        <f t="shared" si="9"/>
        <v>1</v>
      </c>
      <c r="AX33" s="82">
        <f t="shared" si="10"/>
        <v>-8</v>
      </c>
      <c r="AY33" s="252">
        <f t="shared" si="11"/>
        <v>4</v>
      </c>
      <c r="AZ33" s="247">
        <f t="shared" si="17"/>
        <v>7</v>
      </c>
      <c r="BA33" s="82">
        <f t="shared" si="12"/>
        <v>12</v>
      </c>
      <c r="BB33" s="252">
        <f t="shared" si="13"/>
        <v>30</v>
      </c>
      <c r="BC33" s="255">
        <f t="shared" si="14"/>
        <v>0</v>
      </c>
      <c r="BD33" s="7">
        <f t="shared" si="15"/>
        <v>12</v>
      </c>
      <c r="BE33" s="183">
        <f t="shared" si="16"/>
        <v>5.8770003299999996</v>
      </c>
      <c r="BF33" s="82">
        <f>IF(AP33="","",SMALL(BE$9:BE$62,ROWS(AZ$9:AZ33)))</f>
        <v>5.9972001000000006</v>
      </c>
      <c r="BH33" s="82" t="str">
        <f>IF(OR(AP33="",AZ33=""),"",INDEX($AP$9:$AP$63,MATCH(BF33,$BE$9:BE$62,0)))</f>
        <v>A2</v>
      </c>
      <c r="BI33" s="7">
        <f t="shared" si="0"/>
        <v>7</v>
      </c>
      <c r="BJ33" s="7">
        <f t="shared" si="1"/>
        <v>0</v>
      </c>
      <c r="BK33" s="7">
        <f t="shared" si="2"/>
        <v>28</v>
      </c>
      <c r="BL33" s="17">
        <f>IF(BF33="","",IF(AND(BI32=BI33,BJ32=BJ33,BK32=BK33),BL32,$BL$9+24))</f>
        <v>25</v>
      </c>
      <c r="BM33" s="22"/>
      <c r="BN33" s="3"/>
    </row>
    <row r="34" spans="1:66" ht="16.2" thickBot="1" x14ac:dyDescent="0.3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P34" s="18"/>
      <c r="Q34" s="18"/>
      <c r="R34" s="18"/>
      <c r="S34" s="18"/>
      <c r="T34" s="18"/>
      <c r="U34" s="18"/>
      <c r="V34" s="18"/>
      <c r="W34" s="18"/>
      <c r="X34" s="18"/>
      <c r="Y34" s="20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18"/>
      <c r="AO34" s="44">
        <v>26</v>
      </c>
      <c r="AP34" s="279" t="str">
        <f>+Inscrits!D10</f>
        <v>B8</v>
      </c>
      <c r="AQ34" s="247">
        <f t="shared" si="3"/>
        <v>1</v>
      </c>
      <c r="AR34" s="82">
        <f t="shared" si="4"/>
        <v>-9</v>
      </c>
      <c r="AS34" s="184">
        <f t="shared" si="5"/>
        <v>4</v>
      </c>
      <c r="AT34" s="250">
        <f t="shared" si="6"/>
        <v>1</v>
      </c>
      <c r="AU34" s="82">
        <f t="shared" si="7"/>
        <v>-11</v>
      </c>
      <c r="AV34" s="252">
        <f t="shared" si="8"/>
        <v>2</v>
      </c>
      <c r="AW34" s="247">
        <f t="shared" si="9"/>
        <v>3</v>
      </c>
      <c r="AX34" s="82">
        <f t="shared" si="10"/>
        <v>8</v>
      </c>
      <c r="AY34" s="252">
        <f t="shared" si="11"/>
        <v>12</v>
      </c>
      <c r="AZ34" s="247">
        <f t="shared" si="17"/>
        <v>5</v>
      </c>
      <c r="BA34" s="82">
        <f t="shared" si="12"/>
        <v>-12</v>
      </c>
      <c r="BB34" s="252">
        <f t="shared" si="13"/>
        <v>18</v>
      </c>
      <c r="BC34" s="255">
        <f t="shared" si="14"/>
        <v>-12</v>
      </c>
      <c r="BD34" s="7">
        <f t="shared" si="15"/>
        <v>0</v>
      </c>
      <c r="BE34" s="183">
        <f t="shared" si="16"/>
        <v>30.118200340000001</v>
      </c>
      <c r="BF34" s="82">
        <f>IF(AP34="","",SMALL(BE$9:BE$62,ROWS(AZ$9:AZ34)))</f>
        <v>6.0078002799999997</v>
      </c>
      <c r="BH34" s="82" t="str">
        <f>IF(OR(AP34="",AZ34=""),"",INDEX($AP$9:$AP$63,MATCH(BF34,$BE$9:BE$62,0)))</f>
        <v>B2</v>
      </c>
      <c r="BI34" s="7">
        <f t="shared" si="0"/>
        <v>7</v>
      </c>
      <c r="BJ34" s="7">
        <f t="shared" si="1"/>
        <v>-1</v>
      </c>
      <c r="BK34" s="7">
        <f t="shared" si="2"/>
        <v>22</v>
      </c>
      <c r="BL34" s="17">
        <f>IF(BF34="","",IF(AND(BI33=BI34,BJ33=BJ34,BK33=BK34),BL33,$BL$9+25))</f>
        <v>26</v>
      </c>
      <c r="BM34" s="22"/>
      <c r="BN34" s="3"/>
    </row>
    <row r="35" spans="1:66" ht="15.6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P35" s="18"/>
      <c r="Q35" s="18"/>
      <c r="R35" s="18"/>
      <c r="S35" s="18"/>
      <c r="T35" s="18"/>
      <c r="U35" s="18"/>
      <c r="V35" s="18"/>
      <c r="W35" s="18"/>
      <c r="X35" s="18"/>
      <c r="Y35" s="382">
        <v>4</v>
      </c>
      <c r="Z35" s="9" t="str">
        <f>+O16</f>
        <v>A7</v>
      </c>
      <c r="AA35" s="25">
        <v>13</v>
      </c>
      <c r="AB35" s="38">
        <f>IF(AA35+AA39=0,0,IF(AA35=AA39,2,IF(AA35&gt;AA39,3,1)))</f>
        <v>3</v>
      </c>
      <c r="AC35" s="10">
        <f>AA35-AA39</f>
        <v>9</v>
      </c>
      <c r="AD35" s="6"/>
      <c r="AE35" s="9" t="str">
        <f>+R16</f>
        <v>A8</v>
      </c>
      <c r="AF35" s="107">
        <v>5</v>
      </c>
      <c r="AG35" s="38">
        <f>IF(AF35+AF39=0,0,IF(AF35=AF39,2,IF(AF35&gt;AF39,3,1)))</f>
        <v>1</v>
      </c>
      <c r="AH35" s="10">
        <f>AF35-AF39</f>
        <v>-4</v>
      </c>
      <c r="AI35" s="6"/>
      <c r="AJ35" s="9" t="str">
        <f>+U16</f>
        <v>A9</v>
      </c>
      <c r="AK35" s="28">
        <v>6</v>
      </c>
      <c r="AL35" s="38">
        <f>IF(AK35+AK39=0,0,IF(AK35=AK39,2,IF(AK35&gt;AK39,3,1)))</f>
        <v>1</v>
      </c>
      <c r="AM35" s="10">
        <f>AK35-AK39</f>
        <v>-1</v>
      </c>
      <c r="AN35" s="18"/>
      <c r="AO35" s="44">
        <v>27</v>
      </c>
      <c r="AP35" s="279" t="str">
        <f>+Inscrits!D11</f>
        <v>B9</v>
      </c>
      <c r="AQ35" s="247">
        <f t="shared" si="3"/>
        <v>3</v>
      </c>
      <c r="AR35" s="82">
        <f t="shared" si="4"/>
        <v>11</v>
      </c>
      <c r="AS35" s="184">
        <f t="shared" si="5"/>
        <v>13</v>
      </c>
      <c r="AT35" s="250">
        <f t="shared" si="6"/>
        <v>1</v>
      </c>
      <c r="AU35" s="82">
        <f t="shared" si="7"/>
        <v>-4</v>
      </c>
      <c r="AV35" s="252">
        <f t="shared" si="8"/>
        <v>5</v>
      </c>
      <c r="AW35" s="247">
        <f t="shared" si="9"/>
        <v>3</v>
      </c>
      <c r="AX35" s="82">
        <f t="shared" si="10"/>
        <v>5</v>
      </c>
      <c r="AY35" s="252">
        <f t="shared" si="11"/>
        <v>11</v>
      </c>
      <c r="AZ35" s="247">
        <f t="shared" si="17"/>
        <v>7</v>
      </c>
      <c r="BA35" s="82">
        <f t="shared" si="12"/>
        <v>12</v>
      </c>
      <c r="BB35" s="252">
        <f t="shared" si="13"/>
        <v>29</v>
      </c>
      <c r="BC35" s="255">
        <f t="shared" si="14"/>
        <v>0</v>
      </c>
      <c r="BD35" s="7">
        <f t="shared" si="15"/>
        <v>12</v>
      </c>
      <c r="BE35" s="183">
        <f t="shared" si="16"/>
        <v>5.8771003499999992</v>
      </c>
      <c r="BF35" s="82">
        <f>IF(AP35="","",SMALL(BE$9:BE$62,ROWS(AZ$9:AZ35)))</f>
        <v>6.0174006199999992</v>
      </c>
      <c r="BH35" s="82" t="str">
        <f>IF(OR(AP35="",AZ35=""),"",INDEX($AP$9:$AP$63,MATCH(BF35,$BE$9:BE$62,0)))</f>
        <v>C18</v>
      </c>
      <c r="BI35" s="7">
        <f t="shared" si="0"/>
        <v>7</v>
      </c>
      <c r="BJ35" s="7">
        <f t="shared" si="1"/>
        <v>-2</v>
      </c>
      <c r="BK35" s="7">
        <f t="shared" si="2"/>
        <v>26</v>
      </c>
      <c r="BL35" s="17">
        <f>IF(BF35="","",IF(AND(BI34=BI35,BJ34=BJ35,BK34=BK35),BL34,$BL$9+26))</f>
        <v>27</v>
      </c>
      <c r="BM35" s="22"/>
      <c r="BN35" s="3"/>
    </row>
    <row r="36" spans="1:66" ht="16.2" thickBot="1" x14ac:dyDescent="0.3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P36" s="18"/>
      <c r="Q36" s="18"/>
      <c r="R36" s="18"/>
      <c r="S36" s="18"/>
      <c r="T36" s="18"/>
      <c r="U36" s="18"/>
      <c r="V36" s="18"/>
      <c r="W36" s="18"/>
      <c r="X36" s="18"/>
      <c r="Y36" s="383"/>
      <c r="Z36" s="11" t="str">
        <f>+P16</f>
        <v>B7</v>
      </c>
      <c r="AA36" s="14">
        <f>IF(ISTEXT(Z36),AA35,0)</f>
        <v>13</v>
      </c>
      <c r="AB36" s="14">
        <f>IF(ISTEXT(Z36),AB35,0)</f>
        <v>3</v>
      </c>
      <c r="AC36" s="15">
        <f>IF(ISTEXT(Z36),AC35,0)</f>
        <v>9</v>
      </c>
      <c r="AD36" s="6"/>
      <c r="AE36" s="11" t="str">
        <f>+S16</f>
        <v>B9</v>
      </c>
      <c r="AF36" s="14">
        <f>IF(ISTEXT(AE36),AF35,0)</f>
        <v>5</v>
      </c>
      <c r="AG36" s="48">
        <f>IF(ISTEXT(AE36),AG35,0)</f>
        <v>1</v>
      </c>
      <c r="AH36" s="15">
        <f>IF(ISTEXT(AE36),AH35,0)</f>
        <v>-4</v>
      </c>
      <c r="AI36" s="6"/>
      <c r="AJ36" s="11" t="str">
        <f>+V16</f>
        <v>B11</v>
      </c>
      <c r="AK36" s="14">
        <f>IF(ISTEXT(AJ36),AK35,0)</f>
        <v>6</v>
      </c>
      <c r="AL36" s="48">
        <f>IF(ISTEXT(AJ36),AL35,0)</f>
        <v>1</v>
      </c>
      <c r="AM36" s="15">
        <f>IF(ISTEXT(AJ36),AM35,0)</f>
        <v>-1</v>
      </c>
      <c r="AN36" s="18"/>
      <c r="AO36" s="44">
        <v>28</v>
      </c>
      <c r="AP36" s="279" t="str">
        <f>+Inscrits!D12</f>
        <v>B10</v>
      </c>
      <c r="AQ36" s="247">
        <f t="shared" si="3"/>
        <v>1</v>
      </c>
      <c r="AR36" s="82">
        <f t="shared" si="4"/>
        <v>-11</v>
      </c>
      <c r="AS36" s="184">
        <f t="shared" si="5"/>
        <v>2</v>
      </c>
      <c r="AT36" s="250">
        <f t="shared" si="6"/>
        <v>3</v>
      </c>
      <c r="AU36" s="82">
        <f t="shared" si="7"/>
        <v>4</v>
      </c>
      <c r="AV36" s="252">
        <f t="shared" si="8"/>
        <v>9</v>
      </c>
      <c r="AW36" s="247">
        <f t="shared" si="9"/>
        <v>1</v>
      </c>
      <c r="AX36" s="82">
        <f t="shared" si="10"/>
        <v>-5</v>
      </c>
      <c r="AY36" s="252">
        <f t="shared" si="11"/>
        <v>6</v>
      </c>
      <c r="AZ36" s="247">
        <f t="shared" si="17"/>
        <v>5</v>
      </c>
      <c r="BA36" s="82">
        <f t="shared" si="12"/>
        <v>-12</v>
      </c>
      <c r="BB36" s="252">
        <f t="shared" si="13"/>
        <v>17</v>
      </c>
      <c r="BC36" s="255">
        <f t="shared" si="14"/>
        <v>-12</v>
      </c>
      <c r="BD36" s="7">
        <f t="shared" si="15"/>
        <v>0</v>
      </c>
      <c r="BE36" s="183">
        <f t="shared" si="16"/>
        <v>30.118300360000003</v>
      </c>
      <c r="BF36" s="82">
        <f>IF(AP36="","",SMALL(BE$9:BE$62,ROWS(AZ$9:AZ36)))</f>
        <v>6.0276004800000003</v>
      </c>
      <c r="BH36" s="82" t="str">
        <f>IF(OR(AP36="",AZ36=""),"",INDEX($AP$9:$AP$63,MATCH(BF36,$BE$9:BE$62,0)))</f>
        <v>C4</v>
      </c>
      <c r="BI36" s="7">
        <f t="shared" si="0"/>
        <v>7</v>
      </c>
      <c r="BJ36" s="7">
        <f t="shared" si="1"/>
        <v>-3</v>
      </c>
      <c r="BK36" s="7">
        <f t="shared" si="2"/>
        <v>24</v>
      </c>
      <c r="BL36" s="17">
        <f>IF(BF36="","",IF(AND(BI35=BI36,BJ35=BJ36,BK35=BK36),BL35,$BL$9+27))</f>
        <v>28</v>
      </c>
      <c r="BM36" s="22"/>
      <c r="BN36" s="3"/>
    </row>
    <row r="37" spans="1:66" ht="15.6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P37" s="18"/>
      <c r="Q37" s="18"/>
      <c r="R37" s="18"/>
      <c r="S37" s="18"/>
      <c r="T37" s="18"/>
      <c r="U37" s="18"/>
      <c r="V37" s="18"/>
      <c r="W37" s="18"/>
      <c r="X37" s="18"/>
      <c r="Y37" s="383"/>
      <c r="Z37" s="11" t="str">
        <f>+Q16</f>
        <v>C7</v>
      </c>
      <c r="AA37" s="55">
        <f>IF(ISTEXT(Z37),AA35,0)</f>
        <v>13</v>
      </c>
      <c r="AB37" s="55">
        <f>IF(ISTEXT(Z37),AB35,0)</f>
        <v>3</v>
      </c>
      <c r="AC37" s="56">
        <f>IF(ISTEXT(Z37),AC35,0)</f>
        <v>9</v>
      </c>
      <c r="AD37" s="6"/>
      <c r="AE37" s="11" t="str">
        <f>+T16</f>
        <v>C10</v>
      </c>
      <c r="AF37" s="55">
        <f>IF(ISTEXT(AE37),AF35,0)</f>
        <v>5</v>
      </c>
      <c r="AG37" s="52">
        <f>IF(ISTEXT(AE37),AG35,0)</f>
        <v>1</v>
      </c>
      <c r="AH37" s="56">
        <f>IF(ISTEXT(AE37),AH35,0)</f>
        <v>-4</v>
      </c>
      <c r="AI37" s="6"/>
      <c r="AJ37" s="11" t="str">
        <f>+W16</f>
        <v>C13</v>
      </c>
      <c r="AK37" s="55">
        <f>IF(ISTEXT(AJ37),AK35,0)</f>
        <v>6</v>
      </c>
      <c r="AL37" s="52">
        <f>IF(ISTEXT(AJ37),AL35,0)</f>
        <v>1</v>
      </c>
      <c r="AM37" s="56">
        <f>IF(ISTEXT(AJ37),AM35,0)</f>
        <v>-1</v>
      </c>
      <c r="AN37" s="18"/>
      <c r="AO37" s="44">
        <v>29</v>
      </c>
      <c r="AP37" s="279" t="str">
        <f>+Inscrits!D13</f>
        <v>B11</v>
      </c>
      <c r="AQ37" s="247">
        <f t="shared" si="3"/>
        <v>1</v>
      </c>
      <c r="AR37" s="82">
        <f t="shared" si="4"/>
        <v>-1</v>
      </c>
      <c r="AS37" s="184">
        <f t="shared" si="5"/>
        <v>12</v>
      </c>
      <c r="AT37" s="250">
        <f t="shared" si="6"/>
        <v>1</v>
      </c>
      <c r="AU37" s="82">
        <f t="shared" si="7"/>
        <v>-3</v>
      </c>
      <c r="AV37" s="252">
        <f t="shared" si="8"/>
        <v>5</v>
      </c>
      <c r="AW37" s="247">
        <f t="shared" si="9"/>
        <v>1</v>
      </c>
      <c r="AX37" s="82">
        <f t="shared" si="10"/>
        <v>-1</v>
      </c>
      <c r="AY37" s="252">
        <f t="shared" si="11"/>
        <v>6</v>
      </c>
      <c r="AZ37" s="247">
        <f t="shared" si="17"/>
        <v>3</v>
      </c>
      <c r="BA37" s="82">
        <f t="shared" si="12"/>
        <v>-5</v>
      </c>
      <c r="BB37" s="252">
        <f t="shared" si="13"/>
        <v>23</v>
      </c>
      <c r="BC37" s="255">
        <f t="shared" si="14"/>
        <v>-5</v>
      </c>
      <c r="BD37" s="7">
        <f t="shared" si="15"/>
        <v>0</v>
      </c>
      <c r="BE37" s="183">
        <f t="shared" si="16"/>
        <v>48.047700370000001</v>
      </c>
      <c r="BF37" s="82">
        <f>IF(AP37="","",SMALL(BE$9:BE$62,ROWS(AZ$9:AZ37)))</f>
        <v>6.0281003900000005</v>
      </c>
      <c r="BH37" s="82" t="str">
        <f>IF(OR(AP37="",AZ37=""),"",INDEX($AP$9:$AP$63,MATCH(BF37,$BE$9:BE$62,0)))</f>
        <v>B13</v>
      </c>
      <c r="BI37" s="7">
        <f t="shared" si="0"/>
        <v>7</v>
      </c>
      <c r="BJ37" s="7">
        <f t="shared" si="1"/>
        <v>-3</v>
      </c>
      <c r="BK37" s="7">
        <f t="shared" si="2"/>
        <v>19</v>
      </c>
      <c r="BL37" s="17">
        <f>IF(BF37="","",IF(AND(BI36=BI37,BJ36=BJ37,BK36=BK37),BL36,$BL$9+28))</f>
        <v>29</v>
      </c>
      <c r="BM37" s="22"/>
      <c r="BN37" s="3"/>
    </row>
    <row r="38" spans="1:66" ht="15.6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P38" s="18"/>
      <c r="Q38" s="18"/>
      <c r="R38" s="18"/>
      <c r="S38" s="18"/>
      <c r="T38" s="18"/>
      <c r="U38" s="18"/>
      <c r="V38" s="18"/>
      <c r="W38" s="18"/>
      <c r="X38" s="18"/>
      <c r="Y38" s="383"/>
      <c r="Z38" s="24"/>
      <c r="AA38" s="16" t="s">
        <v>5</v>
      </c>
      <c r="AB38" s="16"/>
      <c r="AC38" s="17"/>
      <c r="AD38" s="1"/>
      <c r="AE38" s="24"/>
      <c r="AF38" s="16" t="s">
        <v>5</v>
      </c>
      <c r="AG38" s="16"/>
      <c r="AH38" s="17"/>
      <c r="AI38" s="1"/>
      <c r="AJ38" s="24"/>
      <c r="AK38" s="16" t="s">
        <v>5</v>
      </c>
      <c r="AL38" s="16"/>
      <c r="AM38" s="17"/>
      <c r="AN38" s="18"/>
      <c r="AO38" s="44">
        <v>30</v>
      </c>
      <c r="AP38" s="279" t="str">
        <f>+Inscrits!D14</f>
        <v>B12</v>
      </c>
      <c r="AQ38" s="247">
        <f t="shared" si="3"/>
        <v>3</v>
      </c>
      <c r="AR38" s="82">
        <f t="shared" si="4"/>
        <v>1</v>
      </c>
      <c r="AS38" s="184">
        <f t="shared" si="5"/>
        <v>13</v>
      </c>
      <c r="AT38" s="250">
        <f t="shared" si="6"/>
        <v>3</v>
      </c>
      <c r="AU38" s="82">
        <f t="shared" si="7"/>
        <v>3</v>
      </c>
      <c r="AV38" s="252">
        <f t="shared" si="8"/>
        <v>8</v>
      </c>
      <c r="AW38" s="247">
        <f t="shared" si="9"/>
        <v>3</v>
      </c>
      <c r="AX38" s="82">
        <f t="shared" si="10"/>
        <v>1</v>
      </c>
      <c r="AY38" s="252">
        <f t="shared" si="11"/>
        <v>7</v>
      </c>
      <c r="AZ38" s="247">
        <f t="shared" si="17"/>
        <v>9</v>
      </c>
      <c r="BA38" s="82">
        <f t="shared" si="12"/>
        <v>5</v>
      </c>
      <c r="BB38" s="252">
        <f t="shared" si="13"/>
        <v>28</v>
      </c>
      <c r="BC38" s="255">
        <f t="shared" si="14"/>
        <v>0</v>
      </c>
      <c r="BD38" s="7">
        <f t="shared" si="15"/>
        <v>5</v>
      </c>
      <c r="BE38" s="183">
        <f t="shared" si="16"/>
        <v>0.94720037999999995</v>
      </c>
      <c r="BF38" s="82">
        <f>IF(AP38="","",SMALL(BE$9:BE$62,ROWS(AZ$9:AZ38)))</f>
        <v>29.967800400000002</v>
      </c>
      <c r="BH38" s="82" t="str">
        <f>IF(OR(AP38="",AZ38=""),"",INDEX($AP$9:$AP$63,MATCH(BF38,$BE$9:BE$62,0)))</f>
        <v>B14</v>
      </c>
      <c r="BI38" s="7">
        <f t="shared" si="0"/>
        <v>5</v>
      </c>
      <c r="BJ38" s="7">
        <f t="shared" si="1"/>
        <v>3</v>
      </c>
      <c r="BK38" s="7">
        <f t="shared" si="2"/>
        <v>22</v>
      </c>
      <c r="BL38" s="17">
        <f>IF(BF38="","",IF(AND(BI37=BI38,BJ37=BJ38,BK37=BK38),BL37,$BL$9+29))</f>
        <v>30</v>
      </c>
      <c r="BM38" s="22"/>
      <c r="BN38" s="3"/>
    </row>
    <row r="39" spans="1:66" ht="15.6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P39" s="18"/>
      <c r="Q39" s="18"/>
      <c r="R39" s="18"/>
      <c r="S39" s="18"/>
      <c r="T39" s="18"/>
      <c r="U39" s="18"/>
      <c r="V39" s="18"/>
      <c r="W39" s="18"/>
      <c r="X39" s="18"/>
      <c r="Y39" s="383"/>
      <c r="Z39" s="11" t="str">
        <f>+O17</f>
        <v>A8</v>
      </c>
      <c r="AA39" s="27">
        <v>4</v>
      </c>
      <c r="AB39" s="23">
        <f>IF(AA35+AA39=0,0,IF(AA35=AA39,2,IF(AA35&lt;AA39,3,1)))</f>
        <v>1</v>
      </c>
      <c r="AC39" s="12">
        <f>AA39-AA35</f>
        <v>-9</v>
      </c>
      <c r="AD39" s="6"/>
      <c r="AE39" s="11" t="str">
        <f>+R17</f>
        <v>A9</v>
      </c>
      <c r="AF39" s="108">
        <v>9</v>
      </c>
      <c r="AG39" s="23">
        <f>IF(AF35+AF39=0,0,IF(AF35=AF39,2,IF(AF35&lt;AF39,3,1)))</f>
        <v>3</v>
      </c>
      <c r="AH39" s="12">
        <f>AF39-AF35</f>
        <v>4</v>
      </c>
      <c r="AI39" s="6"/>
      <c r="AJ39" s="11" t="str">
        <f>+U17</f>
        <v>A10</v>
      </c>
      <c r="AK39" s="29">
        <v>7</v>
      </c>
      <c r="AL39" s="23">
        <f>IF(AK35+AK39=0,0,IF(AK35=AK39,2,IF(AK35&lt;AK39,3,1)))</f>
        <v>3</v>
      </c>
      <c r="AM39" s="12">
        <f>AK39-AK35</f>
        <v>1</v>
      </c>
      <c r="AN39" s="18"/>
      <c r="AO39" s="44">
        <v>31</v>
      </c>
      <c r="AP39" s="279" t="str">
        <f>+Inscrits!D15</f>
        <v>B13</v>
      </c>
      <c r="AQ39" s="247">
        <f t="shared" si="3"/>
        <v>1</v>
      </c>
      <c r="AR39" s="82">
        <f t="shared" si="4"/>
        <v>-11</v>
      </c>
      <c r="AS39" s="184">
        <f t="shared" si="5"/>
        <v>2</v>
      </c>
      <c r="AT39" s="250">
        <f t="shared" si="6"/>
        <v>3</v>
      </c>
      <c r="AU39" s="82">
        <f t="shared" si="7"/>
        <v>5</v>
      </c>
      <c r="AV39" s="252">
        <f t="shared" si="8"/>
        <v>10</v>
      </c>
      <c r="AW39" s="247">
        <f t="shared" si="9"/>
        <v>3</v>
      </c>
      <c r="AX39" s="82">
        <f t="shared" si="10"/>
        <v>3</v>
      </c>
      <c r="AY39" s="252">
        <f t="shared" si="11"/>
        <v>7</v>
      </c>
      <c r="AZ39" s="247">
        <f t="shared" si="17"/>
        <v>7</v>
      </c>
      <c r="BA39" s="82">
        <f t="shared" si="12"/>
        <v>-3</v>
      </c>
      <c r="BB39" s="252">
        <f t="shared" si="13"/>
        <v>19</v>
      </c>
      <c r="BC39" s="255">
        <f t="shared" si="14"/>
        <v>-3</v>
      </c>
      <c r="BD39" s="7">
        <f t="shared" si="15"/>
        <v>0</v>
      </c>
      <c r="BE39" s="183">
        <f t="shared" si="16"/>
        <v>6.0281003900000005</v>
      </c>
      <c r="BF39" s="82">
        <f>IF(AP39="","",SMALL(BE$9:BE$62,ROWS(AZ$9:AZ39)))</f>
        <v>29.987700269999998</v>
      </c>
      <c r="BH39" s="82" t="str">
        <f>IF(OR(AP39="",AZ39=""),"",INDEX($AP$9:$AP$63,MATCH(BF39,$BE$9:BE$62,0)))</f>
        <v>B1</v>
      </c>
      <c r="BI39" s="7">
        <f t="shared" si="0"/>
        <v>5</v>
      </c>
      <c r="BJ39" s="7">
        <f t="shared" si="1"/>
        <v>1</v>
      </c>
      <c r="BK39" s="7">
        <f t="shared" si="2"/>
        <v>23</v>
      </c>
      <c r="BL39" s="17">
        <f>IF(BF39="","",IF(AND(BI38=BI39,BJ38=BJ39,BK38=BK39),BL38,$BL$9+30))</f>
        <v>31</v>
      </c>
      <c r="BM39" s="22"/>
      <c r="BN39" s="3"/>
    </row>
    <row r="40" spans="1:66" ht="16.2" thickBot="1" x14ac:dyDescent="0.3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P40" s="18"/>
      <c r="Q40" s="18"/>
      <c r="R40" s="18"/>
      <c r="S40" s="18"/>
      <c r="T40" s="18"/>
      <c r="U40" s="18"/>
      <c r="V40" s="18"/>
      <c r="W40" s="18"/>
      <c r="X40" s="18"/>
      <c r="Y40" s="383"/>
      <c r="Z40" s="11" t="str">
        <f>+P17</f>
        <v>B8</v>
      </c>
      <c r="AA40" s="14">
        <f>IF(ISTEXT(Z40),AA39,0)</f>
        <v>4</v>
      </c>
      <c r="AB40" s="14">
        <f>IF(ISTEXT(Z40),AB39,0)</f>
        <v>1</v>
      </c>
      <c r="AC40" s="15">
        <f>IF(ISTEXT(Z40),AC39,0)</f>
        <v>-9</v>
      </c>
      <c r="AD40" s="6"/>
      <c r="AE40" s="11" t="str">
        <f>+S17</f>
        <v>B10</v>
      </c>
      <c r="AF40" s="14">
        <f>IF(ISTEXT(AE40),AF39,0)</f>
        <v>9</v>
      </c>
      <c r="AG40" s="14">
        <f>IF(ISTEXT(AE40),AG39,0)</f>
        <v>3</v>
      </c>
      <c r="AH40" s="15">
        <f>IF(ISTEXT(AE40),AH39,0)</f>
        <v>4</v>
      </c>
      <c r="AI40" s="6"/>
      <c r="AJ40" s="11" t="str">
        <f>+V17</f>
        <v>B12</v>
      </c>
      <c r="AK40" s="14">
        <f>IF(ISTEXT(AJ40),AK39,0)</f>
        <v>7</v>
      </c>
      <c r="AL40" s="14">
        <f>IF(ISTEXT(AJ40),AL39,0)</f>
        <v>3</v>
      </c>
      <c r="AM40" s="15">
        <f>IF(ISTEXT(AJ40),AM39,0)</f>
        <v>1</v>
      </c>
      <c r="AN40" s="18"/>
      <c r="AO40" s="44">
        <v>32</v>
      </c>
      <c r="AP40" s="279" t="str">
        <f>+Inscrits!D16</f>
        <v>B14</v>
      </c>
      <c r="AQ40" s="247">
        <f t="shared" si="3"/>
        <v>3</v>
      </c>
      <c r="AR40" s="82">
        <f t="shared" si="4"/>
        <v>11</v>
      </c>
      <c r="AS40" s="184">
        <f t="shared" si="5"/>
        <v>13</v>
      </c>
      <c r="AT40" s="250">
        <f t="shared" si="6"/>
        <v>1</v>
      </c>
      <c r="AU40" s="82">
        <f t="shared" si="7"/>
        <v>-5</v>
      </c>
      <c r="AV40" s="252">
        <f t="shared" si="8"/>
        <v>5</v>
      </c>
      <c r="AW40" s="247">
        <f t="shared" si="9"/>
        <v>1</v>
      </c>
      <c r="AX40" s="82">
        <f t="shared" si="10"/>
        <v>-3</v>
      </c>
      <c r="AY40" s="252">
        <f t="shared" si="11"/>
        <v>4</v>
      </c>
      <c r="AZ40" s="247">
        <f t="shared" si="17"/>
        <v>5</v>
      </c>
      <c r="BA40" s="82">
        <f t="shared" si="12"/>
        <v>3</v>
      </c>
      <c r="BB40" s="252">
        <f t="shared" si="13"/>
        <v>22</v>
      </c>
      <c r="BC40" s="255">
        <f t="shared" si="14"/>
        <v>0</v>
      </c>
      <c r="BD40" s="7">
        <f t="shared" si="15"/>
        <v>3</v>
      </c>
      <c r="BE40" s="183">
        <f t="shared" si="16"/>
        <v>29.967800400000002</v>
      </c>
      <c r="BF40" s="82">
        <f>IF(AP40="","",SMALL(BE$9:BE$62,ROWS(AZ$9:AZ40)))</f>
        <v>29.987800119999999</v>
      </c>
      <c r="BH40" s="82" t="str">
        <f>IF(OR(AP40="",AZ40=""),"",INDEX($AP$9:$AP$63,MATCH(BF40,$BE$9:BE$62,0)))</f>
        <v>A4</v>
      </c>
      <c r="BI40" s="7">
        <f t="shared" si="0"/>
        <v>5</v>
      </c>
      <c r="BJ40" s="7">
        <f t="shared" si="1"/>
        <v>1</v>
      </c>
      <c r="BK40" s="7">
        <f t="shared" si="2"/>
        <v>22</v>
      </c>
      <c r="BL40" s="17">
        <f>IF(BF40="","",IF(AND(BI39=BI40,BJ39=BJ40,BK39=BK40),BL39,$BL$9+31))</f>
        <v>32</v>
      </c>
      <c r="BM40" s="22"/>
      <c r="BN40" s="3"/>
    </row>
    <row r="41" spans="1:66" ht="16.2" thickBot="1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P41" s="18"/>
      <c r="Q41" s="18"/>
      <c r="R41" s="18"/>
      <c r="S41" s="18"/>
      <c r="T41" s="18"/>
      <c r="U41" s="18"/>
      <c r="V41" s="18"/>
      <c r="W41" s="18"/>
      <c r="X41" s="18"/>
      <c r="Y41" s="384"/>
      <c r="Z41" s="13" t="str">
        <f>+Q17</f>
        <v>C8</v>
      </c>
      <c r="AA41" s="14">
        <f>IF(ISTEXT(Z41),AA39,0)</f>
        <v>4</v>
      </c>
      <c r="AB41" s="14">
        <f>IF(ISTEXT(Z41),AB39,0)</f>
        <v>1</v>
      </c>
      <c r="AC41" s="15">
        <f>IF(ISTEXT(Z41),AC39,0)</f>
        <v>-9</v>
      </c>
      <c r="AD41" s="6"/>
      <c r="AE41" s="13" t="str">
        <f>+T17</f>
        <v>C11</v>
      </c>
      <c r="AF41" s="14">
        <f>IF(ISTEXT(AE41),AF39,0)</f>
        <v>9</v>
      </c>
      <c r="AG41" s="14">
        <f>IF(ISTEXT(AE41),AG39,0)</f>
        <v>3</v>
      </c>
      <c r="AH41" s="15">
        <f>IF(ISTEXT(AE41),AH39,0)</f>
        <v>4</v>
      </c>
      <c r="AI41" s="6"/>
      <c r="AJ41" s="13" t="str">
        <f>+W17</f>
        <v>C14</v>
      </c>
      <c r="AK41" s="14">
        <f>IF(ISTEXT(AJ41),AK39,0)</f>
        <v>7</v>
      </c>
      <c r="AL41" s="14">
        <f>IF(ISTEXT(AJ41),AL39,0)</f>
        <v>3</v>
      </c>
      <c r="AM41" s="15">
        <f>IF(ISTEXT(AJ41),AM39,0)</f>
        <v>1</v>
      </c>
      <c r="AN41" s="18"/>
      <c r="AO41" s="44">
        <v>33</v>
      </c>
      <c r="AP41" s="279" t="str">
        <f>+Inscrits!D17</f>
        <v>B15</v>
      </c>
      <c r="AQ41" s="247">
        <f t="shared" si="3"/>
        <v>1</v>
      </c>
      <c r="AR41" s="82">
        <f t="shared" si="4"/>
        <v>-4</v>
      </c>
      <c r="AS41" s="184">
        <f t="shared" si="5"/>
        <v>8</v>
      </c>
      <c r="AT41" s="250">
        <f t="shared" si="6"/>
        <v>1</v>
      </c>
      <c r="AU41" s="82">
        <f t="shared" si="7"/>
        <v>-1</v>
      </c>
      <c r="AV41" s="252">
        <f t="shared" si="8"/>
        <v>11</v>
      </c>
      <c r="AW41" s="247">
        <f t="shared" si="9"/>
        <v>1</v>
      </c>
      <c r="AX41" s="82">
        <f t="shared" si="10"/>
        <v>-3</v>
      </c>
      <c r="AY41" s="252">
        <f t="shared" si="11"/>
        <v>8</v>
      </c>
      <c r="AZ41" s="247">
        <f t="shared" si="17"/>
        <v>3</v>
      </c>
      <c r="BA41" s="82">
        <f t="shared" si="12"/>
        <v>-8</v>
      </c>
      <c r="BB41" s="252">
        <f t="shared" si="13"/>
        <v>27</v>
      </c>
      <c r="BC41" s="255">
        <f t="shared" si="14"/>
        <v>-8</v>
      </c>
      <c r="BD41" s="7">
        <f t="shared" si="15"/>
        <v>0</v>
      </c>
      <c r="BE41" s="183">
        <f t="shared" si="16"/>
        <v>48.077300409999999</v>
      </c>
      <c r="BF41" s="82">
        <f>IF(AP41="","",SMALL(BE$9:BE$62,ROWS(AZ$9:AZ41)))</f>
        <v>29.9971003</v>
      </c>
      <c r="BH41" s="82" t="str">
        <f>IF(OR(AP41="",AZ41=""),"",INDEX($AP$9:$AP$63,MATCH(BF41,$BE$9:BE$62,0)))</f>
        <v>B4</v>
      </c>
      <c r="BI41" s="7">
        <f t="shared" ref="BI41:BI62" si="18">IF(AP41="","",INDEX($AZ$9:$AZ$63,MATCH(BF41,$BE$9:$BE$62,0)))</f>
        <v>5</v>
      </c>
      <c r="BJ41" s="7">
        <f t="shared" ref="BJ41:BJ62" si="19">IF(AP41="","",INDEX($BA$9:$BA$63,MATCH(BF41,$BE$9:$BE$62,0)))</f>
        <v>0</v>
      </c>
      <c r="BK41" s="7">
        <f t="shared" ref="BK41:BK62" si="20">IF(AP41="","",INDEX($BB$9:$BB$63,MATCH(BF41,$BE$9:$BE$62,0)))</f>
        <v>29</v>
      </c>
      <c r="BL41" s="17">
        <f>IF(BF41="","",IF(AND(BI40=BI41,BJ40=BJ41,BK40=BK41),BL40,$BL$9+32))</f>
        <v>33</v>
      </c>
      <c r="BM41" s="22"/>
      <c r="BN41" s="3"/>
    </row>
    <row r="42" spans="1:66" ht="16.2" thickBot="1" x14ac:dyDescent="0.3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P42" s="18"/>
      <c r="Q42" s="18"/>
      <c r="R42" s="18"/>
      <c r="S42" s="18"/>
      <c r="T42" s="18"/>
      <c r="U42" s="18"/>
      <c r="V42" s="18"/>
      <c r="W42" s="18"/>
      <c r="X42" s="18"/>
      <c r="Y42" s="20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18"/>
      <c r="AO42" s="44">
        <v>34</v>
      </c>
      <c r="AP42" s="279" t="str">
        <f>+Inscrits!D18</f>
        <v>B16</v>
      </c>
      <c r="AQ42" s="247">
        <f t="shared" si="3"/>
        <v>3</v>
      </c>
      <c r="AR42" s="82">
        <f t="shared" si="4"/>
        <v>4</v>
      </c>
      <c r="AS42" s="184">
        <f t="shared" si="5"/>
        <v>12</v>
      </c>
      <c r="AT42" s="250">
        <f t="shared" si="6"/>
        <v>3</v>
      </c>
      <c r="AU42" s="82">
        <f t="shared" si="7"/>
        <v>1</v>
      </c>
      <c r="AV42" s="252">
        <f t="shared" si="8"/>
        <v>12</v>
      </c>
      <c r="AW42" s="247">
        <f t="shared" si="9"/>
        <v>3</v>
      </c>
      <c r="AX42" s="82">
        <f t="shared" si="10"/>
        <v>3</v>
      </c>
      <c r="AY42" s="252">
        <f t="shared" si="11"/>
        <v>11</v>
      </c>
      <c r="AZ42" s="247">
        <f t="shared" si="17"/>
        <v>9</v>
      </c>
      <c r="BA42" s="82">
        <f t="shared" si="12"/>
        <v>8</v>
      </c>
      <c r="BB42" s="252">
        <f t="shared" si="13"/>
        <v>35</v>
      </c>
      <c r="BC42" s="255">
        <f t="shared" si="14"/>
        <v>0</v>
      </c>
      <c r="BD42" s="7">
        <f t="shared" si="15"/>
        <v>8</v>
      </c>
      <c r="BE42" s="183">
        <f t="shared" si="16"/>
        <v>0.91650042000000009</v>
      </c>
      <c r="BF42" s="82">
        <f>IF(AP42="","",SMALL(BE$9:BE$62,ROWS(AZ$9:AZ42)))</f>
        <v>29.997300599999999</v>
      </c>
      <c r="BH42" s="82" t="str">
        <f>IF(OR(AP42="",AZ42=""),"",INDEX($AP$9:$AP$63,MATCH(BF42,$BE$9:BE$62,0)))</f>
        <v>C16</v>
      </c>
      <c r="BI42" s="7">
        <f t="shared" si="18"/>
        <v>5</v>
      </c>
      <c r="BJ42" s="7">
        <f t="shared" si="19"/>
        <v>0</v>
      </c>
      <c r="BK42" s="7">
        <f t="shared" si="20"/>
        <v>27</v>
      </c>
      <c r="BL42" s="17">
        <f>IF(BF42="","",IF(AND(BI41=BI42,BJ41=BJ42,BK41=BK42),BL41,$BL$9+33))</f>
        <v>34</v>
      </c>
      <c r="BM42" s="22"/>
      <c r="BN42" s="3"/>
    </row>
    <row r="43" spans="1:66" ht="15.6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P43" s="18"/>
      <c r="Q43" s="18"/>
      <c r="R43" s="18"/>
      <c r="S43" s="18"/>
      <c r="T43" s="18"/>
      <c r="U43" s="18"/>
      <c r="V43" s="18"/>
      <c r="W43" s="18"/>
      <c r="X43" s="18"/>
      <c r="Y43" s="382">
        <v>5</v>
      </c>
      <c r="Z43" s="9" t="str">
        <f>+O18</f>
        <v>A9</v>
      </c>
      <c r="AA43" s="25">
        <v>13</v>
      </c>
      <c r="AB43" s="38">
        <f>IF(AA43+AA47=0,0,IF(AA43=AA47,2,IF(AA43&gt;AA47,3,1)))</f>
        <v>3</v>
      </c>
      <c r="AC43" s="10">
        <f>AA43-AA47</f>
        <v>11</v>
      </c>
      <c r="AD43" s="6"/>
      <c r="AE43" s="9" t="str">
        <f>+R18</f>
        <v>A10</v>
      </c>
      <c r="AF43" s="107">
        <v>5</v>
      </c>
      <c r="AG43" s="38">
        <f>IF(AF43+AF47=0,0,IF(AF43=AF47,2,IF(AF43&gt;AF47,3,1)))</f>
        <v>1</v>
      </c>
      <c r="AH43" s="10">
        <f>AF43-AF47</f>
        <v>-3</v>
      </c>
      <c r="AI43" s="6"/>
      <c r="AJ43" s="9" t="str">
        <f>+U18</f>
        <v>A11</v>
      </c>
      <c r="AK43" s="28">
        <v>7</v>
      </c>
      <c r="AL43" s="38">
        <f>IF(AK43+AK47=0,0,IF(AK43=AK47,2,IF(AK43&gt;AK47,3,1)))</f>
        <v>3</v>
      </c>
      <c r="AM43" s="10">
        <f>AK43-AK47</f>
        <v>3</v>
      </c>
      <c r="AN43" s="18"/>
      <c r="AO43" s="44">
        <v>35</v>
      </c>
      <c r="AP43" s="279" t="str">
        <f>+Inscrits!D19</f>
        <v>B17</v>
      </c>
      <c r="AQ43" s="247">
        <f t="shared" si="3"/>
        <v>3</v>
      </c>
      <c r="AR43" s="82">
        <f t="shared" si="4"/>
        <v>6</v>
      </c>
      <c r="AS43" s="184">
        <f t="shared" si="5"/>
        <v>11</v>
      </c>
      <c r="AT43" s="250">
        <f t="shared" si="6"/>
        <v>3</v>
      </c>
      <c r="AU43" s="82">
        <f t="shared" si="7"/>
        <v>1</v>
      </c>
      <c r="AV43" s="252">
        <f t="shared" si="8"/>
        <v>10</v>
      </c>
      <c r="AW43" s="247">
        <f t="shared" si="9"/>
        <v>3</v>
      </c>
      <c r="AX43" s="82">
        <f t="shared" si="10"/>
        <v>3</v>
      </c>
      <c r="AY43" s="252">
        <f t="shared" si="11"/>
        <v>10</v>
      </c>
      <c r="AZ43" s="247">
        <f t="shared" si="17"/>
        <v>9</v>
      </c>
      <c r="BA43" s="82">
        <f t="shared" si="12"/>
        <v>10</v>
      </c>
      <c r="BB43" s="252">
        <f t="shared" si="13"/>
        <v>31</v>
      </c>
      <c r="BC43" s="255">
        <f t="shared" si="14"/>
        <v>0</v>
      </c>
      <c r="BD43" s="7">
        <f t="shared" si="15"/>
        <v>10</v>
      </c>
      <c r="BE43" s="183">
        <f t="shared" si="16"/>
        <v>0.89690043000000008</v>
      </c>
      <c r="BF43" s="82">
        <f>IF(AP43="","",SMALL(BE$9:BE$62,ROWS(AZ$9:AZ43)))</f>
        <v>30.007600450000002</v>
      </c>
      <c r="BH43" s="82" t="str">
        <f>IF(OR(AP43="",AZ43=""),"",INDEX($AP$9:$AP$63,MATCH(BF43,$BE$9:BE$62,0)))</f>
        <v>C1</v>
      </c>
      <c r="BI43" s="7">
        <f t="shared" si="18"/>
        <v>5</v>
      </c>
      <c r="BJ43" s="7">
        <f t="shared" si="19"/>
        <v>-1</v>
      </c>
      <c r="BK43" s="7">
        <f t="shared" si="20"/>
        <v>24</v>
      </c>
      <c r="BL43" s="17">
        <f>IF(BF43="","",IF(AND(BI42=BI43,BJ42=BJ43,BK42=BK43),BL42,$BL$9+34))</f>
        <v>35</v>
      </c>
      <c r="BM43" s="22"/>
      <c r="BN43" s="3"/>
    </row>
    <row r="44" spans="1:66" ht="16.2" thickBot="1" x14ac:dyDescent="0.3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P44" s="18"/>
      <c r="Q44" s="18"/>
      <c r="R44" s="18"/>
      <c r="S44" s="18"/>
      <c r="T44" s="18"/>
      <c r="U44" s="18"/>
      <c r="V44" s="18"/>
      <c r="W44" s="18"/>
      <c r="X44" s="18"/>
      <c r="Y44" s="383"/>
      <c r="Z44" s="11" t="str">
        <f>+P18</f>
        <v>B9</v>
      </c>
      <c r="AA44" s="14">
        <f>IF(ISTEXT(Z44),AA43,0)</f>
        <v>13</v>
      </c>
      <c r="AB44" s="14">
        <f>IF(ISTEXT(Z44),AB43,0)</f>
        <v>3</v>
      </c>
      <c r="AC44" s="15">
        <f>IF(ISTEXT(Z44),AC43,0)</f>
        <v>11</v>
      </c>
      <c r="AD44" s="6"/>
      <c r="AE44" s="11" t="str">
        <f>+S18</f>
        <v>B11</v>
      </c>
      <c r="AF44" s="14">
        <f>IF(ISTEXT(AE44),AF43,0)</f>
        <v>5</v>
      </c>
      <c r="AG44" s="48">
        <f>IF(ISTEXT(AE44),AG43,0)</f>
        <v>1</v>
      </c>
      <c r="AH44" s="15">
        <f>IF(ISTEXT(AE44),AH43,0)</f>
        <v>-3</v>
      </c>
      <c r="AI44" s="6"/>
      <c r="AJ44" s="11" t="str">
        <f>+V18</f>
        <v>B13</v>
      </c>
      <c r="AK44" s="14">
        <f>IF(ISTEXT(AJ44),AK43,0)</f>
        <v>7</v>
      </c>
      <c r="AL44" s="48">
        <f>IF(ISTEXT(AJ44),AL43,0)</f>
        <v>3</v>
      </c>
      <c r="AM44" s="15">
        <f>IF(ISTEXT(AJ44),AM43,0)</f>
        <v>3</v>
      </c>
      <c r="AN44" s="18"/>
      <c r="AO44" s="44">
        <v>36</v>
      </c>
      <c r="AP44" s="279" t="str">
        <f>+Inscrits!D20</f>
        <v>B18</v>
      </c>
      <c r="AQ44" s="247">
        <f t="shared" si="3"/>
        <v>1</v>
      </c>
      <c r="AR44" s="82">
        <f t="shared" si="4"/>
        <v>-6</v>
      </c>
      <c r="AS44" s="184">
        <f t="shared" si="5"/>
        <v>5</v>
      </c>
      <c r="AT44" s="250">
        <f t="shared" si="6"/>
        <v>1</v>
      </c>
      <c r="AU44" s="82">
        <f t="shared" si="7"/>
        <v>-1</v>
      </c>
      <c r="AV44" s="252">
        <f t="shared" si="8"/>
        <v>9</v>
      </c>
      <c r="AW44" s="247">
        <f t="shared" si="9"/>
        <v>1</v>
      </c>
      <c r="AX44" s="82">
        <f t="shared" si="10"/>
        <v>-3</v>
      </c>
      <c r="AY44" s="252">
        <f t="shared" si="11"/>
        <v>7</v>
      </c>
      <c r="AZ44" s="247">
        <f t="shared" si="17"/>
        <v>3</v>
      </c>
      <c r="BA44" s="82">
        <f t="shared" si="12"/>
        <v>-10</v>
      </c>
      <c r="BB44" s="252">
        <f t="shared" si="13"/>
        <v>21</v>
      </c>
      <c r="BC44" s="255">
        <f t="shared" si="14"/>
        <v>-10</v>
      </c>
      <c r="BD44" s="7">
        <f t="shared" si="15"/>
        <v>0</v>
      </c>
      <c r="BE44" s="183">
        <f t="shared" si="16"/>
        <v>48.097900440000004</v>
      </c>
      <c r="BF44" s="82">
        <f>IF(AP44="","",SMALL(BE$9:BE$62,ROWS(AZ$9:AZ44)))</f>
        <v>30.007800520000004</v>
      </c>
      <c r="BH44" s="82" t="str">
        <f>IF(OR(AP44="",AZ44=""),"",INDEX($AP$9:$AP$63,MATCH(BF44,$BE$9:BE$62,0)))</f>
        <v>C8</v>
      </c>
      <c r="BI44" s="7">
        <f t="shared" si="18"/>
        <v>5</v>
      </c>
      <c r="BJ44" s="7">
        <f t="shared" si="19"/>
        <v>-1</v>
      </c>
      <c r="BK44" s="7">
        <f t="shared" si="20"/>
        <v>22</v>
      </c>
      <c r="BL44" s="17">
        <f>IF(BF44="","",IF(AND(BI43=BI44,BJ43=BJ44,BK43=BK44),BL43,$BL$9+35))</f>
        <v>36</v>
      </c>
      <c r="BM44" s="22"/>
      <c r="BN44" s="3"/>
    </row>
    <row r="45" spans="1:66" ht="15.6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P45" s="18"/>
      <c r="Q45" s="18"/>
      <c r="R45" s="18"/>
      <c r="S45" s="18"/>
      <c r="T45" s="18"/>
      <c r="U45" s="18"/>
      <c r="V45" s="18"/>
      <c r="W45" s="18"/>
      <c r="X45" s="18"/>
      <c r="Y45" s="383"/>
      <c r="Z45" s="11" t="str">
        <f>+Q18</f>
        <v>C9</v>
      </c>
      <c r="AA45" s="55">
        <f>IF(ISTEXT(Z45),AA43,0)</f>
        <v>13</v>
      </c>
      <c r="AB45" s="55">
        <f>IF(ISTEXT(Z45),AB43,0)</f>
        <v>3</v>
      </c>
      <c r="AC45" s="56">
        <f>IF(ISTEXT(Z45),AC43,0)</f>
        <v>11</v>
      </c>
      <c r="AD45" s="6"/>
      <c r="AE45" s="11" t="str">
        <f>+T18</f>
        <v>C12</v>
      </c>
      <c r="AF45" s="55">
        <f>IF(ISTEXT(AE45),AF43,0)</f>
        <v>5</v>
      </c>
      <c r="AG45" s="52">
        <f>IF(ISTEXT(AE45),AG43,0)</f>
        <v>1</v>
      </c>
      <c r="AH45" s="56">
        <f>IF(ISTEXT(AE45),AH43,0)</f>
        <v>-3</v>
      </c>
      <c r="AI45" s="6"/>
      <c r="AJ45" s="11" t="str">
        <f>+W18</f>
        <v>C15</v>
      </c>
      <c r="AK45" s="55">
        <f>IF(ISTEXT(AJ45),AK43,0)</f>
        <v>7</v>
      </c>
      <c r="AL45" s="52">
        <f>IF(ISTEXT(AJ45),AL43,0)</f>
        <v>3</v>
      </c>
      <c r="AM45" s="56">
        <f>IF(ISTEXT(AJ45),AM43,0)</f>
        <v>3</v>
      </c>
      <c r="AN45" s="18"/>
      <c r="AO45" s="44">
        <v>37</v>
      </c>
      <c r="AP45" s="5" t="str">
        <f>+Inscrits!F3</f>
        <v>C1</v>
      </c>
      <c r="AQ45" s="247">
        <f t="shared" si="3"/>
        <v>1</v>
      </c>
      <c r="AR45" s="82">
        <f t="shared" si="4"/>
        <v>-3</v>
      </c>
      <c r="AS45" s="184">
        <f t="shared" si="5"/>
        <v>5</v>
      </c>
      <c r="AT45" s="250">
        <f t="shared" si="6"/>
        <v>1</v>
      </c>
      <c r="AU45" s="82">
        <f t="shared" si="7"/>
        <v>-1</v>
      </c>
      <c r="AV45" s="252">
        <f t="shared" si="8"/>
        <v>9</v>
      </c>
      <c r="AW45" s="247">
        <f t="shared" si="9"/>
        <v>3</v>
      </c>
      <c r="AX45" s="82">
        <f t="shared" si="10"/>
        <v>3</v>
      </c>
      <c r="AY45" s="252">
        <f t="shared" si="11"/>
        <v>10</v>
      </c>
      <c r="AZ45" s="247">
        <f t="shared" si="17"/>
        <v>5</v>
      </c>
      <c r="BA45" s="82">
        <f t="shared" si="12"/>
        <v>-1</v>
      </c>
      <c r="BB45" s="252">
        <f t="shared" si="13"/>
        <v>24</v>
      </c>
      <c r="BC45" s="255">
        <f t="shared" si="14"/>
        <v>-1</v>
      </c>
      <c r="BD45" s="7">
        <f t="shared" si="15"/>
        <v>0</v>
      </c>
      <c r="BE45" s="183">
        <f t="shared" si="16"/>
        <v>30.007600450000002</v>
      </c>
      <c r="BF45" s="82">
        <f>IF(AP45="","",SMALL(BE$9:BE$62,ROWS(AZ$9:AZ45)))</f>
        <v>30.057800109999999</v>
      </c>
      <c r="BH45" s="82" t="str">
        <f>IF(OR(AP45="",AZ45=""),"",INDEX($AP$9:$AP$63,MATCH(BF45,$BE$9:BE$62,0)))</f>
        <v>A3</v>
      </c>
      <c r="BI45" s="7">
        <f t="shared" si="18"/>
        <v>5</v>
      </c>
      <c r="BJ45" s="7">
        <f t="shared" si="19"/>
        <v>-6</v>
      </c>
      <c r="BK45" s="7">
        <f t="shared" si="20"/>
        <v>22</v>
      </c>
      <c r="BL45" s="17">
        <f>IF(BF45="","",IF(AND(BI44=BI45,BJ44=BJ45,BK44=BK45),BL44,$BL$9+36))</f>
        <v>37</v>
      </c>
      <c r="BM45" s="22"/>
      <c r="BN45" s="3"/>
    </row>
    <row r="46" spans="1:66" ht="15.6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P46" s="18"/>
      <c r="Q46" s="18"/>
      <c r="R46" s="18"/>
      <c r="S46" s="18"/>
      <c r="T46" s="18"/>
      <c r="U46" s="18"/>
      <c r="V46" s="18"/>
      <c r="W46" s="18"/>
      <c r="X46" s="18"/>
      <c r="Y46" s="383"/>
      <c r="Z46" s="24"/>
      <c r="AA46" s="16" t="s">
        <v>5</v>
      </c>
      <c r="AB46" s="16"/>
      <c r="AC46" s="17"/>
      <c r="AD46" s="1"/>
      <c r="AE46" s="24"/>
      <c r="AF46" s="16" t="s">
        <v>5</v>
      </c>
      <c r="AG46" s="16"/>
      <c r="AH46" s="17"/>
      <c r="AI46" s="1"/>
      <c r="AJ46" s="24"/>
      <c r="AK46" s="16" t="s">
        <v>5</v>
      </c>
      <c r="AL46" s="16"/>
      <c r="AM46" s="17"/>
      <c r="AN46" s="18"/>
      <c r="AO46" s="44">
        <v>38</v>
      </c>
      <c r="AP46" s="5" t="str">
        <f>+Inscrits!F4</f>
        <v>C2</v>
      </c>
      <c r="AQ46" s="247">
        <f t="shared" si="3"/>
        <v>3</v>
      </c>
      <c r="AR46" s="82">
        <f t="shared" si="4"/>
        <v>3</v>
      </c>
      <c r="AS46" s="184">
        <f t="shared" si="5"/>
        <v>8</v>
      </c>
      <c r="AT46" s="250">
        <f t="shared" si="6"/>
        <v>1</v>
      </c>
      <c r="AU46" s="82">
        <f t="shared" si="7"/>
        <v>-8</v>
      </c>
      <c r="AV46" s="252">
        <f t="shared" si="8"/>
        <v>5</v>
      </c>
      <c r="AW46" s="247">
        <f t="shared" si="9"/>
        <v>1</v>
      </c>
      <c r="AX46" s="82">
        <f t="shared" si="10"/>
        <v>-3</v>
      </c>
      <c r="AY46" s="252">
        <f t="shared" si="11"/>
        <v>7</v>
      </c>
      <c r="AZ46" s="247">
        <f t="shared" si="17"/>
        <v>5</v>
      </c>
      <c r="BA46" s="82">
        <f t="shared" si="12"/>
        <v>-8</v>
      </c>
      <c r="BB46" s="252">
        <f t="shared" si="13"/>
        <v>20</v>
      </c>
      <c r="BC46" s="255">
        <f t="shared" si="14"/>
        <v>-8</v>
      </c>
      <c r="BD46" s="7">
        <f t="shared" si="15"/>
        <v>0</v>
      </c>
      <c r="BE46" s="183">
        <f t="shared" si="16"/>
        <v>30.078000459999998</v>
      </c>
      <c r="BF46" s="82">
        <f>IF(AP46="","",SMALL(BE$9:BE$62,ROWS(AZ$9:AZ46)))</f>
        <v>30.057900320000002</v>
      </c>
      <c r="BH46" s="82" t="str">
        <f>IF(OR(AP46="",AZ46=""),"",INDEX($AP$9:$AP$63,MATCH(BF46,$BE$9:BE$62,0)))</f>
        <v>B6</v>
      </c>
      <c r="BI46" s="7">
        <f t="shared" si="18"/>
        <v>5</v>
      </c>
      <c r="BJ46" s="7">
        <f t="shared" si="19"/>
        <v>-6</v>
      </c>
      <c r="BK46" s="7">
        <f t="shared" si="20"/>
        <v>21</v>
      </c>
      <c r="BL46" s="17">
        <f>IF(BF46="","",IF(AND(BI45=BI46,BJ45=BJ46,BK45=BK46),BL45,$BL$9+37))</f>
        <v>38</v>
      </c>
      <c r="BM46" s="22"/>
      <c r="BN46" s="3"/>
    </row>
    <row r="47" spans="1:66" ht="15.6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P47" s="18"/>
      <c r="Q47" s="18"/>
      <c r="R47" s="18"/>
      <c r="S47" s="18"/>
      <c r="T47" s="18"/>
      <c r="U47" s="18"/>
      <c r="V47" s="18"/>
      <c r="W47" s="18"/>
      <c r="X47" s="18"/>
      <c r="Y47" s="383"/>
      <c r="Z47" s="11" t="str">
        <f>+O19</f>
        <v>A10</v>
      </c>
      <c r="AA47" s="27">
        <v>2</v>
      </c>
      <c r="AB47" s="23">
        <f>IF(AA43+AA47=0,0,IF(AA43=AA47,2,IF(AA43&lt;AA47,3,1)))</f>
        <v>1</v>
      </c>
      <c r="AC47" s="12">
        <f>AA47-AA43</f>
        <v>-11</v>
      </c>
      <c r="AD47" s="6"/>
      <c r="AE47" s="11" t="str">
        <f>+R19</f>
        <v>A11</v>
      </c>
      <c r="AF47" s="108">
        <v>8</v>
      </c>
      <c r="AG47" s="23">
        <f>IF(AF43+AF47=0,0,IF(AF43=AF47,2,IF(AF43&lt;AF47,3,1)))</f>
        <v>3</v>
      </c>
      <c r="AH47" s="12">
        <f>AF47-AF43</f>
        <v>3</v>
      </c>
      <c r="AI47" s="6"/>
      <c r="AJ47" s="11" t="str">
        <f>+U19</f>
        <v>A12</v>
      </c>
      <c r="AK47" s="29">
        <v>4</v>
      </c>
      <c r="AL47" s="23">
        <f>IF(AK43+AK47=0,0,IF(AK43=AK47,2,IF(AK43&lt;AK47,3,1)))</f>
        <v>1</v>
      </c>
      <c r="AM47" s="12">
        <f>AK47-AK43</f>
        <v>-3</v>
      </c>
      <c r="AN47" s="18"/>
      <c r="AO47" s="44">
        <v>39</v>
      </c>
      <c r="AP47" s="5" t="str">
        <f>+Inscrits!F5</f>
        <v>C3</v>
      </c>
      <c r="AQ47" s="247">
        <f t="shared" si="3"/>
        <v>1</v>
      </c>
      <c r="AR47" s="82">
        <f t="shared" si="4"/>
        <v>-7</v>
      </c>
      <c r="AS47" s="184">
        <f t="shared" si="5"/>
        <v>4</v>
      </c>
      <c r="AT47" s="250">
        <f t="shared" si="6"/>
        <v>3</v>
      </c>
      <c r="AU47" s="82">
        <f t="shared" si="7"/>
        <v>8</v>
      </c>
      <c r="AV47" s="252">
        <f t="shared" si="8"/>
        <v>13</v>
      </c>
      <c r="AW47" s="247">
        <f t="shared" si="9"/>
        <v>3</v>
      </c>
      <c r="AX47" s="82">
        <f t="shared" si="10"/>
        <v>12</v>
      </c>
      <c r="AY47" s="252">
        <f t="shared" si="11"/>
        <v>13</v>
      </c>
      <c r="AZ47" s="247">
        <f t="shared" si="17"/>
        <v>7</v>
      </c>
      <c r="BA47" s="82">
        <f t="shared" si="12"/>
        <v>13</v>
      </c>
      <c r="BB47" s="252">
        <f t="shared" si="13"/>
        <v>30</v>
      </c>
      <c r="BC47" s="255">
        <f t="shared" si="14"/>
        <v>0</v>
      </c>
      <c r="BD47" s="7">
        <f t="shared" si="15"/>
        <v>13</v>
      </c>
      <c r="BE47" s="183">
        <f t="shared" si="16"/>
        <v>5.8670004699999998</v>
      </c>
      <c r="BF47" s="82">
        <f>IF(AP47="","",SMALL(BE$9:BE$62,ROWS(AZ$9:AZ47)))</f>
        <v>30.058000589999999</v>
      </c>
      <c r="BH47" s="82" t="str">
        <f>IF(OR(AP47="",AZ47=""),"",INDEX($AP$9:$AP$63,MATCH(BF47,$BE$9:BE$62,0)))</f>
        <v>C15</v>
      </c>
      <c r="BI47" s="7">
        <f t="shared" si="18"/>
        <v>5</v>
      </c>
      <c r="BJ47" s="7">
        <f t="shared" si="19"/>
        <v>-6</v>
      </c>
      <c r="BK47" s="7">
        <f t="shared" si="20"/>
        <v>20</v>
      </c>
      <c r="BL47" s="17">
        <f>IF(BF47="","",IF(AND(BI46=BI47,BJ46=BJ47,BK46=BK47),BL46,$BL$9+38))</f>
        <v>39</v>
      </c>
      <c r="BM47" s="22"/>
      <c r="BN47" s="3"/>
    </row>
    <row r="48" spans="1:66" ht="16.2" thickBot="1" x14ac:dyDescent="0.3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P48" s="18"/>
      <c r="Q48" s="18"/>
      <c r="R48" s="18"/>
      <c r="S48" s="18"/>
      <c r="T48" s="18"/>
      <c r="U48" s="18"/>
      <c r="V48" s="18"/>
      <c r="W48" s="18"/>
      <c r="X48" s="18"/>
      <c r="Y48" s="383"/>
      <c r="Z48" s="11" t="str">
        <f>+P19</f>
        <v>B10</v>
      </c>
      <c r="AA48" s="14">
        <f>IF(ISTEXT(Z48),AA47,0)</f>
        <v>2</v>
      </c>
      <c r="AB48" s="14">
        <f>IF(ISTEXT(Z48),AB47,0)</f>
        <v>1</v>
      </c>
      <c r="AC48" s="15">
        <f>IF(ISTEXT(Z48),AC47,0)</f>
        <v>-11</v>
      </c>
      <c r="AD48" s="6"/>
      <c r="AE48" s="11" t="str">
        <f>+S19</f>
        <v>B12</v>
      </c>
      <c r="AF48" s="14">
        <f>IF(ISTEXT(AE48),AF47,0)</f>
        <v>8</v>
      </c>
      <c r="AG48" s="14">
        <f>IF(ISTEXT(AE48),AG47,0)</f>
        <v>3</v>
      </c>
      <c r="AH48" s="15">
        <f>IF(ISTEXT(AE48),AH47,0)</f>
        <v>3</v>
      </c>
      <c r="AI48" s="6"/>
      <c r="AJ48" s="11" t="str">
        <f>+V19</f>
        <v>B14</v>
      </c>
      <c r="AK48" s="14">
        <f>IF(ISTEXT(AJ48),AK47,0)</f>
        <v>4</v>
      </c>
      <c r="AL48" s="14">
        <f>IF(ISTEXT(AJ48),AL47,0)</f>
        <v>1</v>
      </c>
      <c r="AM48" s="15">
        <f>IF(ISTEXT(AJ48),AM47,0)</f>
        <v>-3</v>
      </c>
      <c r="AN48" s="18"/>
      <c r="AO48" s="44">
        <v>40</v>
      </c>
      <c r="AP48" s="5" t="str">
        <f>+Inscrits!F6</f>
        <v>C4</v>
      </c>
      <c r="AQ48" s="247">
        <f t="shared" si="3"/>
        <v>3</v>
      </c>
      <c r="AR48" s="82">
        <f t="shared" si="4"/>
        <v>7</v>
      </c>
      <c r="AS48" s="184">
        <f t="shared" si="5"/>
        <v>11</v>
      </c>
      <c r="AT48" s="250">
        <f t="shared" si="6"/>
        <v>3</v>
      </c>
      <c r="AU48" s="82">
        <f t="shared" si="7"/>
        <v>2</v>
      </c>
      <c r="AV48" s="252">
        <f t="shared" si="8"/>
        <v>12</v>
      </c>
      <c r="AW48" s="247">
        <f t="shared" si="9"/>
        <v>1</v>
      </c>
      <c r="AX48" s="82">
        <f t="shared" si="10"/>
        <v>-12</v>
      </c>
      <c r="AY48" s="252">
        <f t="shared" si="11"/>
        <v>1</v>
      </c>
      <c r="AZ48" s="247">
        <f t="shared" si="17"/>
        <v>7</v>
      </c>
      <c r="BA48" s="82">
        <f t="shared" si="12"/>
        <v>-3</v>
      </c>
      <c r="BB48" s="252">
        <f t="shared" si="13"/>
        <v>24</v>
      </c>
      <c r="BC48" s="255">
        <f t="shared" si="14"/>
        <v>-3</v>
      </c>
      <c r="BD48" s="7">
        <f t="shared" si="15"/>
        <v>0</v>
      </c>
      <c r="BE48" s="183">
        <f t="shared" si="16"/>
        <v>6.0276004800000003</v>
      </c>
      <c r="BF48" s="82">
        <f>IF(AP48="","",SMALL(BE$9:BE$62,ROWS(AZ$9:AZ48)))</f>
        <v>30.067600559999999</v>
      </c>
      <c r="BH48" s="82" t="str">
        <f>IF(OR(AP48="",AZ48=""),"",INDEX($AP$9:$AP$63,MATCH(BF48,$BE$9:BE$62,0)))</f>
        <v>C12</v>
      </c>
      <c r="BI48" s="7">
        <f t="shared" si="18"/>
        <v>5</v>
      </c>
      <c r="BJ48" s="7">
        <f t="shared" si="19"/>
        <v>-7</v>
      </c>
      <c r="BK48" s="7">
        <f t="shared" si="20"/>
        <v>24</v>
      </c>
      <c r="BL48" s="17">
        <f>IF(BF48="","",IF(AND(BI47=BI48,BJ47=BJ48,BK47=BK48),BL47,$BL$9+39))</f>
        <v>40</v>
      </c>
      <c r="BM48" s="22"/>
      <c r="BN48" s="3"/>
    </row>
    <row r="49" spans="1:66" ht="16.2" thickBot="1" x14ac:dyDescent="0.3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P49" s="18"/>
      <c r="Q49" s="18"/>
      <c r="R49" s="18"/>
      <c r="S49" s="18"/>
      <c r="T49" s="18"/>
      <c r="U49" s="18"/>
      <c r="V49" s="18"/>
      <c r="W49" s="18"/>
      <c r="X49" s="18"/>
      <c r="Y49" s="384"/>
      <c r="Z49" s="13" t="str">
        <f>+Q19</f>
        <v>C10</v>
      </c>
      <c r="AA49" s="14">
        <f>IF(ISTEXT(Z49),AA47,0)</f>
        <v>2</v>
      </c>
      <c r="AB49" s="14">
        <f>IF(ISTEXT(Z49),AB47,0)</f>
        <v>1</v>
      </c>
      <c r="AC49" s="15">
        <f>IF(ISTEXT(Z49),AC47,0)</f>
        <v>-11</v>
      </c>
      <c r="AD49" s="6"/>
      <c r="AE49" s="13" t="str">
        <f>+T19</f>
        <v>C13</v>
      </c>
      <c r="AF49" s="14">
        <f>IF(ISTEXT(AE49),AF47,0)</f>
        <v>8</v>
      </c>
      <c r="AG49" s="14">
        <f>IF(ISTEXT(AE49),AG47,0)</f>
        <v>3</v>
      </c>
      <c r="AH49" s="15">
        <f>IF(ISTEXT(AE49),AH47,0)</f>
        <v>3</v>
      </c>
      <c r="AI49" s="6"/>
      <c r="AJ49" s="13" t="str">
        <f>+W19</f>
        <v>C16</v>
      </c>
      <c r="AK49" s="14">
        <f>IF(ISTEXT(AJ49),AK47,0)</f>
        <v>4</v>
      </c>
      <c r="AL49" s="14">
        <f>IF(ISTEXT(AJ49),AL47,0)</f>
        <v>1</v>
      </c>
      <c r="AM49" s="15">
        <f>IF(ISTEXT(AJ49),AM47,0)</f>
        <v>-3</v>
      </c>
      <c r="AN49" s="18"/>
      <c r="AO49" s="44">
        <v>41</v>
      </c>
      <c r="AP49" s="5" t="str">
        <f>+Inscrits!F7</f>
        <v>C5</v>
      </c>
      <c r="AQ49" s="247">
        <f t="shared" si="3"/>
        <v>3</v>
      </c>
      <c r="AR49" s="82">
        <f t="shared" si="4"/>
        <v>6</v>
      </c>
      <c r="AS49" s="184">
        <f t="shared" si="5"/>
        <v>13</v>
      </c>
      <c r="AT49" s="250">
        <f t="shared" si="6"/>
        <v>1</v>
      </c>
      <c r="AU49" s="82">
        <f t="shared" si="7"/>
        <v>-2</v>
      </c>
      <c r="AV49" s="252">
        <f t="shared" si="8"/>
        <v>10</v>
      </c>
      <c r="AW49" s="247">
        <f t="shared" si="9"/>
        <v>3</v>
      </c>
      <c r="AX49" s="82">
        <f t="shared" si="10"/>
        <v>5</v>
      </c>
      <c r="AY49" s="252">
        <f t="shared" si="11"/>
        <v>13</v>
      </c>
      <c r="AZ49" s="247">
        <f t="shared" si="17"/>
        <v>7</v>
      </c>
      <c r="BA49" s="82">
        <f t="shared" si="12"/>
        <v>9</v>
      </c>
      <c r="BB49" s="252">
        <f t="shared" si="13"/>
        <v>36</v>
      </c>
      <c r="BC49" s="255">
        <f t="shared" si="14"/>
        <v>0</v>
      </c>
      <c r="BD49" s="7">
        <f t="shared" si="15"/>
        <v>9</v>
      </c>
      <c r="BE49" s="183">
        <f t="shared" si="16"/>
        <v>5.9064004900000002</v>
      </c>
      <c r="BF49" s="82">
        <f>IF(AP49="","",SMALL(BE$9:BE$62,ROWS(AZ$9:AZ49)))</f>
        <v>30.06810054</v>
      </c>
      <c r="BH49" s="82" t="str">
        <f>IF(OR(AP49="",AZ49=""),"",INDEX($AP$9:$AP$63,MATCH(BF49,$BE$9:BE$62,0)))</f>
        <v>C10</v>
      </c>
      <c r="BI49" s="7">
        <f t="shared" si="18"/>
        <v>5</v>
      </c>
      <c r="BJ49" s="7">
        <f t="shared" si="19"/>
        <v>-7</v>
      </c>
      <c r="BK49" s="7">
        <f t="shared" si="20"/>
        <v>19</v>
      </c>
      <c r="BL49" s="17">
        <f>IF(BF49="","",IF(AND(BI48=BI49,BJ48=BJ49,BK48=BK49),BL48,$BL$9+40))</f>
        <v>41</v>
      </c>
      <c r="BM49" s="22"/>
      <c r="BN49" s="3"/>
    </row>
    <row r="50" spans="1:66" ht="16.2" thickBot="1" x14ac:dyDescent="0.3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P50" s="18"/>
      <c r="Q50" s="18"/>
      <c r="R50" s="18"/>
      <c r="S50" s="18"/>
      <c r="T50" s="18"/>
      <c r="U50" s="18"/>
      <c r="V50" s="18"/>
      <c r="W50" s="18"/>
      <c r="X50" s="18"/>
      <c r="Y50" s="20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18"/>
      <c r="AO50" s="44">
        <v>42</v>
      </c>
      <c r="AP50" s="5" t="str">
        <f>+Inscrits!F8</f>
        <v>C6</v>
      </c>
      <c r="AQ50" s="247">
        <f t="shared" si="3"/>
        <v>1</v>
      </c>
      <c r="AR50" s="82">
        <f t="shared" si="4"/>
        <v>-6</v>
      </c>
      <c r="AS50" s="184">
        <f t="shared" si="5"/>
        <v>7</v>
      </c>
      <c r="AT50" s="250">
        <f t="shared" si="6"/>
        <v>1</v>
      </c>
      <c r="AU50" s="82">
        <f t="shared" si="7"/>
        <v>-3</v>
      </c>
      <c r="AV50" s="252">
        <f t="shared" si="8"/>
        <v>6</v>
      </c>
      <c r="AW50" s="247">
        <f t="shared" si="9"/>
        <v>1</v>
      </c>
      <c r="AX50" s="82">
        <f t="shared" si="10"/>
        <v>-5</v>
      </c>
      <c r="AY50" s="252">
        <f t="shared" si="11"/>
        <v>8</v>
      </c>
      <c r="AZ50" s="247">
        <f t="shared" si="17"/>
        <v>3</v>
      </c>
      <c r="BA50" s="82">
        <f t="shared" si="12"/>
        <v>-14</v>
      </c>
      <c r="BB50" s="252">
        <f t="shared" si="13"/>
        <v>21</v>
      </c>
      <c r="BC50" s="255">
        <f t="shared" si="14"/>
        <v>-14</v>
      </c>
      <c r="BD50" s="7">
        <f t="shared" si="15"/>
        <v>0</v>
      </c>
      <c r="BE50" s="183">
        <f t="shared" si="16"/>
        <v>48.137900500000001</v>
      </c>
      <c r="BF50" s="82">
        <f>IF(AP50="","",SMALL(BE$9:BE$62,ROWS(AZ$9:AZ50)))</f>
        <v>30.078000459999998</v>
      </c>
      <c r="BH50" s="82" t="str">
        <f>IF(OR(AP50="",AZ50=""),"",INDEX($AP$9:$AP$63,MATCH(BF50,$BE$9:BE$62,0)))</f>
        <v>C2</v>
      </c>
      <c r="BI50" s="7">
        <f t="shared" si="18"/>
        <v>5</v>
      </c>
      <c r="BJ50" s="7">
        <f t="shared" si="19"/>
        <v>-8</v>
      </c>
      <c r="BK50" s="7">
        <f t="shared" si="20"/>
        <v>20</v>
      </c>
      <c r="BL50" s="17">
        <f>IF(BF50="","",IF(AND(BI49=BI50,BJ49=BJ50,BK49=BK50),BL49,$BL$9+41))</f>
        <v>42</v>
      </c>
      <c r="BM50" s="22"/>
      <c r="BN50" s="3"/>
    </row>
    <row r="51" spans="1:66" ht="15.6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P51" s="18"/>
      <c r="Q51" s="18"/>
      <c r="R51" s="18"/>
      <c r="S51" s="18"/>
      <c r="T51" s="18"/>
      <c r="U51" s="18"/>
      <c r="V51" s="18"/>
      <c r="W51" s="18"/>
      <c r="X51" s="18"/>
      <c r="Y51" s="382">
        <v>6</v>
      </c>
      <c r="Z51" s="9" t="str">
        <f>+O20</f>
        <v>A11</v>
      </c>
      <c r="AA51" s="25">
        <v>12</v>
      </c>
      <c r="AB51" s="38">
        <f>IF(AA51+AA55=0,0,IF(AA51=AA55,2,IF(AA51&gt;AA55,3,1)))</f>
        <v>1</v>
      </c>
      <c r="AC51" s="10">
        <f>AA51-AA55</f>
        <v>-1</v>
      </c>
      <c r="AD51" s="6"/>
      <c r="AE51" s="9" t="str">
        <f>+R20</f>
        <v>A12</v>
      </c>
      <c r="AF51" s="107">
        <v>10</v>
      </c>
      <c r="AG51" s="38">
        <f>IF(AF51+AF55=0,0,IF(AF51=AF55,2,IF(AF51&gt;AF55,3,1)))</f>
        <v>3</v>
      </c>
      <c r="AH51" s="10">
        <f>AF51-AF55</f>
        <v>5</v>
      </c>
      <c r="AI51" s="6"/>
      <c r="AJ51" s="9" t="str">
        <f>+U20</f>
        <v>A13</v>
      </c>
      <c r="AK51" s="28">
        <v>8</v>
      </c>
      <c r="AL51" s="38">
        <f>IF(AK51+AK55=0,0,IF(AK51=AK55,2,IF(AK51&gt;AK55,3,1)))</f>
        <v>1</v>
      </c>
      <c r="AM51" s="10">
        <f>AK51-AK55</f>
        <v>-3</v>
      </c>
      <c r="AN51" s="18"/>
      <c r="AO51" s="44">
        <v>43</v>
      </c>
      <c r="AP51" s="5" t="str">
        <f>+Inscrits!F9</f>
        <v>C7</v>
      </c>
      <c r="AQ51" s="247">
        <f t="shared" si="3"/>
        <v>3</v>
      </c>
      <c r="AR51" s="82">
        <f t="shared" si="4"/>
        <v>9</v>
      </c>
      <c r="AS51" s="184">
        <f t="shared" si="5"/>
        <v>13</v>
      </c>
      <c r="AT51" s="250">
        <f t="shared" si="6"/>
        <v>3</v>
      </c>
      <c r="AU51" s="82">
        <f t="shared" si="7"/>
        <v>3</v>
      </c>
      <c r="AV51" s="252">
        <f t="shared" si="8"/>
        <v>9</v>
      </c>
      <c r="AW51" s="247">
        <f t="shared" si="9"/>
        <v>3</v>
      </c>
      <c r="AX51" s="82">
        <f t="shared" si="10"/>
        <v>3</v>
      </c>
      <c r="AY51" s="252">
        <f t="shared" si="11"/>
        <v>8</v>
      </c>
      <c r="AZ51" s="247">
        <f t="shared" si="17"/>
        <v>9</v>
      </c>
      <c r="BA51" s="82">
        <f t="shared" si="12"/>
        <v>15</v>
      </c>
      <c r="BB51" s="252">
        <f t="shared" si="13"/>
        <v>30</v>
      </c>
      <c r="BC51" s="255">
        <f t="shared" si="14"/>
        <v>0</v>
      </c>
      <c r="BD51" s="7">
        <f t="shared" si="15"/>
        <v>15</v>
      </c>
      <c r="BE51" s="183">
        <f t="shared" si="16"/>
        <v>0.84700050999999998</v>
      </c>
      <c r="BF51" s="82">
        <f>IF(AP51="","",SMALL(BE$9:BE$62,ROWS(AZ$9:AZ51)))</f>
        <v>30.07810053</v>
      </c>
      <c r="BH51" s="82" t="str">
        <f>IF(OR(AP51="",AZ51=""),"",INDEX($AP$9:$AP$63,MATCH(BF51,$BE$9:BE$62,0)))</f>
        <v>C9</v>
      </c>
      <c r="BI51" s="7">
        <f t="shared" si="18"/>
        <v>5</v>
      </c>
      <c r="BJ51" s="7">
        <f t="shared" si="19"/>
        <v>-8</v>
      </c>
      <c r="BK51" s="7">
        <f t="shared" si="20"/>
        <v>19</v>
      </c>
      <c r="BL51" s="17">
        <f>IF(BF51="","",IF(AND(BI50=BI51,BJ50=BJ51,BK50=BK51),BL50,$BL$9+42))</f>
        <v>43</v>
      </c>
      <c r="BM51" s="22"/>
      <c r="BN51" s="3"/>
    </row>
    <row r="52" spans="1:66" ht="16.2" thickBot="1" x14ac:dyDescent="0.3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P52" s="18"/>
      <c r="Q52" s="18"/>
      <c r="R52" s="18"/>
      <c r="S52" s="18"/>
      <c r="T52" s="18"/>
      <c r="U52" s="18"/>
      <c r="V52" s="18"/>
      <c r="W52" s="18"/>
      <c r="X52" s="18"/>
      <c r="Y52" s="383"/>
      <c r="Z52" s="11" t="str">
        <f>+P20</f>
        <v>B11</v>
      </c>
      <c r="AA52" s="14">
        <f>IF(ISTEXT(Z52),AA51,0)</f>
        <v>12</v>
      </c>
      <c r="AB52" s="14">
        <f>IF(ISTEXT(Z52),AB51,0)</f>
        <v>1</v>
      </c>
      <c r="AC52" s="15">
        <f>IF(ISTEXT(Z52),AC51,0)</f>
        <v>-1</v>
      </c>
      <c r="AD52" s="6"/>
      <c r="AE52" s="11" t="str">
        <f>+S20</f>
        <v>B13</v>
      </c>
      <c r="AF52" s="14">
        <f>IF(ISTEXT(AE52),AF51,0)</f>
        <v>10</v>
      </c>
      <c r="AG52" s="48">
        <f>IF(ISTEXT(AE52),AG51,0)</f>
        <v>3</v>
      </c>
      <c r="AH52" s="15">
        <f>IF(ISTEXT(AE52),AH51,0)</f>
        <v>5</v>
      </c>
      <c r="AI52" s="6"/>
      <c r="AJ52" s="11" t="str">
        <f>+V20</f>
        <v>B15</v>
      </c>
      <c r="AK52" s="14">
        <f>IF(ISTEXT(AJ52),AK51,0)</f>
        <v>8</v>
      </c>
      <c r="AL52" s="48">
        <f>IF(ISTEXT(AJ52),AL51,0)</f>
        <v>1</v>
      </c>
      <c r="AM52" s="15">
        <f>IF(ISTEXT(AJ52),AM51,0)</f>
        <v>-3</v>
      </c>
      <c r="AN52" s="18"/>
      <c r="AO52" s="44">
        <v>44</v>
      </c>
      <c r="AP52" s="5" t="str">
        <f>+Inscrits!F10</f>
        <v>C8</v>
      </c>
      <c r="AQ52" s="247">
        <f t="shared" si="3"/>
        <v>1</v>
      </c>
      <c r="AR52" s="82">
        <f t="shared" si="4"/>
        <v>-9</v>
      </c>
      <c r="AS52" s="184">
        <f t="shared" si="5"/>
        <v>4</v>
      </c>
      <c r="AT52" s="250">
        <f t="shared" si="6"/>
        <v>3</v>
      </c>
      <c r="AU52" s="82">
        <f t="shared" si="7"/>
        <v>11</v>
      </c>
      <c r="AV52" s="252">
        <f t="shared" si="8"/>
        <v>13</v>
      </c>
      <c r="AW52" s="247">
        <f t="shared" si="9"/>
        <v>1</v>
      </c>
      <c r="AX52" s="82">
        <f t="shared" si="10"/>
        <v>-3</v>
      </c>
      <c r="AY52" s="252">
        <f t="shared" si="11"/>
        <v>5</v>
      </c>
      <c r="AZ52" s="247">
        <f t="shared" si="17"/>
        <v>5</v>
      </c>
      <c r="BA52" s="82">
        <f t="shared" si="12"/>
        <v>-1</v>
      </c>
      <c r="BB52" s="252">
        <f t="shared" si="13"/>
        <v>22</v>
      </c>
      <c r="BC52" s="255">
        <f t="shared" si="14"/>
        <v>-1</v>
      </c>
      <c r="BD52" s="7">
        <f t="shared" si="15"/>
        <v>0</v>
      </c>
      <c r="BE52" s="183">
        <f t="shared" si="16"/>
        <v>30.007800520000004</v>
      </c>
      <c r="BF52" s="82">
        <f>IF(AP52="","",SMALL(BE$9:BE$62,ROWS(AZ$9:AZ52)))</f>
        <v>30.088400570000001</v>
      </c>
      <c r="BH52" s="82" t="str">
        <f>IF(OR(AP52="",AZ52=""),"",INDEX($AP$9:$AP$63,MATCH(BF52,$BE$9:BE$62,0)))</f>
        <v>C13</v>
      </c>
      <c r="BI52" s="7">
        <f t="shared" si="18"/>
        <v>5</v>
      </c>
      <c r="BJ52" s="7">
        <f t="shared" si="19"/>
        <v>-9</v>
      </c>
      <c r="BK52" s="7">
        <f t="shared" si="20"/>
        <v>16</v>
      </c>
      <c r="BL52" s="17">
        <f>IF(BF52="","",IF(AND(BI51=BI52,BJ51=BJ52,BK51=BK52),BL51,$BL$9+43))</f>
        <v>44</v>
      </c>
      <c r="BM52" s="22"/>
      <c r="BN52" s="3"/>
    </row>
    <row r="53" spans="1:66" ht="15.6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P53" s="18"/>
      <c r="Q53" s="18"/>
      <c r="R53" s="18"/>
      <c r="S53" s="18"/>
      <c r="T53" s="18"/>
      <c r="U53" s="18"/>
      <c r="V53" s="18"/>
      <c r="W53" s="18"/>
      <c r="X53" s="18"/>
      <c r="Y53" s="383"/>
      <c r="Z53" s="11" t="str">
        <f>+Q20</f>
        <v>C11</v>
      </c>
      <c r="AA53" s="55">
        <f>IF(ISTEXT(Z53),AA51,0)</f>
        <v>12</v>
      </c>
      <c r="AB53" s="55">
        <f>IF(ISTEXT(Z53),AB51,0)</f>
        <v>1</v>
      </c>
      <c r="AC53" s="56">
        <f>IF(ISTEXT(Z53),AC51,0)</f>
        <v>-1</v>
      </c>
      <c r="AD53" s="6"/>
      <c r="AE53" s="11" t="str">
        <f>+T20</f>
        <v>C14</v>
      </c>
      <c r="AF53" s="55">
        <f>IF(ISTEXT(AE53),AF51,0)</f>
        <v>10</v>
      </c>
      <c r="AG53" s="52">
        <f>IF(ISTEXT(AE53),AG51,0)</f>
        <v>3</v>
      </c>
      <c r="AH53" s="56">
        <f>IF(ISTEXT(AE53),AH51,0)</f>
        <v>5</v>
      </c>
      <c r="AI53" s="6"/>
      <c r="AJ53" s="11" t="str">
        <f>+W20</f>
        <v>C17</v>
      </c>
      <c r="AK53" s="55">
        <f>IF(ISTEXT(AJ53),AK51,0)</f>
        <v>8</v>
      </c>
      <c r="AL53" s="52">
        <f>IF(ISTEXT(AJ53),AL51,0)</f>
        <v>1</v>
      </c>
      <c r="AM53" s="56">
        <f>IF(ISTEXT(AJ53),AM51,0)</f>
        <v>-3</v>
      </c>
      <c r="AN53" s="18"/>
      <c r="AO53" s="44">
        <v>45</v>
      </c>
      <c r="AP53" s="5" t="str">
        <f>+Inscrits!F11</f>
        <v>C9</v>
      </c>
      <c r="AQ53" s="247">
        <f t="shared" si="3"/>
        <v>3</v>
      </c>
      <c r="AR53" s="82">
        <f t="shared" si="4"/>
        <v>11</v>
      </c>
      <c r="AS53" s="184">
        <f t="shared" si="5"/>
        <v>13</v>
      </c>
      <c r="AT53" s="250">
        <f t="shared" si="6"/>
        <v>1</v>
      </c>
      <c r="AU53" s="82">
        <f t="shared" si="7"/>
        <v>-11</v>
      </c>
      <c r="AV53" s="252">
        <f t="shared" si="8"/>
        <v>2</v>
      </c>
      <c r="AW53" s="247">
        <f t="shared" si="9"/>
        <v>1</v>
      </c>
      <c r="AX53" s="82">
        <f t="shared" si="10"/>
        <v>-8</v>
      </c>
      <c r="AY53" s="252">
        <f t="shared" si="11"/>
        <v>4</v>
      </c>
      <c r="AZ53" s="247">
        <f t="shared" si="17"/>
        <v>5</v>
      </c>
      <c r="BA53" s="82">
        <f t="shared" si="12"/>
        <v>-8</v>
      </c>
      <c r="BB53" s="252">
        <f t="shared" si="13"/>
        <v>19</v>
      </c>
      <c r="BC53" s="255">
        <f t="shared" si="14"/>
        <v>-8</v>
      </c>
      <c r="BD53" s="7">
        <f t="shared" si="15"/>
        <v>0</v>
      </c>
      <c r="BE53" s="183">
        <f t="shared" si="16"/>
        <v>30.07810053</v>
      </c>
      <c r="BF53" s="82">
        <f>IF(AP53="","",SMALL(BE$9:BE$62,ROWS(AZ$9:AZ53)))</f>
        <v>30.118200340000001</v>
      </c>
      <c r="BH53" s="82" t="str">
        <f>IF(OR(AP53="",AZ53=""),"",INDEX($AP$9:$AP$63,MATCH(BF53,$BE$9:BE$62,0)))</f>
        <v>B8</v>
      </c>
      <c r="BI53" s="7">
        <f t="shared" si="18"/>
        <v>5</v>
      </c>
      <c r="BJ53" s="7">
        <f t="shared" si="19"/>
        <v>-12</v>
      </c>
      <c r="BK53" s="7">
        <f t="shared" si="20"/>
        <v>18</v>
      </c>
      <c r="BL53" s="17">
        <f>IF(BF53="","",IF(AND(BI52=BI53,BJ52=BJ53,BK52=BK53),BL52,$BL$9+44))</f>
        <v>45</v>
      </c>
      <c r="BM53" s="22"/>
      <c r="BN53" s="3"/>
    </row>
    <row r="54" spans="1:66" ht="15.6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P54" s="18"/>
      <c r="Q54" s="18"/>
      <c r="R54" s="18"/>
      <c r="S54" s="18"/>
      <c r="T54" s="18"/>
      <c r="U54" s="18"/>
      <c r="V54" s="18"/>
      <c r="W54" s="18"/>
      <c r="X54" s="18"/>
      <c r="Y54" s="383"/>
      <c r="Z54" s="24"/>
      <c r="AA54" s="16" t="s">
        <v>5</v>
      </c>
      <c r="AB54" s="16"/>
      <c r="AC54" s="17"/>
      <c r="AD54" s="1"/>
      <c r="AE54" s="24"/>
      <c r="AF54" s="16" t="s">
        <v>5</v>
      </c>
      <c r="AG54" s="16"/>
      <c r="AH54" s="17"/>
      <c r="AI54" s="1"/>
      <c r="AJ54" s="24"/>
      <c r="AK54" s="16" t="s">
        <v>5</v>
      </c>
      <c r="AL54" s="16"/>
      <c r="AM54" s="17"/>
      <c r="AN54" s="18"/>
      <c r="AO54" s="44">
        <v>46</v>
      </c>
      <c r="AP54" s="5" t="str">
        <f>+Inscrits!F12</f>
        <v>C10</v>
      </c>
      <c r="AQ54" s="247">
        <f t="shared" si="3"/>
        <v>1</v>
      </c>
      <c r="AR54" s="82">
        <f t="shared" si="4"/>
        <v>-11</v>
      </c>
      <c r="AS54" s="184">
        <f t="shared" si="5"/>
        <v>2</v>
      </c>
      <c r="AT54" s="250">
        <f t="shared" si="6"/>
        <v>1</v>
      </c>
      <c r="AU54" s="82">
        <f t="shared" si="7"/>
        <v>-4</v>
      </c>
      <c r="AV54" s="252">
        <f t="shared" si="8"/>
        <v>5</v>
      </c>
      <c r="AW54" s="247">
        <f t="shared" si="9"/>
        <v>3</v>
      </c>
      <c r="AX54" s="82">
        <f t="shared" si="10"/>
        <v>8</v>
      </c>
      <c r="AY54" s="252">
        <f t="shared" si="11"/>
        <v>12</v>
      </c>
      <c r="AZ54" s="247">
        <f t="shared" si="17"/>
        <v>5</v>
      </c>
      <c r="BA54" s="82">
        <f t="shared" si="12"/>
        <v>-7</v>
      </c>
      <c r="BB54" s="252">
        <f t="shared" si="13"/>
        <v>19</v>
      </c>
      <c r="BC54" s="255">
        <f t="shared" si="14"/>
        <v>-7</v>
      </c>
      <c r="BD54" s="7">
        <f t="shared" si="15"/>
        <v>0</v>
      </c>
      <c r="BE54" s="183">
        <f t="shared" si="16"/>
        <v>30.06810054</v>
      </c>
      <c r="BF54" s="82">
        <f>IF(AP54="","",SMALL(BE$9:BE$62,ROWS(AZ$9:AZ54)))</f>
        <v>30.118300360000003</v>
      </c>
      <c r="BH54" s="82" t="str">
        <f>IF(OR(AP54="",AZ54=""),"",INDEX($AP$9:$AP$63,MATCH(BF54,$BE$9:BE$62,0)))</f>
        <v>B10</v>
      </c>
      <c r="BI54" s="7">
        <f t="shared" si="18"/>
        <v>5</v>
      </c>
      <c r="BJ54" s="7">
        <f t="shared" si="19"/>
        <v>-12</v>
      </c>
      <c r="BK54" s="7">
        <f t="shared" si="20"/>
        <v>17</v>
      </c>
      <c r="BL54" s="17">
        <f>IF(BF54="","",IF(AND(BI53=BI54,BJ53=BJ54,BK53=BK54),BL53,$BL$9+45))</f>
        <v>46</v>
      </c>
      <c r="BM54" s="22"/>
      <c r="BN54" s="3"/>
    </row>
    <row r="55" spans="1:66" ht="15.6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P55" s="18"/>
      <c r="Q55" s="18"/>
      <c r="R55" s="18"/>
      <c r="S55" s="18"/>
      <c r="T55" s="18"/>
      <c r="U55" s="18"/>
      <c r="V55" s="18"/>
      <c r="W55" s="18"/>
      <c r="X55" s="18"/>
      <c r="Y55" s="383"/>
      <c r="Z55" s="11" t="str">
        <f>+O21</f>
        <v>A12</v>
      </c>
      <c r="AA55" s="27">
        <v>13</v>
      </c>
      <c r="AB55" s="23">
        <f>IF(AA51+AA55=0,0,IF(AA51=AA55,2,IF(AA51&lt;AA55,3,1)))</f>
        <v>3</v>
      </c>
      <c r="AC55" s="12">
        <f>AA55-AA51</f>
        <v>1</v>
      </c>
      <c r="AD55" s="6"/>
      <c r="AE55" s="11" t="str">
        <f>+R21</f>
        <v>A13</v>
      </c>
      <c r="AF55" s="108">
        <v>5</v>
      </c>
      <c r="AG55" s="23">
        <f>IF(AF51+AF55=0,0,IF(AF51=AF55,2,IF(AF51&lt;AF55,3,1)))</f>
        <v>1</v>
      </c>
      <c r="AH55" s="12">
        <f>AF55-AF51</f>
        <v>-5</v>
      </c>
      <c r="AI55" s="6"/>
      <c r="AJ55" s="11" t="str">
        <f>+U21</f>
        <v>A14</v>
      </c>
      <c r="AK55" s="29">
        <v>11</v>
      </c>
      <c r="AL55" s="23">
        <f>IF(AK51+AK55=0,0,IF(AK51=AK55,2,IF(AK51&lt;AK55,3,1)))</f>
        <v>3</v>
      </c>
      <c r="AM55" s="12">
        <f>AK55-AK51</f>
        <v>3</v>
      </c>
      <c r="AN55" s="18"/>
      <c r="AO55" s="44">
        <v>47</v>
      </c>
      <c r="AP55" s="5" t="str">
        <f>+Inscrits!F13</f>
        <v>C11</v>
      </c>
      <c r="AQ55" s="247">
        <f t="shared" si="3"/>
        <v>1</v>
      </c>
      <c r="AR55" s="82">
        <f t="shared" si="4"/>
        <v>-1</v>
      </c>
      <c r="AS55" s="184">
        <f t="shared" si="5"/>
        <v>12</v>
      </c>
      <c r="AT55" s="250">
        <f t="shared" si="6"/>
        <v>3</v>
      </c>
      <c r="AU55" s="82">
        <f t="shared" si="7"/>
        <v>4</v>
      </c>
      <c r="AV55" s="252">
        <f t="shared" si="8"/>
        <v>9</v>
      </c>
      <c r="AW55" s="247">
        <f t="shared" si="9"/>
        <v>3</v>
      </c>
      <c r="AX55" s="82">
        <f t="shared" si="10"/>
        <v>5</v>
      </c>
      <c r="AY55" s="252">
        <f t="shared" si="11"/>
        <v>11</v>
      </c>
      <c r="AZ55" s="247">
        <f t="shared" si="17"/>
        <v>7</v>
      </c>
      <c r="BA55" s="82">
        <f t="shared" si="12"/>
        <v>8</v>
      </c>
      <c r="BB55" s="252">
        <f t="shared" si="13"/>
        <v>32</v>
      </c>
      <c r="BC55" s="255">
        <f t="shared" si="14"/>
        <v>0</v>
      </c>
      <c r="BD55" s="7">
        <f t="shared" si="15"/>
        <v>8</v>
      </c>
      <c r="BE55" s="183">
        <f t="shared" si="16"/>
        <v>5.9168005500000005</v>
      </c>
      <c r="BF55" s="82">
        <f>IF(AP55="","",SMALL(BE$9:BE$62,ROWS(AZ$9:AZ55)))</f>
        <v>30.128600179999999</v>
      </c>
      <c r="BH55" s="82" t="str">
        <f>IF(OR(AP55="",AZ55=""),"",INDEX($AP$9:$AP$63,MATCH(BF55,$BE$9:BE$62,0)))</f>
        <v>A10</v>
      </c>
      <c r="BI55" s="7">
        <f t="shared" si="18"/>
        <v>5</v>
      </c>
      <c r="BJ55" s="7">
        <f t="shared" si="19"/>
        <v>-13</v>
      </c>
      <c r="BK55" s="7">
        <f t="shared" si="20"/>
        <v>14</v>
      </c>
      <c r="BL55" s="17">
        <f>IF(BF55="","",IF(AND(BI54=BI55,BJ54=BJ55,BK54=BK55),BL54,$BL$9+46))</f>
        <v>47</v>
      </c>
      <c r="BM55" s="22"/>
      <c r="BN55" s="3"/>
    </row>
    <row r="56" spans="1:66" ht="16.2" thickBot="1" x14ac:dyDescent="0.35">
      <c r="A56" s="20"/>
      <c r="B56" s="18"/>
      <c r="C56" s="18"/>
      <c r="D56" s="18"/>
      <c r="E56" s="18"/>
      <c r="F56" s="18"/>
      <c r="G56" s="18"/>
      <c r="H56" s="18"/>
      <c r="I56" s="20"/>
      <c r="J56" s="20"/>
      <c r="K56" s="20"/>
      <c r="L56" s="20"/>
      <c r="P56" s="18"/>
      <c r="Q56" s="20"/>
      <c r="R56" s="22"/>
      <c r="S56" s="18"/>
      <c r="T56" s="18"/>
      <c r="U56" s="18"/>
      <c r="V56" s="18"/>
      <c r="W56" s="18"/>
      <c r="X56" s="18"/>
      <c r="Y56" s="383"/>
      <c r="Z56" s="11" t="str">
        <f>+P21</f>
        <v>B12</v>
      </c>
      <c r="AA56" s="14">
        <f>IF(ISTEXT(Z56),AA55,0)</f>
        <v>13</v>
      </c>
      <c r="AB56" s="14">
        <f>IF(ISTEXT(Z56),AB55,0)</f>
        <v>3</v>
      </c>
      <c r="AC56" s="15">
        <f>IF(ISTEXT(Z56),AC55,0)</f>
        <v>1</v>
      </c>
      <c r="AD56" s="6"/>
      <c r="AE56" s="11" t="str">
        <f>+S21</f>
        <v>B14</v>
      </c>
      <c r="AF56" s="14">
        <f>IF(ISTEXT(AE56),AF55,0)</f>
        <v>5</v>
      </c>
      <c r="AG56" s="14">
        <f>IF(ISTEXT(AE56),AG55,0)</f>
        <v>1</v>
      </c>
      <c r="AH56" s="15">
        <f>IF(ISTEXT(AE56),AH55,0)</f>
        <v>-5</v>
      </c>
      <c r="AI56" s="6"/>
      <c r="AJ56" s="11" t="str">
        <f>+V21</f>
        <v>B16</v>
      </c>
      <c r="AK56" s="14">
        <f>IF(ISTEXT(AJ56),AK55,0)</f>
        <v>11</v>
      </c>
      <c r="AL56" s="14">
        <f>IF(ISTEXT(AJ56),AL55,0)</f>
        <v>3</v>
      </c>
      <c r="AM56" s="15">
        <f>IF(ISTEXT(AJ56),AM55,0)</f>
        <v>3</v>
      </c>
      <c r="AN56" s="18"/>
      <c r="AO56" s="44">
        <v>48</v>
      </c>
      <c r="AP56" s="5" t="str">
        <f>+Inscrits!F14</f>
        <v>C12</v>
      </c>
      <c r="AQ56" s="247">
        <f t="shared" si="3"/>
        <v>3</v>
      </c>
      <c r="AR56" s="82">
        <f t="shared" si="4"/>
        <v>1</v>
      </c>
      <c r="AS56" s="184">
        <f t="shared" si="5"/>
        <v>13</v>
      </c>
      <c r="AT56" s="250">
        <f t="shared" si="6"/>
        <v>1</v>
      </c>
      <c r="AU56" s="82">
        <f t="shared" si="7"/>
        <v>-3</v>
      </c>
      <c r="AV56" s="252">
        <f t="shared" si="8"/>
        <v>5</v>
      </c>
      <c r="AW56" s="247">
        <f t="shared" si="9"/>
        <v>1</v>
      </c>
      <c r="AX56" s="82">
        <f t="shared" si="10"/>
        <v>-5</v>
      </c>
      <c r="AY56" s="252">
        <f t="shared" si="11"/>
        <v>6</v>
      </c>
      <c r="AZ56" s="247">
        <f t="shared" si="17"/>
        <v>5</v>
      </c>
      <c r="BA56" s="82">
        <f t="shared" si="12"/>
        <v>-7</v>
      </c>
      <c r="BB56" s="252">
        <f t="shared" si="13"/>
        <v>24</v>
      </c>
      <c r="BC56" s="255">
        <f t="shared" si="14"/>
        <v>-7</v>
      </c>
      <c r="BD56" s="7">
        <f t="shared" si="15"/>
        <v>0</v>
      </c>
      <c r="BE56" s="183">
        <f t="shared" si="16"/>
        <v>30.067600559999999</v>
      </c>
      <c r="BF56" s="82">
        <f>IF(AP56="","",SMALL(BE$9:BE$62,ROWS(AZ$9:AZ56)))</f>
        <v>48.047700370000001</v>
      </c>
      <c r="BH56" s="82" t="str">
        <f>IF(OR(AP56="",AZ56=""),"",INDEX($AP$9:$AP$63,MATCH(BF56,$BE$9:BE$62,0)))</f>
        <v>B11</v>
      </c>
      <c r="BI56" s="7">
        <f t="shared" si="18"/>
        <v>3</v>
      </c>
      <c r="BJ56" s="7">
        <f t="shared" si="19"/>
        <v>-5</v>
      </c>
      <c r="BK56" s="7">
        <f t="shared" si="20"/>
        <v>23</v>
      </c>
      <c r="BL56" s="17">
        <f>IF(BF56="","",IF(AND(BI55=BI56,BJ55=BJ56,BK55=BK56),BL55,$BL$9+47))</f>
        <v>48</v>
      </c>
      <c r="BM56" s="22"/>
      <c r="BN56" s="3"/>
    </row>
    <row r="57" spans="1:66" ht="16.2" thickBot="1" x14ac:dyDescent="0.35">
      <c r="A57" s="20"/>
      <c r="B57" s="18"/>
      <c r="C57" s="18"/>
      <c r="D57" s="18"/>
      <c r="E57" s="18"/>
      <c r="F57" s="18"/>
      <c r="G57" s="18"/>
      <c r="H57" s="18"/>
      <c r="I57" s="20"/>
      <c r="J57" s="20"/>
      <c r="K57" s="20"/>
      <c r="L57" s="20"/>
      <c r="P57" s="18"/>
      <c r="Q57" s="20"/>
      <c r="R57" s="22"/>
      <c r="S57" s="18"/>
      <c r="T57" s="18"/>
      <c r="U57" s="18"/>
      <c r="V57" s="18"/>
      <c r="W57" s="18"/>
      <c r="X57" s="18"/>
      <c r="Y57" s="384"/>
      <c r="Z57" s="13" t="str">
        <f>+Q21</f>
        <v>C12</v>
      </c>
      <c r="AA57" s="14">
        <f>IF(ISTEXT(Z57),AA55,0)</f>
        <v>13</v>
      </c>
      <c r="AB57" s="14">
        <f>IF(ISTEXT(Z57),AB55,0)</f>
        <v>3</v>
      </c>
      <c r="AC57" s="15">
        <f>IF(ISTEXT(Z57),AC55,0)</f>
        <v>1</v>
      </c>
      <c r="AD57" s="6"/>
      <c r="AE57" s="13" t="str">
        <f>+T21</f>
        <v>C15</v>
      </c>
      <c r="AF57" s="14">
        <f>IF(ISTEXT(AE57),AF55,0)</f>
        <v>5</v>
      </c>
      <c r="AG57" s="14">
        <f>IF(ISTEXT(AE57),AG55,0)</f>
        <v>1</v>
      </c>
      <c r="AH57" s="15">
        <f>IF(ISTEXT(AE57),AH55,0)</f>
        <v>-5</v>
      </c>
      <c r="AI57" s="6"/>
      <c r="AJ57" s="13" t="str">
        <f>+W21</f>
        <v>C18</v>
      </c>
      <c r="AK57" s="14">
        <f>IF(ISTEXT(AJ57),AK55,0)</f>
        <v>11</v>
      </c>
      <c r="AL57" s="14">
        <f>IF(ISTEXT(AJ57),AL55,0)</f>
        <v>3</v>
      </c>
      <c r="AM57" s="15">
        <f>IF(ISTEXT(AJ57),AM55,0)</f>
        <v>3</v>
      </c>
      <c r="AN57" s="18"/>
      <c r="AO57" s="44">
        <v>49</v>
      </c>
      <c r="AP57" s="5" t="str">
        <f>+Inscrits!F15</f>
        <v>C13</v>
      </c>
      <c r="AQ57" s="247">
        <f t="shared" si="3"/>
        <v>1</v>
      </c>
      <c r="AR57" s="82">
        <f t="shared" si="4"/>
        <v>-11</v>
      </c>
      <c r="AS57" s="184">
        <f t="shared" si="5"/>
        <v>2</v>
      </c>
      <c r="AT57" s="250">
        <f t="shared" si="6"/>
        <v>3</v>
      </c>
      <c r="AU57" s="82">
        <f t="shared" si="7"/>
        <v>3</v>
      </c>
      <c r="AV57" s="252">
        <f t="shared" si="8"/>
        <v>8</v>
      </c>
      <c r="AW57" s="247">
        <f t="shared" si="9"/>
        <v>1</v>
      </c>
      <c r="AX57" s="82">
        <f t="shared" si="10"/>
        <v>-1</v>
      </c>
      <c r="AY57" s="252">
        <f t="shared" si="11"/>
        <v>6</v>
      </c>
      <c r="AZ57" s="247">
        <f t="shared" si="17"/>
        <v>5</v>
      </c>
      <c r="BA57" s="82">
        <f t="shared" si="12"/>
        <v>-9</v>
      </c>
      <c r="BB57" s="252">
        <f t="shared" si="13"/>
        <v>16</v>
      </c>
      <c r="BC57" s="255">
        <f t="shared" si="14"/>
        <v>-9</v>
      </c>
      <c r="BD57" s="7">
        <f t="shared" si="15"/>
        <v>0</v>
      </c>
      <c r="BE57" s="183">
        <f t="shared" si="16"/>
        <v>30.088400570000001</v>
      </c>
      <c r="BF57" s="82">
        <f>IF(AP57="","",SMALL(BE$9:BE$62,ROWS(AZ$9:AZ57)))</f>
        <v>48.077300409999999</v>
      </c>
      <c r="BH57" s="82" t="str">
        <f>IF(OR(AP57="",AZ57=""),"",INDEX($AP$9:$AP$63,MATCH(BF57,$BE$9:BE$62,0)))</f>
        <v>B15</v>
      </c>
      <c r="BI57" s="7">
        <f t="shared" si="18"/>
        <v>3</v>
      </c>
      <c r="BJ57" s="7">
        <f t="shared" si="19"/>
        <v>-8</v>
      </c>
      <c r="BK57" s="7">
        <f t="shared" si="20"/>
        <v>27</v>
      </c>
      <c r="BL57" s="17">
        <f>IF(BF57="","",IF(AND(BI56=BI57,BJ56=BJ57,BK56=BK57),BL56,$BL$9+48))</f>
        <v>49</v>
      </c>
      <c r="BM57" s="22"/>
      <c r="BN57" s="3"/>
    </row>
    <row r="58" spans="1:66" ht="16.2" thickBot="1" x14ac:dyDescent="0.35">
      <c r="A58" s="20"/>
      <c r="B58" s="18"/>
      <c r="C58" s="18"/>
      <c r="D58" s="18"/>
      <c r="E58" s="18"/>
      <c r="F58" s="20"/>
      <c r="G58" s="20"/>
      <c r="H58" s="18"/>
      <c r="I58" s="20"/>
      <c r="J58" s="20"/>
      <c r="K58" s="20"/>
      <c r="L58" s="20"/>
      <c r="P58" s="18"/>
      <c r="Q58" s="20"/>
      <c r="R58" s="22"/>
      <c r="S58" s="18"/>
      <c r="T58" s="18"/>
      <c r="U58" s="18"/>
      <c r="V58" s="18"/>
      <c r="W58" s="18"/>
      <c r="X58" s="18"/>
      <c r="Y58" s="20"/>
      <c r="Z58" s="58"/>
      <c r="AA58" s="58"/>
      <c r="AB58" s="58"/>
      <c r="AC58" s="58"/>
      <c r="AD58" s="59"/>
      <c r="AE58" s="59"/>
      <c r="AF58" s="59"/>
      <c r="AG58" s="58"/>
      <c r="AH58" s="58"/>
      <c r="AI58" s="59"/>
      <c r="AJ58" s="59"/>
      <c r="AK58" s="58"/>
      <c r="AL58" s="58"/>
      <c r="AM58" s="58"/>
      <c r="AN58" s="18"/>
      <c r="AO58" s="44">
        <v>50</v>
      </c>
      <c r="AP58" s="5" t="str">
        <f>+Inscrits!F16</f>
        <v>C14</v>
      </c>
      <c r="AQ58" s="247">
        <f t="shared" si="3"/>
        <v>3</v>
      </c>
      <c r="AR58" s="82">
        <f t="shared" si="4"/>
        <v>11</v>
      </c>
      <c r="AS58" s="184">
        <f t="shared" si="5"/>
        <v>13</v>
      </c>
      <c r="AT58" s="250">
        <f t="shared" si="6"/>
        <v>3</v>
      </c>
      <c r="AU58" s="82">
        <f t="shared" si="7"/>
        <v>5</v>
      </c>
      <c r="AV58" s="252">
        <f t="shared" si="8"/>
        <v>10</v>
      </c>
      <c r="AW58" s="247">
        <f t="shared" si="9"/>
        <v>3</v>
      </c>
      <c r="AX58" s="82">
        <f t="shared" si="10"/>
        <v>1</v>
      </c>
      <c r="AY58" s="252">
        <f t="shared" si="11"/>
        <v>7</v>
      </c>
      <c r="AZ58" s="247">
        <f t="shared" si="17"/>
        <v>9</v>
      </c>
      <c r="BA58" s="82">
        <f t="shared" si="12"/>
        <v>17</v>
      </c>
      <c r="BB58" s="252">
        <f t="shared" si="13"/>
        <v>30</v>
      </c>
      <c r="BC58" s="255">
        <f t="shared" si="14"/>
        <v>0</v>
      </c>
      <c r="BD58" s="7">
        <f t="shared" si="15"/>
        <v>17</v>
      </c>
      <c r="BE58" s="183">
        <f t="shared" si="16"/>
        <v>0.82700057999999999</v>
      </c>
      <c r="BF58" s="82">
        <f>IF(AP58="","",SMALL(BE$9:BE$62,ROWS(AZ$9:AZ58)))</f>
        <v>48.097900440000004</v>
      </c>
      <c r="BH58" s="82" t="str">
        <f>IF(OR(AP58="",AZ58=""),"",INDEX($AP$9:$AP$63,MATCH(BF58,$BE$9:BE$62,0)))</f>
        <v>B18</v>
      </c>
      <c r="BI58" s="7">
        <f t="shared" si="18"/>
        <v>3</v>
      </c>
      <c r="BJ58" s="7">
        <f t="shared" si="19"/>
        <v>-10</v>
      </c>
      <c r="BK58" s="7">
        <f t="shared" si="20"/>
        <v>21</v>
      </c>
      <c r="BL58" s="17">
        <f>IF(BF58="","",IF(AND(BI57=BI58,BJ57=BJ58,BK57=BK58),BL57,$BL$9+49))</f>
        <v>50</v>
      </c>
      <c r="BM58" s="22"/>
      <c r="BN58" s="228"/>
    </row>
    <row r="59" spans="1:66" ht="15.6" x14ac:dyDescent="0.3">
      <c r="A59" s="20"/>
      <c r="B59" s="18"/>
      <c r="C59" s="18"/>
      <c r="D59" s="18"/>
      <c r="E59" s="18"/>
      <c r="F59" s="20"/>
      <c r="G59" s="20"/>
      <c r="H59" s="18"/>
      <c r="I59" s="20"/>
      <c r="J59" s="20"/>
      <c r="K59" s="20"/>
      <c r="L59" s="20"/>
      <c r="P59" s="18"/>
      <c r="Q59" s="20"/>
      <c r="R59" s="22"/>
      <c r="S59" s="18"/>
      <c r="T59" s="18"/>
      <c r="U59" s="18"/>
      <c r="V59" s="18"/>
      <c r="W59" s="18"/>
      <c r="X59" s="18"/>
      <c r="Y59" s="382">
        <v>7</v>
      </c>
      <c r="Z59" s="9" t="str">
        <f>+O22</f>
        <v>A13</v>
      </c>
      <c r="AA59" s="25">
        <v>2</v>
      </c>
      <c r="AB59" s="38">
        <f>IF(AA59+AA63=0,0,IF(AA59=AA63,2,IF(AA59&gt;AA63,3,1)))</f>
        <v>1</v>
      </c>
      <c r="AC59" s="10">
        <f>AA59-AA63</f>
        <v>-11</v>
      </c>
      <c r="AD59" s="6"/>
      <c r="AE59" s="9" t="str">
        <f>+R22</f>
        <v>A14</v>
      </c>
      <c r="AF59" s="107">
        <v>11</v>
      </c>
      <c r="AG59" s="38">
        <f>IF(AF59+AF63=0,0,IF(AF59=AF63,2,IF(AF59&gt;AF63,3,1)))</f>
        <v>1</v>
      </c>
      <c r="AH59" s="10">
        <f>AF59-AF63</f>
        <v>-1</v>
      </c>
      <c r="AI59" s="6"/>
      <c r="AJ59" s="9" t="str">
        <f>+U22</f>
        <v>A15</v>
      </c>
      <c r="AK59" s="28">
        <v>10</v>
      </c>
      <c r="AL59" s="38">
        <f>IF(AK59+AK63=0,0,IF(AK59=AK63,2,IF(AK59&gt;AK63,3,1)))</f>
        <v>3</v>
      </c>
      <c r="AM59" s="10">
        <f>AK59-AK63</f>
        <v>3</v>
      </c>
      <c r="AN59" s="18"/>
      <c r="AO59" s="44">
        <v>51</v>
      </c>
      <c r="AP59" s="5" t="str">
        <f>+Inscrits!F17</f>
        <v>C15</v>
      </c>
      <c r="AQ59" s="247">
        <f t="shared" si="3"/>
        <v>1</v>
      </c>
      <c r="AR59" s="82">
        <f t="shared" si="4"/>
        <v>-4</v>
      </c>
      <c r="AS59" s="184">
        <f t="shared" si="5"/>
        <v>8</v>
      </c>
      <c r="AT59" s="250">
        <f t="shared" si="6"/>
        <v>1</v>
      </c>
      <c r="AU59" s="82">
        <f t="shared" si="7"/>
        <v>-5</v>
      </c>
      <c r="AV59" s="252">
        <f t="shared" si="8"/>
        <v>5</v>
      </c>
      <c r="AW59" s="247">
        <f t="shared" si="9"/>
        <v>3</v>
      </c>
      <c r="AX59" s="82">
        <f t="shared" si="10"/>
        <v>3</v>
      </c>
      <c r="AY59" s="252">
        <f t="shared" si="11"/>
        <v>7</v>
      </c>
      <c r="AZ59" s="247">
        <f t="shared" si="17"/>
        <v>5</v>
      </c>
      <c r="BA59" s="82">
        <f t="shared" si="12"/>
        <v>-6</v>
      </c>
      <c r="BB59" s="252">
        <f t="shared" si="13"/>
        <v>20</v>
      </c>
      <c r="BC59" s="255">
        <f t="shared" si="14"/>
        <v>-6</v>
      </c>
      <c r="BD59" s="7">
        <f t="shared" si="15"/>
        <v>0</v>
      </c>
      <c r="BE59" s="183">
        <f t="shared" si="16"/>
        <v>30.058000589999999</v>
      </c>
      <c r="BF59" s="82">
        <f>IF(AP59="","",SMALL(BE$9:BE$62,ROWS(AZ$9:AZ59)))</f>
        <v>48.137900500000001</v>
      </c>
      <c r="BH59" s="82" t="str">
        <f>IF(OR(AP59="",AZ59=""),"",INDEX($AP$9:$AP$63,MATCH(BF59,$BE$9:BE$62,0)))</f>
        <v>C6</v>
      </c>
      <c r="BI59" s="7">
        <f t="shared" si="18"/>
        <v>3</v>
      </c>
      <c r="BJ59" s="7">
        <f t="shared" si="19"/>
        <v>-14</v>
      </c>
      <c r="BK59" s="7">
        <f t="shared" si="20"/>
        <v>21</v>
      </c>
      <c r="BL59" s="17">
        <f>IF(BF59="","",IF(AND(BI58=BI59,BJ58=BJ59,BK58=BK59),BL58,$BL$9+50))</f>
        <v>51</v>
      </c>
      <c r="BM59" s="22"/>
      <c r="BN59" s="228"/>
    </row>
    <row r="60" spans="1:66" ht="16.2" thickBot="1" x14ac:dyDescent="0.35">
      <c r="A60" s="20"/>
      <c r="B60" s="22"/>
      <c r="C60" s="22"/>
      <c r="D60" s="20"/>
      <c r="E60" s="20"/>
      <c r="F60" s="20"/>
      <c r="G60" s="20"/>
      <c r="H60" s="18"/>
      <c r="I60" s="20"/>
      <c r="J60" s="20"/>
      <c r="K60" s="20"/>
      <c r="L60" s="20"/>
      <c r="P60" s="18"/>
      <c r="Q60" s="20"/>
      <c r="R60" s="22"/>
      <c r="S60" s="22"/>
      <c r="T60" s="22"/>
      <c r="U60" s="18"/>
      <c r="V60" s="18"/>
      <c r="W60" s="18"/>
      <c r="X60" s="18"/>
      <c r="Y60" s="383"/>
      <c r="Z60" s="11" t="str">
        <f>+P22</f>
        <v>B13</v>
      </c>
      <c r="AA60" s="14">
        <f>IF(ISTEXT(Z60),AA59,0)</f>
        <v>2</v>
      </c>
      <c r="AB60" s="14">
        <f>IF(ISTEXT(Z60),AB59,0)</f>
        <v>1</v>
      </c>
      <c r="AC60" s="15">
        <f>IF(ISTEXT(Z60),AC59,0)</f>
        <v>-11</v>
      </c>
      <c r="AD60" s="6"/>
      <c r="AE60" s="11" t="str">
        <f>+S22</f>
        <v>B15</v>
      </c>
      <c r="AF60" s="14">
        <f>IF(ISTEXT(AE60),AF59,0)</f>
        <v>11</v>
      </c>
      <c r="AG60" s="48">
        <f>IF(ISTEXT(AE60),AG59,0)</f>
        <v>1</v>
      </c>
      <c r="AH60" s="15">
        <f>IF(ISTEXT(AE60),AH59,0)</f>
        <v>-1</v>
      </c>
      <c r="AI60" s="6"/>
      <c r="AJ60" s="11" t="str">
        <f>+V22</f>
        <v>B17</v>
      </c>
      <c r="AK60" s="14">
        <f>IF(ISTEXT(AJ60),AK59,0)</f>
        <v>10</v>
      </c>
      <c r="AL60" s="48">
        <f>IF(ISTEXT(AJ60),AL59,0)</f>
        <v>3</v>
      </c>
      <c r="AM60" s="15">
        <f>IF(ISTEXT(AJ60),AM59,0)</f>
        <v>3</v>
      </c>
      <c r="AN60" s="18"/>
      <c r="AO60" s="44">
        <v>52</v>
      </c>
      <c r="AP60" s="5" t="str">
        <f>+Inscrits!F18</f>
        <v>C16</v>
      </c>
      <c r="AQ60" s="247">
        <f t="shared" si="3"/>
        <v>3</v>
      </c>
      <c r="AR60" s="82">
        <f t="shared" si="4"/>
        <v>4</v>
      </c>
      <c r="AS60" s="184">
        <f t="shared" si="5"/>
        <v>12</v>
      </c>
      <c r="AT60" s="250">
        <f t="shared" si="6"/>
        <v>1</v>
      </c>
      <c r="AU60" s="82">
        <f t="shared" si="7"/>
        <v>-1</v>
      </c>
      <c r="AV60" s="252">
        <f t="shared" si="8"/>
        <v>11</v>
      </c>
      <c r="AW60" s="247">
        <f t="shared" si="9"/>
        <v>1</v>
      </c>
      <c r="AX60" s="82">
        <f t="shared" si="10"/>
        <v>-3</v>
      </c>
      <c r="AY60" s="252">
        <f t="shared" si="11"/>
        <v>4</v>
      </c>
      <c r="AZ60" s="247">
        <f t="shared" si="17"/>
        <v>5</v>
      </c>
      <c r="BA60" s="82">
        <f t="shared" si="12"/>
        <v>0</v>
      </c>
      <c r="BB60" s="252">
        <f t="shared" si="13"/>
        <v>27</v>
      </c>
      <c r="BC60" s="255">
        <f t="shared" si="14"/>
        <v>0</v>
      </c>
      <c r="BD60" s="7">
        <f t="shared" si="15"/>
        <v>0</v>
      </c>
      <c r="BE60" s="183">
        <f t="shared" si="16"/>
        <v>29.997300599999999</v>
      </c>
      <c r="BF60" s="82">
        <f>IF(AP60="","",SMALL(BE$9:BE$62,ROWS(AZ$9:AZ60)))</f>
        <v>48.178500159999999</v>
      </c>
      <c r="BH60" s="82" t="str">
        <f>IF(OR(AP60="",AZ60=""),"",INDEX($AP$9:$AP$63,MATCH(BF60,$BE$9:BE$62,0)))</f>
        <v>A8</v>
      </c>
      <c r="BI60" s="7">
        <f t="shared" si="18"/>
        <v>3</v>
      </c>
      <c r="BJ60" s="7">
        <f t="shared" si="19"/>
        <v>-18</v>
      </c>
      <c r="BK60" s="7">
        <f t="shared" si="20"/>
        <v>15</v>
      </c>
      <c r="BL60" s="17">
        <f>IF(BF60="","",IF(AND(BI59=BI60,BJ59=BJ60,BK59=BK60),BL59,$BL$9+51))</f>
        <v>52</v>
      </c>
      <c r="BM60" s="22"/>
      <c r="BN60" s="225"/>
    </row>
    <row r="61" spans="1:66" ht="15.6" x14ac:dyDescent="0.3">
      <c r="A61" s="20"/>
      <c r="B61" s="22"/>
      <c r="C61" s="22"/>
      <c r="D61" s="20"/>
      <c r="E61" s="20"/>
      <c r="F61" s="20"/>
      <c r="G61" s="20"/>
      <c r="H61" s="18"/>
      <c r="I61" s="20"/>
      <c r="J61" s="20"/>
      <c r="K61" s="20"/>
      <c r="L61" s="20"/>
      <c r="P61" s="18"/>
      <c r="Q61" s="20"/>
      <c r="R61" s="22"/>
      <c r="S61" s="22"/>
      <c r="T61" s="22"/>
      <c r="U61" s="22"/>
      <c r="V61" s="18"/>
      <c r="W61" s="18"/>
      <c r="X61" s="18"/>
      <c r="Y61" s="383"/>
      <c r="Z61" s="11" t="str">
        <f>+Q22</f>
        <v>C13</v>
      </c>
      <c r="AA61" s="55">
        <f>IF(ISTEXT(Z61),AA59,0)</f>
        <v>2</v>
      </c>
      <c r="AB61" s="55">
        <f>IF(ISTEXT(Z61),AB59,0)</f>
        <v>1</v>
      </c>
      <c r="AC61" s="56">
        <f>IF(ISTEXT(Z61),AC59,0)</f>
        <v>-11</v>
      </c>
      <c r="AD61" s="6"/>
      <c r="AE61" s="11" t="str">
        <f>+T22</f>
        <v>C16</v>
      </c>
      <c r="AF61" s="55">
        <f>IF(ISTEXT(AE61),AF59,0)</f>
        <v>11</v>
      </c>
      <c r="AG61" s="52">
        <f>IF(ISTEXT(AE61),AG59,0)</f>
        <v>1</v>
      </c>
      <c r="AH61" s="56">
        <f>IF(ISTEXT(AE61),AH59,0)</f>
        <v>-1</v>
      </c>
      <c r="AI61" s="6"/>
      <c r="AJ61" s="11" t="str">
        <f>+W22</f>
        <v>C1</v>
      </c>
      <c r="AK61" s="55">
        <f>IF(ISTEXT(AJ61),AK59,0)</f>
        <v>10</v>
      </c>
      <c r="AL61" s="52">
        <f>IF(ISTEXT(AJ61),AL59,0)</f>
        <v>3</v>
      </c>
      <c r="AM61" s="56">
        <f>IF(ISTEXT(AJ61),AM59,0)</f>
        <v>3</v>
      </c>
      <c r="AN61" s="18"/>
      <c r="AO61" s="44">
        <v>53</v>
      </c>
      <c r="AP61" s="5" t="str">
        <f>+Inscrits!F19</f>
        <v>C17</v>
      </c>
      <c r="AQ61" s="247">
        <f t="shared" si="3"/>
        <v>3</v>
      </c>
      <c r="AR61" s="82">
        <f t="shared" si="4"/>
        <v>6</v>
      </c>
      <c r="AS61" s="184">
        <f t="shared" si="5"/>
        <v>11</v>
      </c>
      <c r="AT61" s="250">
        <f t="shared" si="6"/>
        <v>3</v>
      </c>
      <c r="AU61" s="82">
        <f t="shared" si="7"/>
        <v>1</v>
      </c>
      <c r="AV61" s="252">
        <f t="shared" si="8"/>
        <v>12</v>
      </c>
      <c r="AW61" s="247">
        <f t="shared" si="9"/>
        <v>1</v>
      </c>
      <c r="AX61" s="82">
        <f t="shared" si="10"/>
        <v>-3</v>
      </c>
      <c r="AY61" s="252">
        <f t="shared" si="11"/>
        <v>8</v>
      </c>
      <c r="AZ61" s="247">
        <f t="shared" si="17"/>
        <v>7</v>
      </c>
      <c r="BA61" s="82">
        <f t="shared" si="12"/>
        <v>4</v>
      </c>
      <c r="BB61" s="252">
        <f t="shared" si="13"/>
        <v>31</v>
      </c>
      <c r="BC61" s="255">
        <f t="shared" si="14"/>
        <v>0</v>
      </c>
      <c r="BD61" s="7">
        <f t="shared" si="15"/>
        <v>4</v>
      </c>
      <c r="BE61" s="183">
        <f t="shared" si="16"/>
        <v>5.9569006099999999</v>
      </c>
      <c r="BF61" s="82">
        <f>IF(AP61="","",SMALL(BE$9:BE$62,ROWS(AZ$9:AZ61)))</f>
        <v>48.188500210000001</v>
      </c>
      <c r="BH61" s="82" t="str">
        <f>IF(OR(AP61="",AZ61=""),"",INDEX($AP$9:$AP$63,MATCH(BF61,$BE$9:BE$62,0)))</f>
        <v>A13</v>
      </c>
      <c r="BI61" s="7">
        <f t="shared" si="18"/>
        <v>3</v>
      </c>
      <c r="BJ61" s="7">
        <f t="shared" si="19"/>
        <v>-19</v>
      </c>
      <c r="BK61" s="7">
        <f t="shared" si="20"/>
        <v>15</v>
      </c>
      <c r="BL61" s="17">
        <f>IF(BF61="","",IF(AND(BI60=BI61,BJ60=BJ61,BK60=BK61),BL60,$BL$9+52))</f>
        <v>53</v>
      </c>
      <c r="BM61" s="22"/>
      <c r="BN61" s="225"/>
    </row>
    <row r="62" spans="1:66" ht="16.2" thickBot="1" x14ac:dyDescent="0.35">
      <c r="A62" s="20"/>
      <c r="B62" s="22"/>
      <c r="C62" s="22"/>
      <c r="D62" s="20"/>
      <c r="E62" s="20"/>
      <c r="F62" s="20"/>
      <c r="G62" s="20"/>
      <c r="H62" s="18"/>
      <c r="I62" s="20"/>
      <c r="J62" s="20"/>
      <c r="K62" s="20"/>
      <c r="L62" s="20"/>
      <c r="P62" s="18"/>
      <c r="Q62" s="20"/>
      <c r="R62" s="22"/>
      <c r="S62" s="22"/>
      <c r="T62" s="22"/>
      <c r="U62" s="22"/>
      <c r="V62" s="18"/>
      <c r="W62" s="18"/>
      <c r="X62" s="18"/>
      <c r="Y62" s="383"/>
      <c r="Z62" s="24"/>
      <c r="AA62" s="16" t="s">
        <v>5</v>
      </c>
      <c r="AB62" s="16"/>
      <c r="AC62" s="17"/>
      <c r="AD62" s="1"/>
      <c r="AE62" s="24"/>
      <c r="AF62" s="16" t="s">
        <v>5</v>
      </c>
      <c r="AG62" s="16"/>
      <c r="AH62" s="17"/>
      <c r="AI62" s="1"/>
      <c r="AJ62" s="24"/>
      <c r="AK62" s="16" t="s">
        <v>5</v>
      </c>
      <c r="AL62" s="16"/>
      <c r="AM62" s="17"/>
      <c r="AN62" s="18"/>
      <c r="AO62" s="283">
        <v>54</v>
      </c>
      <c r="AP62" s="280" t="str">
        <f>+Inscrits!F20</f>
        <v>C18</v>
      </c>
      <c r="AQ62" s="248">
        <f t="shared" si="3"/>
        <v>1</v>
      </c>
      <c r="AR62" s="189">
        <f t="shared" si="4"/>
        <v>-6</v>
      </c>
      <c r="AS62" s="190">
        <f t="shared" si="5"/>
        <v>5</v>
      </c>
      <c r="AT62" s="251">
        <f t="shared" si="6"/>
        <v>3</v>
      </c>
      <c r="AU62" s="189">
        <f t="shared" si="7"/>
        <v>1</v>
      </c>
      <c r="AV62" s="253">
        <f t="shared" si="8"/>
        <v>10</v>
      </c>
      <c r="AW62" s="248">
        <f t="shared" si="9"/>
        <v>3</v>
      </c>
      <c r="AX62" s="189">
        <f t="shared" si="10"/>
        <v>3</v>
      </c>
      <c r="AY62" s="253">
        <f t="shared" si="11"/>
        <v>11</v>
      </c>
      <c r="AZ62" s="248">
        <f t="shared" si="17"/>
        <v>7</v>
      </c>
      <c r="BA62" s="189">
        <f t="shared" si="12"/>
        <v>-2</v>
      </c>
      <c r="BB62" s="253">
        <f t="shared" si="13"/>
        <v>26</v>
      </c>
      <c r="BC62" s="256">
        <f t="shared" si="14"/>
        <v>-2</v>
      </c>
      <c r="BD62" s="244">
        <f t="shared" si="15"/>
        <v>0</v>
      </c>
      <c r="BE62" s="183">
        <f t="shared" si="16"/>
        <v>6.0174006199999992</v>
      </c>
      <c r="BF62" s="189">
        <f>IF(AP62="","",SMALL(BE$9:BE$62,ROWS(AZ$9:AZ62)))</f>
        <v>48.258900259999997</v>
      </c>
      <c r="BH62" s="189" t="str">
        <f>IF(OR(AP62="",AZ62=""),"",INDEX($AP$9:$AP$63,MATCH(BF62,$BE$9:BE$62,0)))</f>
        <v>A18</v>
      </c>
      <c r="BI62" s="244">
        <f t="shared" si="18"/>
        <v>3</v>
      </c>
      <c r="BJ62" s="244">
        <f t="shared" si="19"/>
        <v>-26</v>
      </c>
      <c r="BK62" s="244">
        <f t="shared" si="20"/>
        <v>11</v>
      </c>
      <c r="BL62" s="17">
        <f>IF(BF62="","",IF(AND(BI61=BI62,BJ61=BJ62,BK61=BK62),BL61,$BL$9+53))</f>
        <v>54</v>
      </c>
      <c r="BM62" s="22"/>
      <c r="BN62" s="225"/>
    </row>
    <row r="63" spans="1:66" ht="15.6" x14ac:dyDescent="0.3">
      <c r="A63" s="20"/>
      <c r="B63" s="22"/>
      <c r="C63" s="22"/>
      <c r="D63" s="20"/>
      <c r="E63" s="20"/>
      <c r="F63" s="20"/>
      <c r="G63" s="20"/>
      <c r="H63" s="18"/>
      <c r="I63" s="20"/>
      <c r="J63" s="20"/>
      <c r="K63" s="20"/>
      <c r="L63" s="20"/>
      <c r="P63" s="18"/>
      <c r="Q63" s="20"/>
      <c r="R63" s="22"/>
      <c r="S63" s="22"/>
      <c r="T63" s="22"/>
      <c r="U63" s="22"/>
      <c r="V63" s="18"/>
      <c r="W63" s="18"/>
      <c r="X63" s="18"/>
      <c r="Y63" s="383"/>
      <c r="Z63" s="11" t="str">
        <f>+O23</f>
        <v>A14</v>
      </c>
      <c r="AA63" s="27">
        <v>13</v>
      </c>
      <c r="AB63" s="23">
        <f>IF(AA59+AA63=0,0,IF(AA59=AA63,2,IF(AA59&lt;AA63,3,1)))</f>
        <v>3</v>
      </c>
      <c r="AC63" s="12">
        <f>AA63-AA59</f>
        <v>11</v>
      </c>
      <c r="AD63" s="6"/>
      <c r="AE63" s="11" t="str">
        <f>+R23</f>
        <v>A15</v>
      </c>
      <c r="AF63" s="108">
        <v>12</v>
      </c>
      <c r="AG63" s="23">
        <f>IF(AF59+AF63=0,0,IF(AF59=AF63,2,IF(AF59&lt;AF63,3,1)))</f>
        <v>3</v>
      </c>
      <c r="AH63" s="12">
        <f>AF63-AF59</f>
        <v>1</v>
      </c>
      <c r="AI63" s="6"/>
      <c r="AJ63" s="11" t="str">
        <f>+U23</f>
        <v>A16</v>
      </c>
      <c r="AK63" s="29">
        <v>7</v>
      </c>
      <c r="AL63" s="23">
        <f>IF(AK59+AK63=0,0,IF(AK59=AK63,2,IF(AK59&lt;AK63,3,1)))</f>
        <v>1</v>
      </c>
      <c r="AM63" s="12">
        <f>AK63-AK59</f>
        <v>-3</v>
      </c>
      <c r="AN63" s="18"/>
      <c r="AP63" s="4"/>
      <c r="AQ63" s="61">
        <f>SUM(IF(ISNA(AQ9:AQ62),0,AQ9:AQ62))</f>
        <v>108</v>
      </c>
      <c r="AR63" s="61">
        <f t="array" ref="AR63">SUM(IF(ISNA(AR9:AR62),0,AR9:AR62))</f>
        <v>0</v>
      </c>
      <c r="AS63" s="61"/>
      <c r="AT63" s="61">
        <f>SUM(IF(ISNA(AT9:AT62),0,AT9:AT62))</f>
        <v>108</v>
      </c>
      <c r="AU63" s="61">
        <f t="array" ref="AU63">SUM(IF(ISNA(AU9:AU62),0,AU9:AU62))</f>
        <v>0</v>
      </c>
      <c r="AV63" s="61"/>
      <c r="AW63" s="61">
        <f t="array" ref="AW63">SUM(IF(ISNA(AW9:AW62),0,AW9:AW62))</f>
        <v>108</v>
      </c>
      <c r="AX63" s="61">
        <f t="array" ref="AX63">SUM(IF(ISNA(AX9:AX62),0,AX9:AX62))</f>
        <v>0</v>
      </c>
      <c r="AY63" s="61"/>
      <c r="AZ63" s="6">
        <f t="array" ref="AZ63">SUM(AZ9:AZ62)</f>
        <v>324</v>
      </c>
      <c r="BA63" s="6">
        <f t="array" ref="BA63">SUM(BA9:BA62)</f>
        <v>0</v>
      </c>
      <c r="BB63" s="6"/>
      <c r="BC63" s="6"/>
      <c r="BD63" s="6"/>
      <c r="BE63" s="6"/>
      <c r="BF63" s="6"/>
      <c r="BG63" s="69"/>
      <c r="BH63" s="6"/>
      <c r="BI63" s="1"/>
      <c r="BJ63" s="6">
        <f t="array" ref="BJ63">SUM(BJ9:BJ62)</f>
        <v>0</v>
      </c>
      <c r="BK63" s="6"/>
      <c r="BL63" s="4"/>
      <c r="BM63" s="22"/>
      <c r="BN63" s="69"/>
    </row>
    <row r="64" spans="1:66" ht="16.2" thickBot="1" x14ac:dyDescent="0.35">
      <c r="A64" s="20"/>
      <c r="B64" s="22"/>
      <c r="C64" s="22"/>
      <c r="D64" s="20"/>
      <c r="E64" s="20"/>
      <c r="F64" s="20"/>
      <c r="G64" s="20"/>
      <c r="H64" s="18"/>
      <c r="I64" s="20"/>
      <c r="J64" s="20"/>
      <c r="K64" s="20"/>
      <c r="L64" s="20"/>
      <c r="P64" s="18"/>
      <c r="Q64" s="20"/>
      <c r="R64" s="22"/>
      <c r="S64" s="22"/>
      <c r="T64" s="22"/>
      <c r="U64" s="22"/>
      <c r="V64" s="18"/>
      <c r="W64" s="18"/>
      <c r="X64" s="18"/>
      <c r="Y64" s="383"/>
      <c r="Z64" s="11" t="str">
        <f>+P23</f>
        <v>B14</v>
      </c>
      <c r="AA64" s="14">
        <f>IF(ISTEXT(Z64),AA63,0)</f>
        <v>13</v>
      </c>
      <c r="AB64" s="14">
        <f>IF(ISTEXT(Z64),AB63,0)</f>
        <v>3</v>
      </c>
      <c r="AC64" s="15">
        <f>IF(ISTEXT(Z64),AC63,0)</f>
        <v>11</v>
      </c>
      <c r="AD64" s="6"/>
      <c r="AE64" s="11" t="str">
        <f>+S23</f>
        <v>B16</v>
      </c>
      <c r="AF64" s="14">
        <f>IF(ISTEXT(AE64),AF63,0)</f>
        <v>12</v>
      </c>
      <c r="AG64" s="14">
        <f>IF(ISTEXT(AE64),AG63,0)</f>
        <v>3</v>
      </c>
      <c r="AH64" s="15">
        <f>IF(ISTEXT(AE64),AH63,0)</f>
        <v>1</v>
      </c>
      <c r="AI64" s="6"/>
      <c r="AJ64" s="11" t="str">
        <f>+V23</f>
        <v>B18</v>
      </c>
      <c r="AK64" s="14">
        <f>IF(ISTEXT(AJ64),AK63,0)</f>
        <v>7</v>
      </c>
      <c r="AL64" s="14">
        <f>IF(ISTEXT(AJ64),AL63,0)</f>
        <v>1</v>
      </c>
      <c r="AM64" s="15">
        <f>IF(ISTEXT(AJ64),AM63,0)</f>
        <v>-3</v>
      </c>
      <c r="AN64" s="18"/>
      <c r="AP64" s="4"/>
      <c r="AQ64" s="6"/>
      <c r="AR64" s="1" t="str">
        <f>IF(AR63=0,"OK","ERREUR")</f>
        <v>OK</v>
      </c>
      <c r="AS64" s="61"/>
      <c r="AT64" s="6"/>
      <c r="AU64" s="1" t="str">
        <f>IF(AU63=0,"OK","ERREUR")</f>
        <v>OK</v>
      </c>
      <c r="AV64" s="61"/>
      <c r="AW64" s="6"/>
      <c r="AX64" s="1" t="str">
        <f>IF(AX63=0,"OK","ERREUR")</f>
        <v>OK</v>
      </c>
      <c r="AY64" s="61"/>
      <c r="AZ64" s="4"/>
      <c r="BA64" s="1" t="str">
        <f>IF(BA63=0,"OK","ERREUR")</f>
        <v>OK</v>
      </c>
      <c r="BB64" s="61"/>
      <c r="BC64" s="6"/>
      <c r="BD64" s="6"/>
      <c r="BE64" s="6"/>
      <c r="BF64" s="6"/>
      <c r="BG64" s="69"/>
      <c r="BH64" s="6"/>
      <c r="BI64" s="1"/>
      <c r="BJ64" s="1" t="str">
        <f>IF(BJ63=0,"OK","ERREUR")</f>
        <v>OK</v>
      </c>
      <c r="BK64" s="61"/>
      <c r="BL64" s="4"/>
      <c r="BM64" s="22"/>
    </row>
    <row r="65" spans="1:65" ht="16.2" thickBot="1" x14ac:dyDescent="0.35">
      <c r="A65" s="20"/>
      <c r="B65" s="22"/>
      <c r="C65" s="22"/>
      <c r="D65" s="20"/>
      <c r="E65" s="20"/>
      <c r="F65" s="20"/>
      <c r="G65" s="20"/>
      <c r="H65" s="18"/>
      <c r="I65" s="20"/>
      <c r="J65" s="20"/>
      <c r="K65" s="20"/>
      <c r="L65" s="20"/>
      <c r="P65" s="18"/>
      <c r="Q65" s="20"/>
      <c r="R65" s="22"/>
      <c r="S65" s="22"/>
      <c r="T65" s="22"/>
      <c r="U65" s="22"/>
      <c r="V65" s="18"/>
      <c r="W65" s="18"/>
      <c r="X65" s="18"/>
      <c r="Y65" s="384"/>
      <c r="Z65" s="13" t="str">
        <f>+Q23</f>
        <v>C14</v>
      </c>
      <c r="AA65" s="14">
        <f>IF(ISTEXT(Z65),AA63,0)</f>
        <v>13</v>
      </c>
      <c r="AB65" s="14">
        <f>IF(ISTEXT(Z65),AB63,0)</f>
        <v>3</v>
      </c>
      <c r="AC65" s="15">
        <f>IF(ISTEXT(Z65),AC63,0)</f>
        <v>11</v>
      </c>
      <c r="AD65" s="6"/>
      <c r="AE65" s="13" t="str">
        <f>+T23</f>
        <v>C17</v>
      </c>
      <c r="AF65" s="14">
        <f>IF(ISTEXT(AE65),AF63,0)</f>
        <v>12</v>
      </c>
      <c r="AG65" s="14">
        <f>IF(ISTEXT(AE65),AG63,0)</f>
        <v>3</v>
      </c>
      <c r="AH65" s="15">
        <f>IF(ISTEXT(AE65),AH63,0)</f>
        <v>1</v>
      </c>
      <c r="AI65" s="6"/>
      <c r="AJ65" s="13" t="str">
        <f>+W23</f>
        <v>C2</v>
      </c>
      <c r="AK65" s="14">
        <f>IF(ISTEXT(AJ65),AK63,0)</f>
        <v>7</v>
      </c>
      <c r="AL65" s="14">
        <f>IF(ISTEXT(AJ65),AL63,0)</f>
        <v>1</v>
      </c>
      <c r="AM65" s="15">
        <f>IF(ISTEXT(AJ65),AM63,0)</f>
        <v>-3</v>
      </c>
      <c r="AN65" s="18"/>
      <c r="AO65" s="20"/>
      <c r="AP65" s="4"/>
      <c r="AQ65" s="6"/>
      <c r="AR65" s="61"/>
      <c r="AS65" s="61"/>
      <c r="AT65" s="6"/>
      <c r="AU65" s="61"/>
      <c r="AV65" s="61"/>
      <c r="AW65" s="6"/>
      <c r="AX65" s="61"/>
      <c r="AY65" s="61"/>
      <c r="AZ65" s="4"/>
      <c r="BA65" s="61"/>
      <c r="BB65" s="61"/>
      <c r="BC65" s="6"/>
      <c r="BD65" s="6"/>
      <c r="BE65" s="6"/>
      <c r="BF65" s="6"/>
      <c r="BG65" s="69"/>
      <c r="BH65" s="6"/>
      <c r="BI65" s="1"/>
      <c r="BJ65" s="61"/>
      <c r="BK65" s="61"/>
      <c r="BL65" s="4"/>
      <c r="BM65" s="22"/>
    </row>
    <row r="66" spans="1:65" ht="16.2" thickBot="1" x14ac:dyDescent="0.35">
      <c r="A66" s="20"/>
      <c r="B66" s="22"/>
      <c r="C66" s="22"/>
      <c r="D66" s="20"/>
      <c r="E66" s="20"/>
      <c r="F66" s="20"/>
      <c r="G66" s="20"/>
      <c r="H66" s="18"/>
      <c r="I66" s="20"/>
      <c r="J66" s="20"/>
      <c r="K66" s="20"/>
      <c r="L66" s="20"/>
      <c r="P66" s="18"/>
      <c r="Q66" s="20"/>
      <c r="R66" s="22"/>
      <c r="S66" s="22"/>
      <c r="T66" s="22"/>
      <c r="U66" s="22"/>
      <c r="V66" s="18"/>
      <c r="W66" s="18"/>
      <c r="X66" s="18"/>
      <c r="Y66" s="20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18"/>
      <c r="AO66" s="20"/>
      <c r="AP66" s="18"/>
      <c r="AQ66" s="69"/>
      <c r="AR66" s="19"/>
      <c r="AS66" s="19"/>
      <c r="AT66" s="69"/>
      <c r="AU66" s="69"/>
      <c r="AV66" s="69"/>
      <c r="AW66" s="69"/>
      <c r="AX66" s="19"/>
      <c r="AY66" s="19"/>
      <c r="AZ66" s="19"/>
      <c r="BA66" s="19"/>
      <c r="BB66" s="19"/>
      <c r="BC66" s="19"/>
      <c r="BD66" s="19"/>
      <c r="BE66" s="19"/>
      <c r="BF66" s="19"/>
      <c r="BG66" s="69"/>
      <c r="BH66" s="19"/>
      <c r="BI66" s="20"/>
      <c r="BJ66" s="20"/>
      <c r="BK66" s="20"/>
      <c r="BL66" s="18"/>
      <c r="BM66" s="22"/>
    </row>
    <row r="67" spans="1:65" ht="15.6" x14ac:dyDescent="0.3">
      <c r="A67" s="20"/>
      <c r="B67" s="22"/>
      <c r="C67" s="22"/>
      <c r="D67" s="20"/>
      <c r="E67" s="20"/>
      <c r="F67" s="20"/>
      <c r="G67" s="20"/>
      <c r="H67" s="18"/>
      <c r="I67" s="20"/>
      <c r="J67" s="20"/>
      <c r="K67" s="20"/>
      <c r="L67" s="20"/>
      <c r="P67" s="18"/>
      <c r="Q67" s="20"/>
      <c r="R67" s="22"/>
      <c r="S67" s="22"/>
      <c r="T67" s="22"/>
      <c r="U67" s="22"/>
      <c r="V67" s="18"/>
      <c r="W67" s="18"/>
      <c r="X67" s="18"/>
      <c r="Y67" s="382">
        <v>8</v>
      </c>
      <c r="Z67" s="9" t="str">
        <f>+O24</f>
        <v>A15</v>
      </c>
      <c r="AA67" s="25">
        <v>8</v>
      </c>
      <c r="AB67" s="38">
        <f>IF(AA67+AA71=0,0,IF(AA67=AA71,2,IF(AA67&gt;AA71,3,1)))</f>
        <v>1</v>
      </c>
      <c r="AC67" s="10">
        <f>AA67-AA71</f>
        <v>-4</v>
      </c>
      <c r="AD67" s="6"/>
      <c r="AE67" s="9" t="str">
        <f>+R24</f>
        <v>A16</v>
      </c>
      <c r="AF67" s="107">
        <v>10</v>
      </c>
      <c r="AG67" s="38">
        <f>IF(AF67+AF71=0,0,IF(AF67=AF71,2,IF(AF67&gt;AF71,3,1)))</f>
        <v>3</v>
      </c>
      <c r="AH67" s="10">
        <f>AF67-AF71</f>
        <v>1</v>
      </c>
      <c r="AI67" s="6"/>
      <c r="AJ67" s="9" t="str">
        <f>+U24</f>
        <v>A17</v>
      </c>
      <c r="AK67" s="28">
        <v>13</v>
      </c>
      <c r="AL67" s="38">
        <f>IF(AK67+AK71=0,0,IF(AK67=AK71,2,IF(AK67&gt;AK71,3,1)))</f>
        <v>3</v>
      </c>
      <c r="AM67" s="10">
        <f>AK67-AK71</f>
        <v>12</v>
      </c>
      <c r="AN67" s="18"/>
      <c r="AO67" s="20"/>
      <c r="AP67" s="326" t="s">
        <v>28</v>
      </c>
      <c r="AQ67" s="323">
        <f>COUNTIF(AQ9:AQ56,1)</f>
        <v>24</v>
      </c>
      <c r="AR67" s="324"/>
      <c r="AS67" s="324"/>
      <c r="AT67" s="323">
        <f>COUNTIF(AT9:AT56,1)</f>
        <v>25</v>
      </c>
      <c r="AU67" s="323"/>
      <c r="AV67" s="323"/>
      <c r="AW67" s="323">
        <f>COUNTIF(AW9:AW56,1)</f>
        <v>24</v>
      </c>
      <c r="AX67" s="324"/>
      <c r="AY67" s="324"/>
      <c r="AZ67" s="323">
        <f>COUNTIF(AZ9:AZ62,3)</f>
        <v>7</v>
      </c>
      <c r="BA67" s="325"/>
      <c r="BB67" s="325"/>
      <c r="BC67" s="323">
        <f>COUNTIF(BC9:BC56,1)</f>
        <v>0</v>
      </c>
      <c r="BD67" s="323"/>
      <c r="BE67" s="323"/>
      <c r="BF67" s="323">
        <f>COUNTIF(BF9:BF56,1)</f>
        <v>0</v>
      </c>
      <c r="BG67" s="69"/>
      <c r="BH67" s="18"/>
      <c r="BI67" s="18"/>
      <c r="BJ67" s="18"/>
      <c r="BK67" s="18"/>
      <c r="BL67" s="18"/>
      <c r="BM67" s="22"/>
    </row>
    <row r="68" spans="1:65" ht="16.2" thickBot="1" x14ac:dyDescent="0.35">
      <c r="A68" s="20"/>
      <c r="B68" s="22"/>
      <c r="C68" s="22"/>
      <c r="D68" s="20"/>
      <c r="E68" s="20"/>
      <c r="F68" s="20"/>
      <c r="G68" s="20"/>
      <c r="H68" s="18"/>
      <c r="I68" s="20"/>
      <c r="J68" s="20"/>
      <c r="K68" s="20"/>
      <c r="L68" s="20"/>
      <c r="P68" s="18"/>
      <c r="Q68" s="20"/>
      <c r="R68" s="22"/>
      <c r="S68" s="22"/>
      <c r="T68" s="22"/>
      <c r="U68" s="22"/>
      <c r="V68" s="18"/>
      <c r="W68" s="18"/>
      <c r="X68" s="18"/>
      <c r="Y68" s="383"/>
      <c r="Z68" s="11" t="str">
        <f>+P24</f>
        <v>B15</v>
      </c>
      <c r="AA68" s="14">
        <f>IF(ISTEXT(Z68),AA67,0)</f>
        <v>8</v>
      </c>
      <c r="AB68" s="14">
        <f>IF(ISTEXT(Z68),AB67,0)</f>
        <v>1</v>
      </c>
      <c r="AC68" s="15">
        <f>IF(ISTEXT(Z68),AC67,0)</f>
        <v>-4</v>
      </c>
      <c r="AD68" s="6"/>
      <c r="AE68" s="11" t="str">
        <f>+S24</f>
        <v>B17</v>
      </c>
      <c r="AF68" s="14">
        <f>IF(ISTEXT(AE68),AF67,0)</f>
        <v>10</v>
      </c>
      <c r="AG68" s="48">
        <f>IF(ISTEXT(AE68),AG67,0)</f>
        <v>3</v>
      </c>
      <c r="AH68" s="15">
        <f>IF(ISTEXT(AE68),AH67,0)</f>
        <v>1</v>
      </c>
      <c r="AI68" s="6"/>
      <c r="AJ68" s="11" t="str">
        <f>+V24</f>
        <v>B1</v>
      </c>
      <c r="AK68" s="14">
        <f>IF(ISTEXT(AJ68),AK67,0)</f>
        <v>13</v>
      </c>
      <c r="AL68" s="48">
        <f>IF(ISTEXT(AJ68),AL67,0)</f>
        <v>3</v>
      </c>
      <c r="AM68" s="15">
        <f>IF(ISTEXT(AJ68),AM67,0)</f>
        <v>12</v>
      </c>
      <c r="AN68" s="18"/>
      <c r="AO68" s="20"/>
      <c r="AP68" s="326" t="s">
        <v>44</v>
      </c>
      <c r="AQ68" s="323">
        <f>COUNTIF(AQ9:AQ56,2)</f>
        <v>0</v>
      </c>
      <c r="AR68" s="324"/>
      <c r="AS68" s="324"/>
      <c r="AT68" s="323">
        <f>COUNTIF(AT9:AT56,2)</f>
        <v>0</v>
      </c>
      <c r="AU68" s="324"/>
      <c r="AV68" s="324"/>
      <c r="AW68" s="323">
        <f>COUNTIF(AW9:AW56,2)</f>
        <v>0</v>
      </c>
      <c r="AX68" s="324"/>
      <c r="AY68" s="324"/>
      <c r="AZ68" s="323">
        <f>COUNTIF(AZ9:AZ62,5)</f>
        <v>18</v>
      </c>
      <c r="BA68" s="325"/>
      <c r="BB68" s="325"/>
      <c r="BC68" s="323">
        <f>COUNTIF(BC9:BC56,2)</f>
        <v>0</v>
      </c>
      <c r="BD68" s="324"/>
      <c r="BE68" s="324"/>
      <c r="BF68" s="323">
        <f>COUNTIF(BF9:BF56,2)</f>
        <v>0</v>
      </c>
      <c r="BG68" s="69"/>
      <c r="BH68" s="18"/>
      <c r="BI68" s="18"/>
      <c r="BJ68" s="18"/>
      <c r="BK68" s="18"/>
      <c r="BL68" s="18"/>
      <c r="BM68" s="22"/>
    </row>
    <row r="69" spans="1:65" ht="15.6" x14ac:dyDescent="0.3">
      <c r="A69" s="20"/>
      <c r="B69" s="22"/>
      <c r="C69" s="22"/>
      <c r="D69" s="20"/>
      <c r="E69" s="20"/>
      <c r="F69" s="20"/>
      <c r="G69" s="20"/>
      <c r="H69" s="18"/>
      <c r="I69" s="20"/>
      <c r="J69" s="20"/>
      <c r="K69" s="20"/>
      <c r="L69" s="20"/>
      <c r="P69" s="18"/>
      <c r="Q69" s="20"/>
      <c r="R69" s="22"/>
      <c r="S69" s="22"/>
      <c r="T69" s="22"/>
      <c r="U69" s="22"/>
      <c r="V69" s="18"/>
      <c r="W69" s="18"/>
      <c r="X69" s="18"/>
      <c r="Y69" s="383"/>
      <c r="Z69" s="11" t="str">
        <f>+Q24</f>
        <v>C15</v>
      </c>
      <c r="AA69" s="55">
        <f>IF(ISTEXT(Z69),AA67,0)</f>
        <v>8</v>
      </c>
      <c r="AB69" s="55">
        <f>IF(ISTEXT(Z69),AB67,0)</f>
        <v>1</v>
      </c>
      <c r="AC69" s="56">
        <f>IF(ISTEXT(Z69),AC67,0)</f>
        <v>-4</v>
      </c>
      <c r="AD69" s="6"/>
      <c r="AE69" s="11" t="str">
        <f>+T24</f>
        <v>C18</v>
      </c>
      <c r="AF69" s="55">
        <f>IF(ISTEXT(AE69),AF67,0)</f>
        <v>10</v>
      </c>
      <c r="AG69" s="52">
        <f>IF(ISTEXT(AE69),AG67,0)</f>
        <v>3</v>
      </c>
      <c r="AH69" s="56">
        <f>IF(ISTEXT(AE69),AH67,0)</f>
        <v>1</v>
      </c>
      <c r="AI69" s="6"/>
      <c r="AJ69" s="11" t="str">
        <f>+W24</f>
        <v>C3</v>
      </c>
      <c r="AK69" s="55">
        <f>IF(ISTEXT(AJ69),AK67,0)</f>
        <v>13</v>
      </c>
      <c r="AL69" s="52">
        <f>IF(ISTEXT(AJ69),AL67,0)</f>
        <v>3</v>
      </c>
      <c r="AM69" s="56">
        <f>IF(ISTEXT(AJ69),AM67,0)</f>
        <v>12</v>
      </c>
      <c r="AN69" s="18"/>
      <c r="AO69" s="18"/>
      <c r="AP69" s="326" t="s">
        <v>47</v>
      </c>
      <c r="AQ69" s="323"/>
      <c r="AR69" s="324"/>
      <c r="AS69" s="324"/>
      <c r="AT69" s="323"/>
      <c r="AU69" s="324"/>
      <c r="AV69" s="324"/>
      <c r="AW69" s="323"/>
      <c r="AX69" s="324"/>
      <c r="AY69" s="324"/>
      <c r="AZ69" s="323">
        <f>COUNTIF(AZ10:AZ63,6)</f>
        <v>0</v>
      </c>
      <c r="BA69" s="325"/>
      <c r="BB69" s="325"/>
      <c r="BC69" s="323">
        <f>COUNTIF(BC9:BC56,3)</f>
        <v>0</v>
      </c>
      <c r="BD69" s="324"/>
      <c r="BE69" s="324"/>
      <c r="BF69" s="323">
        <f>COUNTIF(BF9:BF56,3)</f>
        <v>0</v>
      </c>
      <c r="BG69" s="69"/>
      <c r="BH69" s="18"/>
      <c r="BI69" s="18"/>
      <c r="BJ69" s="18"/>
      <c r="BK69" s="18"/>
      <c r="BL69" s="18"/>
      <c r="BM69" s="22"/>
    </row>
    <row r="70" spans="1:65" ht="15.6" x14ac:dyDescent="0.3">
      <c r="A70" s="20"/>
      <c r="B70" s="22"/>
      <c r="C70" s="22"/>
      <c r="D70" s="20"/>
      <c r="E70" s="20"/>
      <c r="F70" s="20"/>
      <c r="G70" s="20"/>
      <c r="H70" s="18"/>
      <c r="I70" s="20"/>
      <c r="J70" s="20"/>
      <c r="K70" s="20"/>
      <c r="L70" s="20"/>
      <c r="P70" s="18"/>
      <c r="Q70" s="20"/>
      <c r="R70" s="22"/>
      <c r="S70" s="22"/>
      <c r="T70" s="22"/>
      <c r="U70" s="22"/>
      <c r="V70" s="18"/>
      <c r="W70" s="18"/>
      <c r="X70" s="18"/>
      <c r="Y70" s="383"/>
      <c r="Z70" s="24"/>
      <c r="AA70" s="16" t="s">
        <v>5</v>
      </c>
      <c r="AB70" s="16"/>
      <c r="AC70" s="17"/>
      <c r="AD70" s="1"/>
      <c r="AE70" s="24"/>
      <c r="AF70" s="16" t="s">
        <v>5</v>
      </c>
      <c r="AG70" s="16"/>
      <c r="AH70" s="17"/>
      <c r="AI70" s="1"/>
      <c r="AJ70" s="24"/>
      <c r="AK70" s="16" t="s">
        <v>5</v>
      </c>
      <c r="AL70" s="16"/>
      <c r="AM70" s="17"/>
      <c r="AN70" s="18"/>
      <c r="AO70" s="18"/>
      <c r="AP70" s="326" t="s">
        <v>45</v>
      </c>
      <c r="AQ70" s="323">
        <f>COUNTIF(AQ9:AQ56,3)</f>
        <v>24</v>
      </c>
      <c r="AR70" s="324"/>
      <c r="AS70" s="324"/>
      <c r="AT70" s="323">
        <f>COUNTIF(AT9:AT56,3)</f>
        <v>23</v>
      </c>
      <c r="AU70" s="324"/>
      <c r="AV70" s="324"/>
      <c r="AW70" s="323">
        <f>COUNTIF(AW9:AW56,3)</f>
        <v>24</v>
      </c>
      <c r="AX70" s="324"/>
      <c r="AY70" s="324"/>
      <c r="AZ70" s="323">
        <f>COUNTIF(AZ9:AZ62,7)</f>
        <v>24</v>
      </c>
      <c r="BA70" s="325"/>
      <c r="BB70" s="325"/>
      <c r="BC70" s="323">
        <f>COUNTIF(BC9:BC56,0)</f>
        <v>27</v>
      </c>
      <c r="BD70" s="324"/>
      <c r="BE70" s="324"/>
      <c r="BF70" s="323">
        <f>COUNTIF(BF9:BF56,0)</f>
        <v>0</v>
      </c>
      <c r="BG70" s="18"/>
      <c r="BH70" s="18"/>
      <c r="BI70" s="18"/>
      <c r="BJ70" s="18"/>
      <c r="BK70" s="18"/>
      <c r="BL70" s="18"/>
      <c r="BM70" s="22"/>
    </row>
    <row r="71" spans="1:65" ht="15.6" x14ac:dyDescent="0.3">
      <c r="A71" s="20"/>
      <c r="B71" s="22"/>
      <c r="C71" s="22"/>
      <c r="D71" s="20"/>
      <c r="E71" s="20"/>
      <c r="F71" s="20"/>
      <c r="G71" s="20"/>
      <c r="H71" s="18"/>
      <c r="I71" s="20"/>
      <c r="J71" s="20"/>
      <c r="K71" s="20"/>
      <c r="L71" s="20"/>
      <c r="P71" s="18"/>
      <c r="Q71" s="20"/>
      <c r="R71" s="22"/>
      <c r="S71" s="22"/>
      <c r="T71" s="22"/>
      <c r="U71" s="22"/>
      <c r="V71" s="18"/>
      <c r="W71" s="18"/>
      <c r="X71" s="18"/>
      <c r="Y71" s="383"/>
      <c r="Z71" s="11" t="str">
        <f>+O25</f>
        <v>A16</v>
      </c>
      <c r="AA71" s="27">
        <v>12</v>
      </c>
      <c r="AB71" s="23">
        <f>IF(AA67+AA71=0,0,IF(AA67=AA71,2,IF(AA67&lt;AA71,3,1)))</f>
        <v>3</v>
      </c>
      <c r="AC71" s="12">
        <f>AA71-AA67</f>
        <v>4</v>
      </c>
      <c r="AD71" s="6"/>
      <c r="AE71" s="11" t="str">
        <f>+R25</f>
        <v>A17</v>
      </c>
      <c r="AF71" s="108">
        <v>9</v>
      </c>
      <c r="AG71" s="23">
        <f>IF(AF67+AF71=0,0,IF(AF67=AF71,2,IF(AF67&lt;AF71,3,1)))</f>
        <v>1</v>
      </c>
      <c r="AH71" s="12">
        <f>AF71-AF67</f>
        <v>-1</v>
      </c>
      <c r="AI71" s="6"/>
      <c r="AJ71" s="11" t="str">
        <f>+U25</f>
        <v>A18</v>
      </c>
      <c r="AK71" s="29">
        <v>1</v>
      </c>
      <c r="AL71" s="23">
        <f>IF(AK67+AK71=0,0,IF(AK67=AK71,2,IF(AK67&lt;AK71,3,1)))</f>
        <v>1</v>
      </c>
      <c r="AM71" s="12">
        <f>AK71-AK67</f>
        <v>-12</v>
      </c>
      <c r="AN71" s="18"/>
      <c r="AO71" s="18"/>
      <c r="AP71" s="326" t="s">
        <v>46</v>
      </c>
      <c r="AQ71" s="323">
        <f>COUNTIF(AQ9:AQ56,0)</f>
        <v>0</v>
      </c>
      <c r="AR71" s="324"/>
      <c r="AS71" s="324"/>
      <c r="AT71" s="323">
        <f>COUNTIF(AT9:AT56,0)</f>
        <v>0</v>
      </c>
      <c r="AU71" s="324"/>
      <c r="AV71" s="324"/>
      <c r="AW71" s="323">
        <f>COUNTIF(AW9:AW56,0)</f>
        <v>0</v>
      </c>
      <c r="AX71" s="324"/>
      <c r="AY71" s="324"/>
      <c r="AZ71" s="323">
        <f>COUNTIF(AZ10:AZ63,9)</f>
        <v>5</v>
      </c>
      <c r="BA71" s="325"/>
      <c r="BB71" s="325"/>
      <c r="BC71" s="323">
        <f>COUNTIF(BC9:BC63,#N/A)</f>
        <v>0</v>
      </c>
      <c r="BD71" s="324"/>
      <c r="BE71" s="324"/>
      <c r="BF71" s="323">
        <f>COUNTIF(BF9:BF63,#N/A)</f>
        <v>0</v>
      </c>
      <c r="BG71" s="18"/>
      <c r="BH71" s="18"/>
      <c r="BI71" s="18"/>
      <c r="BJ71" s="18"/>
      <c r="BK71" s="18"/>
      <c r="BL71" s="18"/>
      <c r="BM71" s="22"/>
    </row>
    <row r="72" spans="1:65" ht="16.2" thickBot="1" x14ac:dyDescent="0.35">
      <c r="A72" s="20"/>
      <c r="B72" s="22"/>
      <c r="C72" s="22"/>
      <c r="D72" s="20"/>
      <c r="E72" s="20"/>
      <c r="F72" s="20"/>
      <c r="G72" s="20"/>
      <c r="H72" s="18"/>
      <c r="I72" s="20"/>
      <c r="J72" s="20"/>
      <c r="K72" s="20"/>
      <c r="L72" s="20"/>
      <c r="P72" s="18"/>
      <c r="Q72" s="20"/>
      <c r="R72" s="22"/>
      <c r="S72" s="22"/>
      <c r="T72" s="22"/>
      <c r="U72" s="22"/>
      <c r="V72" s="18"/>
      <c r="W72" s="18"/>
      <c r="X72" s="18"/>
      <c r="Y72" s="383"/>
      <c r="Z72" s="11" t="str">
        <f>+P25</f>
        <v>B16</v>
      </c>
      <c r="AA72" s="14">
        <f>IF(ISTEXT(Z72),AA71,0)</f>
        <v>12</v>
      </c>
      <c r="AB72" s="14">
        <f>IF(ISTEXT(Z72),AB71,0)</f>
        <v>3</v>
      </c>
      <c r="AC72" s="15">
        <f>IF(ISTEXT(Z72),AC71,0)</f>
        <v>4</v>
      </c>
      <c r="AD72" s="6"/>
      <c r="AE72" s="11" t="str">
        <f>+S25</f>
        <v>B18</v>
      </c>
      <c r="AF72" s="14">
        <f>IF(ISTEXT(AE72),AF71,0)</f>
        <v>9</v>
      </c>
      <c r="AG72" s="14">
        <f>IF(ISTEXT(AE72),AG71,0)</f>
        <v>1</v>
      </c>
      <c r="AH72" s="15">
        <f>IF(ISTEXT(AE72),AH71,0)</f>
        <v>-1</v>
      </c>
      <c r="AI72" s="6"/>
      <c r="AJ72" s="11" t="str">
        <f>+V25</f>
        <v>B2</v>
      </c>
      <c r="AK72" s="14">
        <f>IF(ISTEXT(AJ72),AK71,0)</f>
        <v>1</v>
      </c>
      <c r="AL72" s="14">
        <f>IF(ISTEXT(AJ72),AL71,0)</f>
        <v>1</v>
      </c>
      <c r="AM72" s="15">
        <f>IF(ISTEXT(AJ72),AM71,0)</f>
        <v>-12</v>
      </c>
      <c r="AN72" s="18"/>
      <c r="AO72" s="18"/>
      <c r="AP72" s="326" t="e">
        <v>#N/A</v>
      </c>
      <c r="AQ72" s="323">
        <f>COUNTIF(AQ9:AQ63,#N/A)</f>
        <v>0</v>
      </c>
      <c r="AR72" s="324"/>
      <c r="AS72" s="324"/>
      <c r="AT72" s="323">
        <f>COUNTIF(AT9:AT63,#N/A)</f>
        <v>0</v>
      </c>
      <c r="AU72" s="324"/>
      <c r="AV72" s="324"/>
      <c r="AW72" s="323">
        <f>COUNTIF(AW9:AW63,#N/A)</f>
        <v>0</v>
      </c>
      <c r="AX72" s="324"/>
      <c r="AY72" s="324"/>
      <c r="AZ72" s="323">
        <f>COUNTIF(AZ9:AZ62,#N/A)</f>
        <v>0</v>
      </c>
      <c r="BA72" s="325"/>
      <c r="BB72" s="325"/>
      <c r="BC72" s="323">
        <f>SUM(BC67:BC71)</f>
        <v>27</v>
      </c>
      <c r="BD72" s="323"/>
      <c r="BE72" s="323"/>
      <c r="BF72" s="323">
        <f>SUM(BF67:BF71)</f>
        <v>0</v>
      </c>
      <c r="BG72" s="18"/>
      <c r="BH72" s="18"/>
      <c r="BI72" s="18"/>
      <c r="BJ72" s="18"/>
      <c r="BK72" s="18"/>
      <c r="BL72" s="18"/>
      <c r="BM72" s="22"/>
    </row>
    <row r="73" spans="1:65" ht="16.2" thickBot="1" x14ac:dyDescent="0.35">
      <c r="A73" s="20"/>
      <c r="B73" s="22"/>
      <c r="C73" s="22"/>
      <c r="D73" s="20"/>
      <c r="E73" s="20"/>
      <c r="F73" s="20"/>
      <c r="G73" s="20"/>
      <c r="H73" s="18"/>
      <c r="I73" s="20"/>
      <c r="J73" s="20"/>
      <c r="K73" s="20"/>
      <c r="L73" s="20"/>
      <c r="P73" s="18"/>
      <c r="Q73" s="20"/>
      <c r="R73" s="22"/>
      <c r="S73" s="22"/>
      <c r="T73" s="22"/>
      <c r="U73" s="22"/>
      <c r="V73" s="18"/>
      <c r="W73" s="18"/>
      <c r="X73" s="18"/>
      <c r="Y73" s="384"/>
      <c r="Z73" s="13" t="str">
        <f>+Q25</f>
        <v>C16</v>
      </c>
      <c r="AA73" s="14">
        <f>IF(ISTEXT(Z73),AA71,0)</f>
        <v>12</v>
      </c>
      <c r="AB73" s="14">
        <f>IF(ISTEXT(Z73),AB71,0)</f>
        <v>3</v>
      </c>
      <c r="AC73" s="15">
        <f>IF(ISTEXT(Z73),AC71,0)</f>
        <v>4</v>
      </c>
      <c r="AD73" s="6"/>
      <c r="AE73" s="13" t="str">
        <f>+T25</f>
        <v>C1</v>
      </c>
      <c r="AF73" s="14">
        <f>IF(ISTEXT(AE73),AF71,0)</f>
        <v>9</v>
      </c>
      <c r="AG73" s="14">
        <f>IF(ISTEXT(AE73),AG71,0)</f>
        <v>1</v>
      </c>
      <c r="AH73" s="15">
        <f>IF(ISTEXT(AE73),AH71,0)</f>
        <v>-1</v>
      </c>
      <c r="AI73" s="6"/>
      <c r="AJ73" s="13" t="str">
        <f>+W25</f>
        <v>C4</v>
      </c>
      <c r="AK73" s="14">
        <f>IF(ISTEXT(AJ73),AK71,0)</f>
        <v>1</v>
      </c>
      <c r="AL73" s="14">
        <f>IF(ISTEXT(AJ73),AL71,0)</f>
        <v>1</v>
      </c>
      <c r="AM73" s="15">
        <f>IF(ISTEXT(AJ73),AM71,0)</f>
        <v>-12</v>
      </c>
      <c r="AN73" s="18"/>
      <c r="AO73" s="18"/>
      <c r="AP73" s="326"/>
      <c r="AQ73" s="323">
        <f>SUM(AQ67:AQ72)</f>
        <v>48</v>
      </c>
      <c r="AR73" s="323"/>
      <c r="AS73" s="323"/>
      <c r="AT73" s="323">
        <f>SUM(AT67:AT72)</f>
        <v>48</v>
      </c>
      <c r="AU73" s="323"/>
      <c r="AV73" s="323"/>
      <c r="AW73" s="323">
        <f>SUM(AW67:AW72)</f>
        <v>48</v>
      </c>
      <c r="AX73" s="324"/>
      <c r="AY73" s="324"/>
      <c r="AZ73" s="323">
        <f>SUM(AZ67:AZ72)</f>
        <v>54</v>
      </c>
      <c r="BA73" s="324"/>
      <c r="BB73" s="324"/>
      <c r="BC73" s="324"/>
      <c r="BD73" s="324"/>
      <c r="BE73" s="324"/>
      <c r="BF73" s="324"/>
      <c r="BG73" s="18"/>
      <c r="BH73" s="18"/>
      <c r="BI73" s="18"/>
      <c r="BJ73" s="22"/>
      <c r="BK73" s="22"/>
      <c r="BL73" s="22"/>
      <c r="BM73" s="22"/>
    </row>
    <row r="74" spans="1:65" ht="16.2" thickBot="1" x14ac:dyDescent="0.35">
      <c r="A74" s="20"/>
      <c r="B74" s="22"/>
      <c r="C74" s="22"/>
      <c r="D74" s="20"/>
      <c r="E74" s="20"/>
      <c r="F74" s="20"/>
      <c r="G74" s="20"/>
      <c r="H74" s="18"/>
      <c r="I74" s="20"/>
      <c r="J74" s="20"/>
      <c r="K74" s="20"/>
      <c r="L74" s="20"/>
      <c r="P74" s="18"/>
      <c r="Q74" s="20"/>
      <c r="R74" s="22"/>
      <c r="S74" s="22"/>
      <c r="T74" s="22"/>
      <c r="U74" s="22"/>
      <c r="V74" s="18"/>
      <c r="W74" s="18"/>
      <c r="X74" s="18"/>
      <c r="Y74" s="20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18"/>
      <c r="AO74" s="18"/>
      <c r="AP74" s="324"/>
      <c r="AQ74" s="324"/>
      <c r="AR74" s="324"/>
      <c r="AS74" s="324"/>
      <c r="AT74" s="324"/>
      <c r="AU74" s="324"/>
      <c r="AV74" s="324"/>
      <c r="AW74" s="324"/>
      <c r="AX74" s="324"/>
      <c r="AY74" s="324"/>
      <c r="AZ74" s="324"/>
      <c r="BA74" s="324"/>
      <c r="BB74" s="324"/>
      <c r="BC74" s="324"/>
      <c r="BD74" s="324"/>
      <c r="BE74" s="324"/>
      <c r="BF74" s="324"/>
      <c r="BG74" s="18"/>
      <c r="BH74" s="18"/>
      <c r="BI74" s="18"/>
      <c r="BJ74" s="22"/>
      <c r="BK74" s="22"/>
      <c r="BL74" s="22"/>
      <c r="BM74" s="22"/>
    </row>
    <row r="75" spans="1:65" ht="15.6" x14ac:dyDescent="0.3">
      <c r="A75" s="20"/>
      <c r="B75" s="22"/>
      <c r="C75" s="22"/>
      <c r="D75" s="20"/>
      <c r="E75" s="20"/>
      <c r="F75" s="20"/>
      <c r="G75" s="20"/>
      <c r="H75" s="18"/>
      <c r="I75" s="20"/>
      <c r="J75" s="20"/>
      <c r="K75" s="20"/>
      <c r="L75" s="20"/>
      <c r="P75" s="18"/>
      <c r="Q75" s="20"/>
      <c r="R75" s="22"/>
      <c r="S75" s="22"/>
      <c r="T75" s="22"/>
      <c r="U75" s="22"/>
      <c r="V75" s="18"/>
      <c r="W75" s="18"/>
      <c r="X75" s="18"/>
      <c r="Y75" s="382">
        <v>9</v>
      </c>
      <c r="Z75" s="9" t="str">
        <f>+O26</f>
        <v>A17</v>
      </c>
      <c r="AA75" s="25">
        <v>11</v>
      </c>
      <c r="AB75" s="38">
        <f>IF(AA75+AA79=0,0,IF(AA75=AA79,2,IF(AA75&gt;AA79,3,1)))</f>
        <v>3</v>
      </c>
      <c r="AC75" s="10">
        <f>AA75-AA79</f>
        <v>6</v>
      </c>
      <c r="AD75" s="6"/>
      <c r="AE75" s="9" t="str">
        <f>+R26</f>
        <v>A18</v>
      </c>
      <c r="AF75" s="107">
        <v>5</v>
      </c>
      <c r="AG75" s="38">
        <f>IF(AF75+AF79=0,0,IF(AF75=AF79,2,IF(AF75&gt;AF79,3,1)))</f>
        <v>1</v>
      </c>
      <c r="AH75" s="10">
        <f>AF75-AF79</f>
        <v>-8</v>
      </c>
      <c r="AI75" s="6"/>
      <c r="AJ75" s="9" t="str">
        <f>+U26</f>
        <v>A1</v>
      </c>
      <c r="AK75" s="28">
        <v>13</v>
      </c>
      <c r="AL75" s="38">
        <f>IF(AK75+AK79=0,0,IF(AK75=AK79,2,IF(AK75&gt;AK79,3,1)))</f>
        <v>3</v>
      </c>
      <c r="AM75" s="10">
        <f>AK75-AK79</f>
        <v>5</v>
      </c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22"/>
      <c r="BK75" s="22"/>
      <c r="BL75" s="22"/>
      <c r="BM75" s="22"/>
    </row>
    <row r="76" spans="1:65" ht="16.2" thickBot="1" x14ac:dyDescent="0.35">
      <c r="A76" s="20"/>
      <c r="B76" s="22"/>
      <c r="C76" s="22"/>
      <c r="D76" s="20"/>
      <c r="E76" s="20"/>
      <c r="F76" s="20"/>
      <c r="G76" s="20"/>
      <c r="H76" s="18"/>
      <c r="I76" s="20"/>
      <c r="J76" s="20"/>
      <c r="K76" s="20"/>
      <c r="L76" s="20"/>
      <c r="P76" s="18"/>
      <c r="Q76" s="20"/>
      <c r="R76" s="22"/>
      <c r="S76" s="22"/>
      <c r="T76" s="22"/>
      <c r="U76" s="22"/>
      <c r="V76" s="18"/>
      <c r="W76" s="18"/>
      <c r="X76" s="18"/>
      <c r="Y76" s="383"/>
      <c r="Z76" s="11" t="str">
        <f>+P26</f>
        <v>B17</v>
      </c>
      <c r="AA76" s="14">
        <f>IF(ISTEXT(Z76),AA75,0)</f>
        <v>11</v>
      </c>
      <c r="AB76" s="14">
        <f>IF(ISTEXT(Z76),AB75,0)</f>
        <v>3</v>
      </c>
      <c r="AC76" s="15">
        <f>IF(ISTEXT(Z76),AC75,0)</f>
        <v>6</v>
      </c>
      <c r="AD76" s="6"/>
      <c r="AE76" s="11" t="str">
        <f>+S26</f>
        <v>B1</v>
      </c>
      <c r="AF76" s="14">
        <f>IF(ISTEXT(AE76),AF75,0)</f>
        <v>5</v>
      </c>
      <c r="AG76" s="48">
        <f>IF(ISTEXT(AE76),AG75,0)</f>
        <v>1</v>
      </c>
      <c r="AH76" s="15">
        <f>IF(ISTEXT(AE76),AH75,0)</f>
        <v>-8</v>
      </c>
      <c r="AI76" s="6"/>
      <c r="AJ76" s="11" t="str">
        <f>+V26</f>
        <v>B3</v>
      </c>
      <c r="AK76" s="14">
        <f>IF(ISTEXT(AJ76),AK75,0)</f>
        <v>13</v>
      </c>
      <c r="AL76" s="48">
        <f>IF(ISTEXT(AJ76),AL75,0)</f>
        <v>3</v>
      </c>
      <c r="AM76" s="15">
        <f>IF(ISTEXT(AJ76),AM75,0)</f>
        <v>5</v>
      </c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22"/>
      <c r="BK76" s="22"/>
      <c r="BL76" s="22"/>
      <c r="BM76" s="22"/>
    </row>
    <row r="77" spans="1:65" ht="15.6" x14ac:dyDescent="0.3">
      <c r="A77" s="20"/>
      <c r="B77" s="22"/>
      <c r="C77" s="22"/>
      <c r="D77" s="20"/>
      <c r="E77" s="20"/>
      <c r="F77" s="20"/>
      <c r="G77" s="20"/>
      <c r="H77" s="18"/>
      <c r="I77" s="20"/>
      <c r="J77" s="20"/>
      <c r="K77" s="20"/>
      <c r="L77" s="20"/>
      <c r="P77" s="18"/>
      <c r="Q77" s="20"/>
      <c r="R77" s="22"/>
      <c r="S77" s="22"/>
      <c r="T77" s="22"/>
      <c r="U77" s="22"/>
      <c r="V77" s="18"/>
      <c r="W77" s="18"/>
      <c r="X77" s="18"/>
      <c r="Y77" s="383"/>
      <c r="Z77" s="11" t="str">
        <f>+Q26</f>
        <v>C17</v>
      </c>
      <c r="AA77" s="55">
        <f>IF(ISTEXT(Z77),AA75,0)</f>
        <v>11</v>
      </c>
      <c r="AB77" s="55">
        <f>IF(ISTEXT(Z77),AB75,0)</f>
        <v>3</v>
      </c>
      <c r="AC77" s="56">
        <f>IF(ISTEXT(Z77),AC75,0)</f>
        <v>6</v>
      </c>
      <c r="AD77" s="6"/>
      <c r="AE77" s="11" t="str">
        <f>+T26</f>
        <v>C2</v>
      </c>
      <c r="AF77" s="55">
        <f>IF(ISTEXT(AE77),AF75,0)</f>
        <v>5</v>
      </c>
      <c r="AG77" s="52">
        <f>IF(ISTEXT(AE77),AG75,0)</f>
        <v>1</v>
      </c>
      <c r="AH77" s="56">
        <f>IF(ISTEXT(AE77),AH75,0)</f>
        <v>-8</v>
      </c>
      <c r="AI77" s="6"/>
      <c r="AJ77" s="11" t="str">
        <f>+W26</f>
        <v>C5</v>
      </c>
      <c r="AK77" s="55">
        <f>IF(ISTEXT(AJ77),AK75,0)</f>
        <v>13</v>
      </c>
      <c r="AL77" s="52">
        <f>IF(ISTEXT(AJ77),AL75,0)</f>
        <v>3</v>
      </c>
      <c r="AM77" s="56">
        <f>IF(ISTEXT(AJ77),AM75,0)</f>
        <v>5</v>
      </c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22"/>
      <c r="BK77" s="22"/>
      <c r="BL77" s="22"/>
      <c r="BM77" s="22"/>
    </row>
    <row r="78" spans="1:65" ht="15.6" x14ac:dyDescent="0.3">
      <c r="A78" s="20"/>
      <c r="B78" s="22"/>
      <c r="C78" s="22"/>
      <c r="D78" s="20"/>
      <c r="E78" s="20"/>
      <c r="F78" s="20"/>
      <c r="G78" s="20"/>
      <c r="H78" s="18"/>
      <c r="I78" s="20"/>
      <c r="J78" s="20"/>
      <c r="K78" s="20"/>
      <c r="L78" s="20"/>
      <c r="P78" s="18"/>
      <c r="Q78" s="20"/>
      <c r="R78" s="22"/>
      <c r="S78" s="22"/>
      <c r="T78" s="22"/>
      <c r="U78" s="22"/>
      <c r="V78" s="18"/>
      <c r="W78" s="18"/>
      <c r="X78" s="18"/>
      <c r="Y78" s="383"/>
      <c r="Z78" s="24"/>
      <c r="AA78" s="16" t="s">
        <v>5</v>
      </c>
      <c r="AB78" s="16"/>
      <c r="AC78" s="17"/>
      <c r="AD78" s="1"/>
      <c r="AE78" s="24"/>
      <c r="AF78" s="16" t="s">
        <v>5</v>
      </c>
      <c r="AG78" s="16"/>
      <c r="AH78" s="17"/>
      <c r="AI78" s="1"/>
      <c r="AJ78" s="24"/>
      <c r="AK78" s="16" t="s">
        <v>5</v>
      </c>
      <c r="AL78" s="16"/>
      <c r="AM78" s="17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22"/>
      <c r="BK78" s="22"/>
      <c r="BL78" s="22"/>
      <c r="BM78" s="22"/>
    </row>
    <row r="79" spans="1:65" ht="15.6" x14ac:dyDescent="0.3">
      <c r="A79" s="20"/>
      <c r="B79" s="22"/>
      <c r="C79" s="22"/>
      <c r="D79" s="20"/>
      <c r="E79" s="20"/>
      <c r="F79" s="20"/>
      <c r="G79" s="20"/>
      <c r="H79" s="18"/>
      <c r="I79" s="20"/>
      <c r="J79" s="20"/>
      <c r="K79" s="20"/>
      <c r="L79" s="20"/>
      <c r="P79" s="18"/>
      <c r="Q79" s="20"/>
      <c r="R79" s="22"/>
      <c r="S79" s="22"/>
      <c r="T79" s="22"/>
      <c r="U79" s="22"/>
      <c r="V79" s="18"/>
      <c r="W79" s="18"/>
      <c r="X79" s="18"/>
      <c r="Y79" s="383"/>
      <c r="Z79" s="11" t="str">
        <f>+O27</f>
        <v>A18</v>
      </c>
      <c r="AA79" s="27">
        <v>5</v>
      </c>
      <c r="AB79" s="23">
        <f>IF(AA75+AA79=0,0,IF(AA75=AA79,2,IF(AA75&lt;AA79,3,1)))</f>
        <v>1</v>
      </c>
      <c r="AC79" s="12">
        <f>AA79-AA75</f>
        <v>-6</v>
      </c>
      <c r="AD79" s="6"/>
      <c r="AE79" s="11" t="str">
        <f>+R27</f>
        <v>A1</v>
      </c>
      <c r="AF79" s="108">
        <v>13</v>
      </c>
      <c r="AG79" s="23">
        <f>IF(AF75+AF79=0,0,IF(AF75=AF79,2,IF(AF75&lt;AF79,3,1)))</f>
        <v>3</v>
      </c>
      <c r="AH79" s="12">
        <f>AF79-AF75</f>
        <v>8</v>
      </c>
      <c r="AI79" s="6"/>
      <c r="AJ79" s="11" t="str">
        <f>+U27</f>
        <v>A2</v>
      </c>
      <c r="AK79" s="29">
        <v>8</v>
      </c>
      <c r="AL79" s="23">
        <f>IF(AK75+AK79=0,0,IF(AK75=AK79,2,IF(AK75&lt;AK79,3,1)))</f>
        <v>1</v>
      </c>
      <c r="AM79" s="12">
        <f>AK79-AK75</f>
        <v>-5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22"/>
      <c r="BK79" s="22"/>
      <c r="BL79" s="22"/>
      <c r="BM79" s="22"/>
    </row>
    <row r="80" spans="1:65" ht="16.2" thickBot="1" x14ac:dyDescent="0.35">
      <c r="A80" s="20"/>
      <c r="B80" s="22"/>
      <c r="C80" s="22"/>
      <c r="D80" s="20"/>
      <c r="E80" s="20"/>
      <c r="F80" s="20"/>
      <c r="G80" s="20"/>
      <c r="H80" s="18"/>
      <c r="I80" s="20"/>
      <c r="J80" s="20"/>
      <c r="K80" s="20"/>
      <c r="L80" s="20"/>
      <c r="P80" s="18"/>
      <c r="Q80" s="20"/>
      <c r="R80" s="22"/>
      <c r="S80" s="22"/>
      <c r="T80" s="22"/>
      <c r="U80" s="22"/>
      <c r="V80" s="18"/>
      <c r="W80" s="18"/>
      <c r="X80" s="18"/>
      <c r="Y80" s="383"/>
      <c r="Z80" s="11" t="str">
        <f>+P27</f>
        <v>B18</v>
      </c>
      <c r="AA80" s="14">
        <f>IF(ISTEXT(Z80),AA79,0)</f>
        <v>5</v>
      </c>
      <c r="AB80" s="14">
        <f>IF(ISTEXT(Z80),AB79,0)</f>
        <v>1</v>
      </c>
      <c r="AC80" s="15">
        <f>IF(ISTEXT(Z80),AC79,0)</f>
        <v>-6</v>
      </c>
      <c r="AD80" s="6"/>
      <c r="AE80" s="11" t="str">
        <f>+S27</f>
        <v>B2</v>
      </c>
      <c r="AF80" s="14">
        <f>IF(ISTEXT(AE80),AF79,0)</f>
        <v>13</v>
      </c>
      <c r="AG80" s="14">
        <f>IF(ISTEXT(AE80),AG79,0)</f>
        <v>3</v>
      </c>
      <c r="AH80" s="15">
        <f>IF(ISTEXT(AE80),AH79,0)</f>
        <v>8</v>
      </c>
      <c r="AI80" s="6"/>
      <c r="AJ80" s="11" t="str">
        <f>+V27</f>
        <v>B4</v>
      </c>
      <c r="AK80" s="14">
        <f>IF(ISTEXT(AJ80),AK79,0)</f>
        <v>8</v>
      </c>
      <c r="AL80" s="14">
        <f>IF(ISTEXT(AJ80),AL79,0)</f>
        <v>1</v>
      </c>
      <c r="AM80" s="15">
        <f>IF(ISTEXT(AJ80),AM79,0)</f>
        <v>-5</v>
      </c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22"/>
      <c r="BK80" s="22"/>
      <c r="BL80" s="22"/>
      <c r="BM80" s="22"/>
    </row>
    <row r="81" spans="1:65" ht="16.2" thickBot="1" x14ac:dyDescent="0.35">
      <c r="A81" s="20"/>
      <c r="B81" s="22"/>
      <c r="C81" s="22"/>
      <c r="D81" s="20"/>
      <c r="E81" s="20"/>
      <c r="F81" s="20"/>
      <c r="G81" s="20"/>
      <c r="H81" s="18"/>
      <c r="I81" s="20"/>
      <c r="J81" s="20"/>
      <c r="K81" s="20"/>
      <c r="L81" s="20"/>
      <c r="P81" s="18"/>
      <c r="Q81" s="20"/>
      <c r="R81" s="22"/>
      <c r="S81" s="22"/>
      <c r="T81" s="22"/>
      <c r="U81" s="22"/>
      <c r="V81" s="18"/>
      <c r="W81" s="18"/>
      <c r="X81" s="18"/>
      <c r="Y81" s="384"/>
      <c r="Z81" s="13" t="str">
        <f>+Q27</f>
        <v>C18</v>
      </c>
      <c r="AA81" s="14">
        <f>IF(ISTEXT(Z81),AA79,0)</f>
        <v>5</v>
      </c>
      <c r="AB81" s="14">
        <f>IF(ISTEXT(Z81),AB79,0)</f>
        <v>1</v>
      </c>
      <c r="AC81" s="15">
        <f>IF(ISTEXT(Z81),AC79,0)</f>
        <v>-6</v>
      </c>
      <c r="AD81" s="6"/>
      <c r="AE81" s="13" t="str">
        <f>+T27</f>
        <v>C3</v>
      </c>
      <c r="AF81" s="14">
        <f>IF(ISTEXT(AE81),AF79,0)</f>
        <v>13</v>
      </c>
      <c r="AG81" s="14">
        <f>IF(ISTEXT(AE81),AG79,0)</f>
        <v>3</v>
      </c>
      <c r="AH81" s="15">
        <f>IF(ISTEXT(AE81),AH79,0)</f>
        <v>8</v>
      </c>
      <c r="AI81" s="6"/>
      <c r="AJ81" s="13" t="str">
        <f>+W27</f>
        <v>C6</v>
      </c>
      <c r="AK81" s="14">
        <f>IF(ISTEXT(AJ81),AK79,0)</f>
        <v>8</v>
      </c>
      <c r="AL81" s="14">
        <f>IF(ISTEXT(AJ81),AL79,0)</f>
        <v>1</v>
      </c>
      <c r="AM81" s="15">
        <f>IF(ISTEXT(AJ81),AM79,0)</f>
        <v>-5</v>
      </c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22"/>
      <c r="BK81" s="22"/>
      <c r="BL81" s="22"/>
      <c r="BM81" s="22"/>
    </row>
    <row r="82" spans="1:65" ht="15.6" x14ac:dyDescent="0.3">
      <c r="A82" s="20"/>
      <c r="B82" s="22"/>
      <c r="C82" s="22"/>
      <c r="D82" s="20"/>
      <c r="E82" s="20"/>
      <c r="F82" s="20"/>
      <c r="G82" s="20"/>
      <c r="H82" s="18"/>
      <c r="I82" s="20"/>
      <c r="J82" s="20"/>
      <c r="K82" s="20"/>
      <c r="L82" s="20"/>
      <c r="P82" s="18"/>
      <c r="Q82" s="20"/>
      <c r="R82" s="22"/>
      <c r="S82" s="22"/>
      <c r="T82" s="22"/>
      <c r="U82" s="22"/>
      <c r="V82" s="18"/>
      <c r="W82" s="18"/>
      <c r="X82" s="18"/>
      <c r="Y82" s="20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</row>
    <row r="83" spans="1:65" ht="15.6" x14ac:dyDescent="0.3">
      <c r="A83" s="20"/>
      <c r="B83" s="22"/>
      <c r="C83" s="22"/>
      <c r="D83" s="20"/>
      <c r="E83" s="20"/>
      <c r="F83" s="20"/>
      <c r="G83" s="20"/>
      <c r="H83" s="18"/>
      <c r="I83" s="20"/>
      <c r="J83" s="20"/>
      <c r="K83" s="20"/>
      <c r="L83" s="20"/>
      <c r="P83" s="18"/>
      <c r="Q83" s="20"/>
      <c r="R83" s="22"/>
      <c r="S83" s="22"/>
      <c r="T83" s="22"/>
      <c r="U83" s="22"/>
      <c r="V83" s="18"/>
      <c r="W83" s="18"/>
      <c r="X83" s="18"/>
      <c r="Y83" s="20"/>
      <c r="Z83" s="4"/>
      <c r="AA83" s="4"/>
      <c r="AB83" s="1">
        <f t="array" ref="AB83">SUM(AB11:AB81)</f>
        <v>108</v>
      </c>
      <c r="AC83" s="1">
        <f t="array" ref="AC83">SUM(AC11:AC81)</f>
        <v>0</v>
      </c>
      <c r="AD83" s="18"/>
      <c r="AE83" s="18"/>
      <c r="AF83" s="18"/>
      <c r="AG83" s="1">
        <f t="array" ref="AG83">SUM(AG11:AG81)</f>
        <v>108</v>
      </c>
      <c r="AH83" s="1">
        <f t="array" ref="AH83">SUM(AH11:AH81)</f>
        <v>0</v>
      </c>
      <c r="AI83" s="18"/>
      <c r="AJ83" s="18"/>
      <c r="AK83" s="18"/>
      <c r="AL83" s="1">
        <f t="array" ref="AL83">SUM(AL11:AL81)</f>
        <v>108</v>
      </c>
      <c r="AM83" s="1">
        <f t="array" ref="AM83">SUM(AM11:AM81)</f>
        <v>0</v>
      </c>
      <c r="AN83" s="18"/>
      <c r="AO83" s="18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</row>
    <row r="84" spans="1:65" ht="15.6" x14ac:dyDescent="0.3">
      <c r="A84" s="20"/>
      <c r="B84" s="22"/>
      <c r="C84" s="22"/>
      <c r="D84" s="20"/>
      <c r="E84" s="20"/>
      <c r="F84" s="20"/>
      <c r="G84" s="20"/>
      <c r="H84" s="18"/>
      <c r="I84" s="20"/>
      <c r="J84" s="20"/>
      <c r="K84" s="20"/>
      <c r="L84" s="20"/>
      <c r="P84" s="18"/>
      <c r="Q84" s="20"/>
      <c r="R84" s="22"/>
      <c r="S84" s="22"/>
      <c r="T84" s="22"/>
      <c r="U84" s="22"/>
      <c r="V84" s="18"/>
      <c r="W84" s="18"/>
      <c r="X84" s="18"/>
      <c r="Y84" s="20"/>
      <c r="Z84" s="4"/>
      <c r="AA84" s="4"/>
      <c r="AB84" s="4"/>
      <c r="AC84" s="1" t="str">
        <f>IF(AC83=0,"OK","ERREUR")</f>
        <v>OK</v>
      </c>
      <c r="AD84" s="18"/>
      <c r="AE84" s="18"/>
      <c r="AF84" s="18"/>
      <c r="AG84" s="4"/>
      <c r="AH84" s="1" t="str">
        <f>IF(AH83=0,"OK","ERREUR")</f>
        <v>OK</v>
      </c>
      <c r="AI84" s="18"/>
      <c r="AJ84" s="18"/>
      <c r="AK84" s="18"/>
      <c r="AL84" s="4"/>
      <c r="AM84" s="1" t="str">
        <f>IF(AM83=0,"OK","ERREUR")</f>
        <v>OK</v>
      </c>
      <c r="AN84" s="18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</row>
    <row r="85" spans="1:65" ht="15.6" x14ac:dyDescent="0.3">
      <c r="A85" s="20"/>
      <c r="B85" s="22"/>
      <c r="C85" s="22"/>
      <c r="D85" s="20"/>
      <c r="E85" s="20"/>
      <c r="F85" s="20"/>
      <c r="G85" s="20"/>
      <c r="H85" s="18"/>
      <c r="I85" s="20"/>
      <c r="J85" s="20"/>
      <c r="K85" s="20"/>
      <c r="L85" s="20"/>
      <c r="P85" s="18"/>
      <c r="Q85" s="20"/>
      <c r="R85" s="22"/>
      <c r="S85" s="22"/>
      <c r="T85" s="22"/>
      <c r="U85" s="22"/>
      <c r="V85" s="18"/>
      <c r="W85" s="18"/>
      <c r="X85" s="18"/>
      <c r="Y85" s="20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</row>
    <row r="86" spans="1:65" ht="15.6" x14ac:dyDescent="0.3">
      <c r="A86" s="20"/>
      <c r="B86" s="22"/>
      <c r="C86" s="22"/>
      <c r="D86" s="20"/>
      <c r="E86" s="20"/>
      <c r="F86" s="20"/>
      <c r="G86" s="20"/>
      <c r="H86" s="18"/>
      <c r="I86" s="20"/>
      <c r="J86" s="20"/>
      <c r="K86" s="20"/>
      <c r="L86" s="20"/>
      <c r="P86" s="18"/>
      <c r="Q86" s="20"/>
      <c r="R86" s="22"/>
      <c r="S86" s="22"/>
      <c r="T86" s="22"/>
      <c r="U86" s="22"/>
      <c r="V86" s="18"/>
      <c r="W86" s="18"/>
      <c r="X86" s="18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</row>
    <row r="87" spans="1:65" ht="15.6" x14ac:dyDescent="0.3">
      <c r="A87" s="20"/>
      <c r="B87" s="22"/>
      <c r="C87" s="22"/>
      <c r="D87" s="20"/>
      <c r="E87" s="20"/>
      <c r="F87" s="20"/>
      <c r="G87" s="20"/>
      <c r="H87" s="18"/>
      <c r="I87" s="20"/>
      <c r="J87" s="20"/>
      <c r="K87" s="20"/>
      <c r="L87" s="20"/>
      <c r="P87" s="18"/>
      <c r="Q87" s="20"/>
      <c r="R87" s="22"/>
      <c r="S87" s="22"/>
      <c r="T87" s="22"/>
      <c r="U87" s="22"/>
      <c r="V87" s="18"/>
      <c r="W87" s="18"/>
      <c r="X87" s="18"/>
      <c r="AN87" s="22"/>
      <c r="AO87" s="22"/>
      <c r="BM87" s="22"/>
    </row>
    <row r="88" spans="1:65" ht="15.6" x14ac:dyDescent="0.3">
      <c r="A88" s="20"/>
      <c r="B88" s="22"/>
      <c r="C88" s="22"/>
      <c r="D88" s="20"/>
      <c r="E88" s="20"/>
      <c r="F88" s="20"/>
      <c r="G88" s="20"/>
      <c r="H88" s="18"/>
      <c r="I88" s="20"/>
      <c r="J88" s="20"/>
      <c r="K88" s="20"/>
      <c r="L88" s="20"/>
      <c r="P88" s="18"/>
      <c r="Q88" s="20"/>
      <c r="R88" s="22"/>
      <c r="S88" s="22"/>
      <c r="T88" s="22"/>
      <c r="U88" s="22"/>
      <c r="V88" s="18"/>
      <c r="W88" s="18"/>
      <c r="X88" s="18"/>
      <c r="AN88" s="22"/>
      <c r="AO88" s="22"/>
      <c r="BM88" s="22"/>
    </row>
    <row r="89" spans="1:65" ht="15.6" x14ac:dyDescent="0.3">
      <c r="A89" s="20"/>
      <c r="B89" s="22"/>
      <c r="C89" s="22"/>
      <c r="D89" s="20"/>
      <c r="E89" s="20"/>
      <c r="F89" s="20"/>
      <c r="G89" s="20"/>
      <c r="H89" s="18"/>
      <c r="I89" s="20"/>
      <c r="J89" s="20"/>
      <c r="K89" s="20"/>
      <c r="L89" s="20"/>
      <c r="P89" s="18"/>
      <c r="Q89" s="20"/>
      <c r="R89" s="22"/>
      <c r="S89" s="22"/>
      <c r="T89" s="22"/>
      <c r="U89" s="22"/>
      <c r="V89" s="18"/>
      <c r="W89" s="18"/>
      <c r="X89" s="18"/>
      <c r="AN89" s="22"/>
      <c r="BM89" s="22"/>
    </row>
  </sheetData>
  <sheetProtection sheet="1" objects="1" scenarios="1" formatCells="0" formatColumns="0" formatRows="0" insertColumns="0" insertRows="0" insertHyperlinks="0" deleteColumns="0" deleteRows="0" sort="0"/>
  <sortState xmlns:xlrd2="http://schemas.microsoft.com/office/spreadsheetml/2017/richdata2" ref="BD9:BD59">
    <sortCondition descending="1" ref="BD8"/>
  </sortState>
  <mergeCells count="34">
    <mergeCell ref="N1:P1"/>
    <mergeCell ref="B5:D5"/>
    <mergeCell ref="Y59:Y65"/>
    <mergeCell ref="Y67:Y73"/>
    <mergeCell ref="Y75:Y81"/>
    <mergeCell ref="O8:W8"/>
    <mergeCell ref="Y11:Y17"/>
    <mergeCell ref="Y19:Y25"/>
    <mergeCell ref="Y27:Y33"/>
    <mergeCell ref="Y35:Y41"/>
    <mergeCell ref="Y43:Y49"/>
    <mergeCell ref="R9:T9"/>
    <mergeCell ref="U9:W9"/>
    <mergeCell ref="Y51:Y57"/>
    <mergeCell ref="O9:Q9"/>
    <mergeCell ref="Q3:S3"/>
    <mergeCell ref="Q5:Q6"/>
    <mergeCell ref="S5:S6"/>
    <mergeCell ref="T5:T6"/>
    <mergeCell ref="B1:D1"/>
    <mergeCell ref="B9:C9"/>
    <mergeCell ref="D9:E9"/>
    <mergeCell ref="F9:G9"/>
    <mergeCell ref="J9:L9"/>
    <mergeCell ref="D7:E7"/>
    <mergeCell ref="D8:E8"/>
    <mergeCell ref="AZ7:BB7"/>
    <mergeCell ref="BH7:BL7"/>
    <mergeCell ref="Z7:AC7"/>
    <mergeCell ref="AE7:AH7"/>
    <mergeCell ref="AJ7:AM7"/>
    <mergeCell ref="AQ7:AS7"/>
    <mergeCell ref="AT7:AV7"/>
    <mergeCell ref="AW7:AY7"/>
  </mergeCells>
  <conditionalFormatting sqref="C10:C27 E10:E27 G10:G27">
    <cfRule type="cellIs" dxfId="23" priority="43" operator="equal">
      <formula>0</formula>
    </cfRule>
  </conditionalFormatting>
  <conditionalFormatting sqref="J10:L27">
    <cfRule type="containsBlanks" dxfId="22" priority="1">
      <formula>LEN(TRIM(J10))=0</formula>
    </cfRule>
    <cfRule type="duplicateValues" dxfId="21" priority="2"/>
  </conditionalFormatting>
  <conditionalFormatting sqref="O10:W27">
    <cfRule type="cellIs" dxfId="20" priority="40" operator="equal">
      <formula>0</formula>
    </cfRule>
  </conditionalFormatting>
  <conditionalFormatting sqref="AC83">
    <cfRule type="colorScale" priority="29">
      <colorScale>
        <cfvo type="num" val="-1"/>
        <cfvo type="num" val="0"/>
        <cfvo type="num" val="1"/>
        <color rgb="FFFFC000"/>
        <color rgb="FF66FF33"/>
        <color rgb="FFFFC000"/>
      </colorScale>
    </cfRule>
    <cfRule type="colorScale" priority="30">
      <colorScale>
        <cfvo type="num" val="-1"/>
        <cfvo type="num" val="0"/>
        <cfvo type="num" val="1"/>
        <color rgb="FFFFC000"/>
        <color rgb="FFFFC000"/>
        <color rgb="FFFFC000"/>
      </colorScale>
    </cfRule>
  </conditionalFormatting>
  <conditionalFormatting sqref="AH83 AM83 AC83">
    <cfRule type="colorScale" priority="47">
      <colorScale>
        <cfvo type="num" val="-10"/>
        <cfvo type="percentile" val="0"/>
        <cfvo type="num" val="10"/>
        <color rgb="FFFF66FF"/>
        <color rgb="FF00FF00"/>
        <color rgb="FFFF00FF"/>
      </colorScale>
    </cfRule>
  </conditionalFormatting>
  <conditionalFormatting sqref="AH83">
    <cfRule type="colorScale" priority="39">
      <colorScale>
        <cfvo type="num" val="-1"/>
        <cfvo type="percentile" val="0"/>
        <cfvo type="num" val="1"/>
        <color rgb="FFFFC000"/>
        <color rgb="FF66FF33"/>
        <color rgb="FFFFC000"/>
      </colorScale>
    </cfRule>
  </conditionalFormatting>
  <conditionalFormatting sqref="AH84 AM84 AC84">
    <cfRule type="colorScale" priority="48">
      <colorScale>
        <cfvo type="num" val="-1"/>
        <cfvo type="percentile" val="0"/>
        <cfvo type="num" val="1"/>
        <color rgb="FFE20000"/>
        <color rgb="FF00FF00"/>
        <color rgb="FFFF0000"/>
      </colorScale>
    </cfRule>
  </conditionalFormatting>
  <conditionalFormatting sqref="AM83 BA63 AR63 AU63 AX63 BJ63">
    <cfRule type="colorScale" priority="31">
      <colorScale>
        <cfvo type="num" val="-1"/>
        <cfvo type="num" val="0"/>
        <cfvo type="num" val="1"/>
        <color rgb="FFFFC000"/>
        <color rgb="FF66FF33"/>
        <color rgb="FFFFC000"/>
      </colorScale>
    </cfRule>
  </conditionalFormatting>
  <conditionalFormatting sqref="AM84">
    <cfRule type="containsText" dxfId="19" priority="45" operator="containsText" text="ERREUR">
      <formula>NOT(ISERROR(SEARCH("ERREUR",AM84)))</formula>
    </cfRule>
    <cfRule type="containsText" dxfId="18" priority="46" operator="containsText" text="OK">
      <formula>NOT(ISERROR(SEARCH("OK",AM84)))</formula>
    </cfRule>
  </conditionalFormatting>
  <conditionalFormatting sqref="AR64 AU64 AX64 BA64 BJ64 AC84 AH84 AM84">
    <cfRule type="containsText" dxfId="17" priority="37" operator="containsText" text="ERREUR">
      <formula>NOT(ISERROR(SEARCH("ERREUR",AC64)))</formula>
    </cfRule>
    <cfRule type="containsText" dxfId="16" priority="38" operator="containsText" text="OK">
      <formula>NOT(ISERROR(SEARCH("OK",AC64)))</formula>
    </cfRule>
  </conditionalFormatting>
  <conditionalFormatting sqref="AR64:AS64 AU64:AV64 AX64:AY64 BA64:BB64 BJ64">
    <cfRule type="containsText" dxfId="15" priority="53" stopIfTrue="1" operator="containsText" text="ERREUR">
      <formula>NOT(ISERROR(SEARCH("ERREUR",AR64)))</formula>
    </cfRule>
    <cfRule type="containsText" dxfId="14" priority="54" operator="containsText" text="OK">
      <formula>NOT(ISERROR(SEARCH("OK",AR64)))</formula>
    </cfRule>
  </conditionalFormatting>
  <conditionalFormatting sqref="BA63:BB63 BJ63">
    <cfRule type="colorScale" priority="55">
      <colorScale>
        <cfvo type="num" val="-1"/>
        <cfvo type="num" val="0"/>
        <cfvo type="num" val="1"/>
        <color rgb="FFFF0000"/>
        <color rgb="FF00FF00"/>
        <color rgb="FFFF0000"/>
      </colorScale>
    </cfRule>
  </conditionalFormatting>
  <conditionalFormatting sqref="BL9:BL62">
    <cfRule type="duplicateValues" dxfId="13" priority="106"/>
  </conditionalFormatting>
  <conditionalFormatting sqref="BL55:BL62">
    <cfRule type="duplicateValues" dxfId="12" priority="8"/>
  </conditionalFormatting>
  <conditionalFormatting sqref="BL62">
    <cfRule type="duplicateValues" dxfId="11" priority="4"/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Spinner 1">
              <controlPr defaultSize="0" autoPict="0">
                <anchor moveWithCells="1" sizeWithCells="1">
                  <from>
                    <xdr:col>17</xdr:col>
                    <xdr:colOff>205740</xdr:colOff>
                    <xdr:row>4</xdr:row>
                    <xdr:rowOff>0</xdr:rowOff>
                  </from>
                  <to>
                    <xdr:col>17</xdr:col>
                    <xdr:colOff>579120</xdr:colOff>
                    <xdr:row>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FF"/>
  </sheetPr>
  <dimension ref="A1:AF69"/>
  <sheetViews>
    <sheetView workbookViewId="0"/>
  </sheetViews>
  <sheetFormatPr baseColWidth="10" defaultColWidth="11.44140625" defaultRowHeight="15.6" x14ac:dyDescent="0.3"/>
  <cols>
    <col min="1" max="1" width="6.109375" style="18" customWidth="1"/>
    <col min="2" max="2" width="25.5546875" style="18" customWidth="1"/>
    <col min="3" max="3" width="8.44140625" style="18" customWidth="1"/>
    <col min="4" max="5" width="7.33203125" style="18" customWidth="1"/>
    <col min="6" max="6" width="6.88671875" style="18" customWidth="1"/>
    <col min="7" max="8" width="7.109375" style="18" customWidth="1"/>
    <col min="9" max="9" width="7.33203125" style="18" customWidth="1"/>
    <col min="10" max="11" width="6.5546875" style="18" customWidth="1"/>
    <col min="12" max="12" width="11" style="18" customWidth="1"/>
    <col min="13" max="13" width="11.33203125" style="18" customWidth="1"/>
    <col min="14" max="14" width="9.5546875" style="18" customWidth="1"/>
    <col min="15" max="15" width="11" style="18" hidden="1" customWidth="1"/>
    <col min="16" max="16" width="11.44140625" style="18" hidden="1" customWidth="1"/>
    <col min="17" max="17" width="30.6640625" style="18" customWidth="1"/>
    <col min="18" max="18" width="22.109375" style="18" customWidth="1"/>
    <col min="19" max="19" width="4.109375" style="69" customWidth="1"/>
    <col min="20" max="20" width="22.88671875" style="18" customWidth="1"/>
    <col min="21" max="21" width="8.33203125" style="18" customWidth="1"/>
    <col min="22" max="23" width="7.6640625" style="18" customWidth="1"/>
    <col min="24" max="24" width="9.5546875" style="18" customWidth="1"/>
    <col min="25" max="25" width="4.44140625" style="69" customWidth="1"/>
    <col min="26" max="26" width="11.44140625" style="18"/>
    <col min="27" max="27" width="42.6640625" style="69" customWidth="1"/>
    <col min="28" max="32" width="11.44140625" style="69"/>
    <col min="33" max="16384" width="11.44140625" style="18"/>
  </cols>
  <sheetData>
    <row r="1" spans="1:24" ht="18" x14ac:dyDescent="0.35">
      <c r="B1" s="36"/>
    </row>
    <row r="2" spans="1:24" x14ac:dyDescent="0.3">
      <c r="T2" s="72"/>
    </row>
    <row r="3" spans="1:24" ht="16.2" thickBot="1" x14ac:dyDescent="0.35"/>
    <row r="4" spans="1:24" ht="17.25" customHeight="1" thickTop="1" thickBot="1" x14ac:dyDescent="0.35">
      <c r="A4" s="20"/>
      <c r="B4" s="86" t="s">
        <v>0</v>
      </c>
      <c r="C4" s="426" t="s">
        <v>1</v>
      </c>
      <c r="D4" s="427"/>
      <c r="E4" s="80"/>
      <c r="F4" s="428" t="s">
        <v>2</v>
      </c>
      <c r="G4" s="429"/>
      <c r="H4" s="84"/>
      <c r="I4" s="430" t="s">
        <v>3</v>
      </c>
      <c r="J4" s="431"/>
      <c r="K4" s="85"/>
      <c r="L4" s="432" t="s">
        <v>7</v>
      </c>
      <c r="M4" s="434"/>
      <c r="N4" s="79"/>
      <c r="O4" s="41"/>
      <c r="P4" s="33"/>
      <c r="Q4" s="20"/>
      <c r="R4" s="20"/>
      <c r="T4" s="432" t="s">
        <v>21</v>
      </c>
      <c r="U4" s="433"/>
      <c r="V4" s="433"/>
      <c r="W4" s="433"/>
      <c r="X4" s="434"/>
    </row>
    <row r="5" spans="1:24" ht="36.75" customHeight="1" thickBot="1" x14ac:dyDescent="0.35">
      <c r="A5" s="20"/>
      <c r="B5" s="87" t="s">
        <v>6</v>
      </c>
      <c r="C5" s="88" t="s">
        <v>10</v>
      </c>
      <c r="D5" s="89" t="s">
        <v>11</v>
      </c>
      <c r="E5" s="90" t="s">
        <v>12</v>
      </c>
      <c r="F5" s="91" t="s">
        <v>10</v>
      </c>
      <c r="G5" s="92" t="s">
        <v>11</v>
      </c>
      <c r="H5" s="93" t="s">
        <v>12</v>
      </c>
      <c r="I5" s="94" t="s">
        <v>10</v>
      </c>
      <c r="J5" s="92" t="s">
        <v>11</v>
      </c>
      <c r="K5" s="93" t="s">
        <v>12</v>
      </c>
      <c r="L5" s="105" t="s">
        <v>16</v>
      </c>
      <c r="M5" s="95" t="s">
        <v>11</v>
      </c>
      <c r="N5" s="106" t="s">
        <v>12</v>
      </c>
      <c r="O5" s="96" t="s">
        <v>19</v>
      </c>
      <c r="P5" s="97" t="s">
        <v>20</v>
      </c>
      <c r="Q5" s="98" t="s">
        <v>14</v>
      </c>
      <c r="R5" s="99" t="s">
        <v>15</v>
      </c>
      <c r="T5" s="100" t="s">
        <v>6</v>
      </c>
      <c r="U5" s="104" t="s">
        <v>16</v>
      </c>
      <c r="V5" s="39" t="s">
        <v>17</v>
      </c>
      <c r="W5" s="103" t="s">
        <v>12</v>
      </c>
      <c r="X5" s="102" t="s">
        <v>18</v>
      </c>
    </row>
    <row r="6" spans="1:24" x14ac:dyDescent="0.3">
      <c r="A6" s="43">
        <v>1</v>
      </c>
      <c r="B6" s="45" t="str">
        <f>+Inscrits!F11</f>
        <v>C9</v>
      </c>
      <c r="C6" s="30">
        <f>VLOOKUP(B6,Résultats!$B$10:$E$76,3,0)</f>
        <v>0</v>
      </c>
      <c r="D6" s="30">
        <f>VLOOKUP(B6,Résultats!$B$10:$E$76,4,0)</f>
        <v>0</v>
      </c>
      <c r="E6" s="81">
        <f>VLOOKUP(B6,Résultats!$B$10:$E$76,2,0)</f>
        <v>0</v>
      </c>
      <c r="F6" s="2">
        <f>VLOOKUP(B6,Résultats!$G$10:$J$76,3,0)</f>
        <v>0</v>
      </c>
      <c r="G6" s="2">
        <f>VLOOKUP(B6,Résultats!$G$10:$J$76,4,0)</f>
        <v>0</v>
      </c>
      <c r="H6" s="7">
        <f>VLOOKUP(B6,Résultats!$G$10:$J$76,2,0)</f>
        <v>0</v>
      </c>
      <c r="I6" s="2">
        <f>VLOOKUP(B6,Résultats!$L$10:$O$76,3,0)</f>
        <v>3</v>
      </c>
      <c r="J6" s="63">
        <f>VLOOKUP(B6,Résultats!$L$10:$O$76,4,0)</f>
        <v>5</v>
      </c>
      <c r="K6" s="64">
        <f>VLOOKUP(B6,Résultats!$L$10:$O$76,2,0)</f>
        <v>14</v>
      </c>
      <c r="L6" s="74" t="s">
        <v>42</v>
      </c>
      <c r="M6" s="75">
        <f>SUMIFS(D6:J6,$D$5:$J$5,"GA",D6:J6,"&lt;&gt;#N/A")</f>
        <v>5</v>
      </c>
      <c r="N6" s="71">
        <f>SUMIFS(E6:K6,$E$5:$K$5,"Score",E6:K6,"&lt;&gt;#N/A")</f>
        <v>14</v>
      </c>
      <c r="O6" s="74">
        <f>IF(M6="","",IF(M6&lt;0,M6,0))</f>
        <v>0</v>
      </c>
      <c r="P6" s="30">
        <f>IF(M6="","",IF(M6&gt;0,M6,0))</f>
        <v>5</v>
      </c>
      <c r="Q6" s="76" t="e">
        <f t="shared" ref="Q6:Q53" si="0">IF(OR(B6="",L6="",M6="",N6=""),"",RANK(L6,$L$6:$L$53)+SUM(-M6/1000)-(+N6/1000)+COUNTIF(B$6:B$53,"&lt;="&amp;B6+1)/10000+ROW()/100000)</f>
        <v>#VALUE!</v>
      </c>
      <c r="R6" s="82" t="e">
        <f>IF(B6="","",SMALL(Q$6:Q$53,ROWS(L$6:L6)))</f>
        <v>#VALUE!</v>
      </c>
      <c r="S6"/>
      <c r="T6" s="74" t="e">
        <f>IF(OR(B6="",L6=""),"",INDEX($B$6:$B$53,MATCH(R6,$Q$6:Q$53,0)))</f>
        <v>#VALUE!</v>
      </c>
      <c r="U6" s="2" t="e">
        <f t="shared" ref="U6:U53" si="1">IF(B6="","",INDEX($L$6:$L$53,MATCH(R6,$Q$6:$Q$53,0)))</f>
        <v>#VALUE!</v>
      </c>
      <c r="V6" s="77" t="e">
        <f t="shared" ref="V6:V53" si="2">IF(B6="","",INDEX($M$6:$M$53,MATCH(R6,$Q$6:$Q$53,0)))</f>
        <v>#VALUE!</v>
      </c>
      <c r="W6" s="83" t="e">
        <f t="shared" ref="W6:W53" si="3">IF(B6="","",INDEX($N$6:$N$53,MATCH(R6,$Q$6:$Q$53,0)))</f>
        <v>#VALUE!</v>
      </c>
      <c r="X6" s="75" t="e">
        <f>IF(R6="","",1)</f>
        <v>#VALUE!</v>
      </c>
    </row>
    <row r="7" spans="1:24" x14ac:dyDescent="0.3">
      <c r="A7" s="44">
        <v>2</v>
      </c>
      <c r="B7" s="46" t="e">
        <f>+Inscrits!#REF!</f>
        <v>#REF!</v>
      </c>
      <c r="C7" s="7" t="e">
        <f>VLOOKUP(B7,Résultats!$B$10:$E$76,3,0)</f>
        <v>#REF!</v>
      </c>
      <c r="D7" s="7" t="e">
        <f>VLOOKUP(B7,Résultats!$B$10:$E$76,4,0)</f>
        <v>#REF!</v>
      </c>
      <c r="E7" s="7" t="e">
        <f>VLOOKUP(B7,Résultats!$B$10:$E$76,2,0)</f>
        <v>#REF!</v>
      </c>
      <c r="F7" s="7" t="e">
        <f>VLOOKUP(B7,Résultats!$G$10:$J$76,3,0)</f>
        <v>#REF!</v>
      </c>
      <c r="G7" s="7" t="e">
        <f>VLOOKUP(B7,Résultats!$G$10:$J$76,4,0)</f>
        <v>#REF!</v>
      </c>
      <c r="H7" s="7" t="e">
        <f>VLOOKUP(B7,Résultats!$G$10:$J$76,2,0)</f>
        <v>#REF!</v>
      </c>
      <c r="I7" s="7" t="e">
        <f>VLOOKUP(B7,Résultats!$L$10:$O$76,3,0)</f>
        <v>#REF!</v>
      </c>
      <c r="J7" s="64" t="e">
        <f>VLOOKUP(B7,Résultats!$L$10:$O$76,4,0)</f>
        <v>#REF!</v>
      </c>
      <c r="K7" s="64" t="e">
        <f>VLOOKUP(B7,Résultats!$L$10:$O$76,2,0)</f>
        <v>#REF!</v>
      </c>
      <c r="L7" s="70" t="e">
        <f>SUMIFS(C7:I7,$C$5:$I$5,"Pts",C7:I7,"&lt;&gt;#N/A")</f>
        <v>#REF!</v>
      </c>
      <c r="M7" s="71" t="e">
        <f>SUMIFS(D7:J7,$D$5:$J$5,"GA",D7:J7,"&lt;&gt;#N/A")</f>
        <v>#REF!</v>
      </c>
      <c r="N7" s="71" t="e">
        <f>SUMIFS(E7:K7,$E$5:$K$5,"Score",E7:K7,"&lt;&gt;#N/A")</f>
        <v>#REF!</v>
      </c>
      <c r="O7" s="32" t="e">
        <f t="shared" ref="O7" si="4">IF(M7="","",IF(M7&lt;0,M7,0))</f>
        <v>#REF!</v>
      </c>
      <c r="P7" s="7" t="e">
        <f t="shared" ref="P7" si="5">IF(M7="","",IF(M7&gt;0,M7,0))</f>
        <v>#REF!</v>
      </c>
      <c r="Q7" s="76" t="e">
        <f t="shared" si="0"/>
        <v>#REF!</v>
      </c>
      <c r="R7" s="82" t="e">
        <f>IF(B7="","",SMALL(Q$6:Q$53,ROWS(L$6:L7)))</f>
        <v>#REF!</v>
      </c>
      <c r="S7"/>
      <c r="T7" s="32" t="e">
        <f>IF(OR(B7="",L7=""),"",INDEX($B$6:$B$53,MATCH(R7,$Q$6:Q$53,0)))</f>
        <v>#REF!</v>
      </c>
      <c r="U7" s="7" t="e">
        <f t="shared" si="1"/>
        <v>#REF!</v>
      </c>
      <c r="V7" s="64" t="e">
        <f t="shared" si="2"/>
        <v>#REF!</v>
      </c>
      <c r="W7" s="64" t="e">
        <f t="shared" si="3"/>
        <v>#REF!</v>
      </c>
      <c r="X7" s="78" t="e">
        <f>IF(R7="","",IF(AND(U6=U7,V6=V7,W6=W7),X6,$X$6+1))</f>
        <v>#REF!</v>
      </c>
    </row>
    <row r="8" spans="1:24" x14ac:dyDescent="0.3">
      <c r="A8" s="44">
        <v>3</v>
      </c>
      <c r="B8" s="46" t="e">
        <f>+Inscrits!#REF!</f>
        <v>#REF!</v>
      </c>
      <c r="C8" s="7" t="e">
        <f>VLOOKUP(B8,Résultats!$B$10:$E$76,3,0)</f>
        <v>#REF!</v>
      </c>
      <c r="D8" s="7" t="e">
        <f>VLOOKUP(B8,Résultats!$B$10:$E$76,4,0)</f>
        <v>#REF!</v>
      </c>
      <c r="E8" s="7" t="e">
        <f>VLOOKUP(B8,Résultats!$B$10:$E$76,2,0)</f>
        <v>#REF!</v>
      </c>
      <c r="F8" s="7" t="e">
        <f>VLOOKUP(B8,Résultats!$G$10:$J$76,3,0)</f>
        <v>#REF!</v>
      </c>
      <c r="G8" s="7" t="e">
        <f>VLOOKUP(B8,Résultats!$G$10:$J$76,4,0)</f>
        <v>#REF!</v>
      </c>
      <c r="H8" s="7" t="e">
        <f>VLOOKUP(B8,Résultats!$G$10:$J$76,2,0)</f>
        <v>#REF!</v>
      </c>
      <c r="I8" s="7" t="e">
        <f>VLOOKUP(B8,Résultats!$L$10:$O$76,3,0)</f>
        <v>#REF!</v>
      </c>
      <c r="J8" s="64" t="e">
        <f>VLOOKUP(B8,Résultats!$L$10:$O$76,4,0)</f>
        <v>#REF!</v>
      </c>
      <c r="K8" s="64" t="e">
        <f>VLOOKUP(B8,Résultats!$L$10:$O$76,2,0)</f>
        <v>#REF!</v>
      </c>
      <c r="L8" s="70" t="e">
        <f t="shared" ref="L8:L43" si="6">SUMIFS(C8:I8,$C$5:$I$5,"Pts",C8:I8,"&lt;&gt;#N/A")</f>
        <v>#REF!</v>
      </c>
      <c r="M8" s="71" t="e">
        <f t="shared" ref="M8:M43" si="7">SUMIFS(D8:J8,$D$5:$J$5,"GA",D8:J8,"&lt;&gt;#N/A")</f>
        <v>#REF!</v>
      </c>
      <c r="N8" s="71" t="e">
        <f t="shared" ref="N8:N43" si="8">SUMIFS(E8:K8,$E$5:$K$5,"Score",E8:K8,"&lt;&gt;#N/A")</f>
        <v>#REF!</v>
      </c>
      <c r="O8" s="32" t="e">
        <f t="shared" ref="O8:O43" si="9">IF(M8="","",IF(M8&lt;0,M8,0))</f>
        <v>#REF!</v>
      </c>
      <c r="P8" s="7" t="e">
        <f t="shared" ref="P8:P43" si="10">IF(M8="","",IF(M8&gt;0,M8,0))</f>
        <v>#REF!</v>
      </c>
      <c r="Q8" s="76" t="e">
        <f t="shared" si="0"/>
        <v>#REF!</v>
      </c>
      <c r="R8" s="82" t="e">
        <f>IF(B8="","",SMALL(Q$6:Q$53,ROWS(L$6:L8)))</f>
        <v>#REF!</v>
      </c>
      <c r="S8"/>
      <c r="T8" s="32" t="e">
        <f>IF(OR(B8="",L8=""),"",INDEX($B$6:$B$53,MATCH(R8,$Q$6:Q$53,0)))</f>
        <v>#REF!</v>
      </c>
      <c r="U8" s="7" t="e">
        <f t="shared" si="1"/>
        <v>#REF!</v>
      </c>
      <c r="V8" s="64" t="e">
        <f t="shared" si="2"/>
        <v>#REF!</v>
      </c>
      <c r="W8" s="64" t="e">
        <f t="shared" si="3"/>
        <v>#REF!</v>
      </c>
      <c r="X8" s="5" t="e">
        <f>IF(R8="","",IF(AND(U7=U8,V7=V8,W7=W8),X7,$X$6+2))</f>
        <v>#REF!</v>
      </c>
    </row>
    <row r="9" spans="1:24" x14ac:dyDescent="0.3">
      <c r="A9" s="44">
        <v>4</v>
      </c>
      <c r="B9" s="46" t="e">
        <f>+Inscrits!#REF!</f>
        <v>#REF!</v>
      </c>
      <c r="C9" s="7" t="e">
        <f>VLOOKUP(B9,Résultats!$B$10:$E$76,3,0)</f>
        <v>#REF!</v>
      </c>
      <c r="D9" s="7" t="e">
        <f>VLOOKUP(B9,Résultats!$B$10:$E$76,4,0)</f>
        <v>#REF!</v>
      </c>
      <c r="E9" s="7" t="e">
        <f>VLOOKUP(B9,Résultats!$B$10:$E$76,2,0)</f>
        <v>#REF!</v>
      </c>
      <c r="F9" s="7" t="e">
        <f>VLOOKUP(B9,Résultats!$G$10:$J$76,3,0)</f>
        <v>#REF!</v>
      </c>
      <c r="G9" s="7" t="e">
        <f>VLOOKUP(B9,Résultats!$G$10:$J$76,4,0)</f>
        <v>#REF!</v>
      </c>
      <c r="H9" s="7" t="e">
        <f>VLOOKUP(B9,Résultats!$G$10:$J$76,2,0)</f>
        <v>#REF!</v>
      </c>
      <c r="I9" s="7" t="e">
        <f>VLOOKUP(B9,Résultats!$L$10:$O$76,3,0)</f>
        <v>#REF!</v>
      </c>
      <c r="J9" s="64" t="e">
        <f>VLOOKUP(B9,Résultats!$L$10:$O$76,4,0)</f>
        <v>#REF!</v>
      </c>
      <c r="K9" s="64" t="e">
        <f>VLOOKUP(B9,Résultats!$L$10:$O$76,2,0)</f>
        <v>#REF!</v>
      </c>
      <c r="L9" s="70" t="e">
        <f t="shared" si="6"/>
        <v>#REF!</v>
      </c>
      <c r="M9" s="71" t="e">
        <f t="shared" si="7"/>
        <v>#REF!</v>
      </c>
      <c r="N9" s="71" t="e">
        <f t="shared" si="8"/>
        <v>#REF!</v>
      </c>
      <c r="O9" s="32" t="e">
        <f t="shared" si="9"/>
        <v>#REF!</v>
      </c>
      <c r="P9" s="7" t="e">
        <f t="shared" si="10"/>
        <v>#REF!</v>
      </c>
      <c r="Q9" s="76" t="e">
        <f t="shared" si="0"/>
        <v>#REF!</v>
      </c>
      <c r="R9" s="82" t="e">
        <f>IF(B9="","",SMALL(Q$6:Q$53,ROWS(L$6:L9)))</f>
        <v>#REF!</v>
      </c>
      <c r="S9"/>
      <c r="T9" s="32" t="e">
        <f>IF(OR(B9="",L9=""),"",INDEX($B$6:$B$53,MATCH(R9,$Q$6:Q$53,0)))</f>
        <v>#REF!</v>
      </c>
      <c r="U9" s="7" t="e">
        <f t="shared" si="1"/>
        <v>#REF!</v>
      </c>
      <c r="V9" s="64" t="e">
        <f t="shared" si="2"/>
        <v>#REF!</v>
      </c>
      <c r="W9" s="64" t="e">
        <f t="shared" si="3"/>
        <v>#REF!</v>
      </c>
      <c r="X9" s="5" t="e">
        <f>IF(R9="","",IF(AND(U8=U9,V8=V9,W8=W9),X8,$X$6+3))</f>
        <v>#REF!</v>
      </c>
    </row>
    <row r="10" spans="1:24" x14ac:dyDescent="0.3">
      <c r="A10" s="44">
        <v>5</v>
      </c>
      <c r="B10" s="46" t="e">
        <f>+Inscrits!#REF!</f>
        <v>#REF!</v>
      </c>
      <c r="C10" s="7" t="e">
        <f>VLOOKUP(B10,Résultats!$B$10:$E$76,3,0)</f>
        <v>#REF!</v>
      </c>
      <c r="D10" s="7" t="e">
        <f>VLOOKUP(B10,Résultats!$B$10:$E$76,4,0)</f>
        <v>#REF!</v>
      </c>
      <c r="E10" s="7" t="e">
        <f>VLOOKUP(B10,Résultats!$B$10:$E$76,2,0)</f>
        <v>#REF!</v>
      </c>
      <c r="F10" s="7" t="e">
        <f>VLOOKUP(B10,Résultats!$G$10:$J$76,3,0)</f>
        <v>#REF!</v>
      </c>
      <c r="G10" s="7" t="e">
        <f>VLOOKUP(B10,Résultats!$G$10:$J$76,4,0)</f>
        <v>#REF!</v>
      </c>
      <c r="H10" s="7" t="e">
        <f>VLOOKUP(B10,Résultats!$G$10:$J$76,2,0)</f>
        <v>#REF!</v>
      </c>
      <c r="I10" s="7" t="e">
        <f>VLOOKUP(B10,Résultats!$L$10:$O$76,3,0)</f>
        <v>#REF!</v>
      </c>
      <c r="J10" s="64" t="e">
        <f>VLOOKUP(B10,Résultats!$L$10:$O$76,4,0)</f>
        <v>#REF!</v>
      </c>
      <c r="K10" s="64" t="e">
        <f>VLOOKUP(B10,Résultats!$L$10:$O$76,2,0)</f>
        <v>#REF!</v>
      </c>
      <c r="L10" s="70" t="e">
        <f t="shared" si="6"/>
        <v>#REF!</v>
      </c>
      <c r="M10" s="71" t="e">
        <f t="shared" si="7"/>
        <v>#REF!</v>
      </c>
      <c r="N10" s="71" t="e">
        <f t="shared" si="8"/>
        <v>#REF!</v>
      </c>
      <c r="O10" s="32" t="e">
        <f t="shared" si="9"/>
        <v>#REF!</v>
      </c>
      <c r="P10" s="7" t="e">
        <f t="shared" si="10"/>
        <v>#REF!</v>
      </c>
      <c r="Q10" s="76" t="e">
        <f t="shared" si="0"/>
        <v>#REF!</v>
      </c>
      <c r="R10" s="82" t="e">
        <f>IF(B10="","",SMALL(Q$6:Q$53,ROWS(L$6:L10)))</f>
        <v>#REF!</v>
      </c>
      <c r="S10"/>
      <c r="T10" s="32" t="e">
        <f>IF(OR(B10="",L10=""),"",INDEX($B$6:$B$53,MATCH(R10,$Q$6:Q$53,0)))</f>
        <v>#REF!</v>
      </c>
      <c r="U10" s="7" t="e">
        <f t="shared" si="1"/>
        <v>#REF!</v>
      </c>
      <c r="V10" s="64" t="e">
        <f t="shared" si="2"/>
        <v>#REF!</v>
      </c>
      <c r="W10" s="64" t="e">
        <f t="shared" si="3"/>
        <v>#REF!</v>
      </c>
      <c r="X10" s="5" t="e">
        <f>IF(R10="","",IF(AND(U9=U10,V9=V10,W9=W10),X9,$X$6+4))</f>
        <v>#REF!</v>
      </c>
    </row>
    <row r="11" spans="1:24" x14ac:dyDescent="0.3">
      <c r="A11" s="44">
        <v>6</v>
      </c>
      <c r="B11" s="46" t="e">
        <f>+Inscrits!#REF!</f>
        <v>#REF!</v>
      </c>
      <c r="C11" s="7" t="e">
        <f>VLOOKUP(B11,Résultats!$B$10:$E$76,3,0)</f>
        <v>#REF!</v>
      </c>
      <c r="D11" s="7" t="e">
        <f>VLOOKUP(B11,Résultats!$B$10:$E$76,4,0)</f>
        <v>#REF!</v>
      </c>
      <c r="E11" s="7" t="e">
        <f>VLOOKUP(B11,Résultats!$B$10:$E$76,2,0)</f>
        <v>#REF!</v>
      </c>
      <c r="F11" s="7" t="e">
        <f>VLOOKUP(B11,Résultats!$G$10:$J$76,3,0)</f>
        <v>#REF!</v>
      </c>
      <c r="G11" s="7" t="e">
        <f>VLOOKUP(B11,Résultats!$G$10:$J$76,4,0)</f>
        <v>#REF!</v>
      </c>
      <c r="H11" s="7" t="e">
        <f>VLOOKUP(B11,Résultats!$G$10:$J$76,2,0)</f>
        <v>#REF!</v>
      </c>
      <c r="I11" s="7" t="e">
        <f>VLOOKUP(B11,Résultats!$L$10:$O$76,3,0)</f>
        <v>#REF!</v>
      </c>
      <c r="J11" s="64" t="e">
        <f>VLOOKUP(B11,Résultats!$L$10:$O$76,4,0)</f>
        <v>#REF!</v>
      </c>
      <c r="K11" s="64" t="e">
        <f>VLOOKUP(B11,Résultats!$L$10:$O$76,2,0)</f>
        <v>#REF!</v>
      </c>
      <c r="L11" s="70" t="e">
        <f t="shared" si="6"/>
        <v>#REF!</v>
      </c>
      <c r="M11" s="71" t="e">
        <f t="shared" si="7"/>
        <v>#REF!</v>
      </c>
      <c r="N11" s="71" t="e">
        <f t="shared" si="8"/>
        <v>#REF!</v>
      </c>
      <c r="O11" s="32" t="e">
        <f t="shared" si="9"/>
        <v>#REF!</v>
      </c>
      <c r="P11" s="7" t="e">
        <f t="shared" si="10"/>
        <v>#REF!</v>
      </c>
      <c r="Q11" s="76" t="e">
        <f t="shared" si="0"/>
        <v>#REF!</v>
      </c>
      <c r="R11" s="82" t="e">
        <f>IF(B11="","",SMALL(Q$6:Q$53,ROWS(L$6:L11)))</f>
        <v>#REF!</v>
      </c>
      <c r="S11"/>
      <c r="T11" s="32" t="e">
        <f>IF(OR(B11="",L11=""),"",INDEX($B$6:$B$53,MATCH(R11,$Q$6:Q$53,0)))</f>
        <v>#REF!</v>
      </c>
      <c r="U11" s="7" t="e">
        <f t="shared" si="1"/>
        <v>#REF!</v>
      </c>
      <c r="V11" s="64" t="e">
        <f t="shared" si="2"/>
        <v>#REF!</v>
      </c>
      <c r="W11" s="64" t="e">
        <f t="shared" si="3"/>
        <v>#REF!</v>
      </c>
      <c r="X11" s="5" t="e">
        <f>IF(R11="","",IF(AND(U10=U11,V10=V11,W10=W11),X10,$X$6+5))</f>
        <v>#REF!</v>
      </c>
    </row>
    <row r="12" spans="1:24" x14ac:dyDescent="0.3">
      <c r="A12" s="44">
        <v>7</v>
      </c>
      <c r="B12" s="46" t="e">
        <f>+Inscrits!#REF!</f>
        <v>#REF!</v>
      </c>
      <c r="C12" s="7" t="e">
        <f>VLOOKUP(B12,Résultats!$B$10:$E$76,3,0)</f>
        <v>#REF!</v>
      </c>
      <c r="D12" s="7" t="e">
        <f>VLOOKUP(B12,Résultats!$B$10:$E$76,4,0)</f>
        <v>#REF!</v>
      </c>
      <c r="E12" s="7" t="e">
        <f>VLOOKUP(B12,Résultats!$B$10:$E$76,2,0)</f>
        <v>#REF!</v>
      </c>
      <c r="F12" s="7" t="e">
        <f>VLOOKUP(B12,Résultats!$G$10:$J$76,3,0)</f>
        <v>#REF!</v>
      </c>
      <c r="G12" s="7" t="e">
        <f>VLOOKUP(B12,Résultats!$G$10:$J$76,4,0)</f>
        <v>#REF!</v>
      </c>
      <c r="H12" s="7" t="e">
        <f>VLOOKUP(B12,Résultats!$G$10:$J$76,2,0)</f>
        <v>#REF!</v>
      </c>
      <c r="I12" s="7" t="e">
        <f>VLOOKUP(B12,Résultats!$L$10:$O$76,3,0)</f>
        <v>#REF!</v>
      </c>
      <c r="J12" s="64" t="e">
        <f>VLOOKUP(B12,Résultats!$L$10:$O$76,4,0)</f>
        <v>#REF!</v>
      </c>
      <c r="K12" s="64" t="e">
        <f>VLOOKUP(B12,Résultats!$L$10:$O$76,2,0)</f>
        <v>#REF!</v>
      </c>
      <c r="L12" s="70" t="e">
        <f t="shared" si="6"/>
        <v>#REF!</v>
      </c>
      <c r="M12" s="71" t="e">
        <f t="shared" si="7"/>
        <v>#REF!</v>
      </c>
      <c r="N12" s="71" t="e">
        <f t="shared" si="8"/>
        <v>#REF!</v>
      </c>
      <c r="O12" s="32" t="e">
        <f t="shared" si="9"/>
        <v>#REF!</v>
      </c>
      <c r="P12" s="7" t="e">
        <f t="shared" si="10"/>
        <v>#REF!</v>
      </c>
      <c r="Q12" s="76" t="e">
        <f t="shared" si="0"/>
        <v>#REF!</v>
      </c>
      <c r="R12" s="82" t="e">
        <f>IF(B12="","",SMALL(Q$6:Q$53,ROWS(L$6:L12)))</f>
        <v>#REF!</v>
      </c>
      <c r="S12"/>
      <c r="T12" s="32" t="e">
        <f>IF(OR(B12="",L12=""),"",INDEX($B$6:$B$53,MATCH(R12,$Q$6:Q$53,0)))</f>
        <v>#REF!</v>
      </c>
      <c r="U12" s="7" t="e">
        <f t="shared" si="1"/>
        <v>#REF!</v>
      </c>
      <c r="V12" s="64" t="e">
        <f t="shared" si="2"/>
        <v>#REF!</v>
      </c>
      <c r="W12" s="64" t="e">
        <f t="shared" si="3"/>
        <v>#REF!</v>
      </c>
      <c r="X12" s="5" t="e">
        <f>IF(R12="","",IF(AND(U11=U12,V11=V12,W11=W12),X11,$X$6+6))</f>
        <v>#REF!</v>
      </c>
    </row>
    <row r="13" spans="1:24" x14ac:dyDescent="0.3">
      <c r="A13" s="44">
        <v>8</v>
      </c>
      <c r="B13" s="46" t="e">
        <f>+Inscrits!#REF!</f>
        <v>#REF!</v>
      </c>
      <c r="C13" s="7" t="e">
        <f>VLOOKUP(B13,Résultats!$B$10:$E$76,3,0)</f>
        <v>#REF!</v>
      </c>
      <c r="D13" s="7" t="e">
        <f>VLOOKUP(B13,Résultats!$B$10:$E$76,4,0)</f>
        <v>#REF!</v>
      </c>
      <c r="E13" s="7" t="e">
        <f>VLOOKUP(B13,Résultats!$B$10:$E$76,2,0)</f>
        <v>#REF!</v>
      </c>
      <c r="F13" s="7" t="e">
        <f>VLOOKUP(B13,Résultats!$G$10:$J$76,3,0)</f>
        <v>#REF!</v>
      </c>
      <c r="G13" s="7" t="e">
        <f>VLOOKUP(B13,Résultats!$G$10:$J$76,4,0)</f>
        <v>#REF!</v>
      </c>
      <c r="H13" s="7" t="e">
        <f>VLOOKUP(B13,Résultats!$G$10:$J$76,2,0)</f>
        <v>#REF!</v>
      </c>
      <c r="I13" s="7" t="e">
        <f>VLOOKUP(B13,Résultats!$L$10:$O$76,3,0)</f>
        <v>#REF!</v>
      </c>
      <c r="J13" s="64" t="e">
        <f>VLOOKUP(B13,Résultats!$L$10:$O$76,4,0)</f>
        <v>#REF!</v>
      </c>
      <c r="K13" s="64" t="e">
        <f>VLOOKUP(B13,Résultats!$L$10:$O$76,2,0)</f>
        <v>#REF!</v>
      </c>
      <c r="L13" s="70" t="e">
        <f t="shared" si="6"/>
        <v>#REF!</v>
      </c>
      <c r="M13" s="71" t="e">
        <f t="shared" si="7"/>
        <v>#REF!</v>
      </c>
      <c r="N13" s="71" t="e">
        <f t="shared" si="8"/>
        <v>#REF!</v>
      </c>
      <c r="O13" s="32" t="e">
        <f t="shared" si="9"/>
        <v>#REF!</v>
      </c>
      <c r="P13" s="7" t="e">
        <f t="shared" si="10"/>
        <v>#REF!</v>
      </c>
      <c r="Q13" s="76" t="e">
        <f t="shared" si="0"/>
        <v>#REF!</v>
      </c>
      <c r="R13" s="82" t="e">
        <f>IF(B13="","",SMALL(Q$6:Q$53,ROWS(L$6:L13)))</f>
        <v>#REF!</v>
      </c>
      <c r="S13"/>
      <c r="T13" s="32" t="e">
        <f>IF(OR(B13="",L13=""),"",INDEX($B$6:$B$53,MATCH(R13,$Q$6:Q$53,0)))</f>
        <v>#REF!</v>
      </c>
      <c r="U13" s="7" t="e">
        <f t="shared" si="1"/>
        <v>#REF!</v>
      </c>
      <c r="V13" s="64" t="e">
        <f t="shared" si="2"/>
        <v>#REF!</v>
      </c>
      <c r="W13" s="64" t="e">
        <f t="shared" si="3"/>
        <v>#REF!</v>
      </c>
      <c r="X13" s="5" t="e">
        <f>IF(R13="","",IF(AND(U12=U13,V12=V13,W12=W13),X12,$X$6+7))</f>
        <v>#REF!</v>
      </c>
    </row>
    <row r="14" spans="1:24" x14ac:dyDescent="0.3">
      <c r="A14" s="44">
        <v>9</v>
      </c>
      <c r="B14" s="46" t="e">
        <f>+Inscrits!#REF!</f>
        <v>#REF!</v>
      </c>
      <c r="C14" s="7" t="e">
        <f>VLOOKUP(B14,Résultats!$B$10:$E$76,3,0)</f>
        <v>#REF!</v>
      </c>
      <c r="D14" s="7" t="e">
        <f>VLOOKUP(B14,Résultats!$B$10:$E$76,4,0)</f>
        <v>#REF!</v>
      </c>
      <c r="E14" s="7" t="e">
        <f>VLOOKUP(B14,Résultats!$B$10:$E$76,2,0)</f>
        <v>#REF!</v>
      </c>
      <c r="F14" s="7" t="e">
        <f>VLOOKUP(B14,Résultats!$G$10:$J$76,3,0)</f>
        <v>#REF!</v>
      </c>
      <c r="G14" s="7" t="e">
        <f>VLOOKUP(B14,Résultats!$G$10:$J$76,4,0)</f>
        <v>#REF!</v>
      </c>
      <c r="H14" s="7" t="e">
        <f>VLOOKUP(B14,Résultats!$G$10:$J$76,2,0)</f>
        <v>#REF!</v>
      </c>
      <c r="I14" s="7" t="e">
        <f>VLOOKUP(B14,Résultats!$L$10:$O$76,3,0)</f>
        <v>#REF!</v>
      </c>
      <c r="J14" s="64" t="e">
        <f>VLOOKUP(B14,Résultats!$L$10:$O$76,4,0)</f>
        <v>#REF!</v>
      </c>
      <c r="K14" s="64" t="e">
        <f>VLOOKUP(B14,Résultats!$L$10:$O$76,2,0)</f>
        <v>#REF!</v>
      </c>
      <c r="L14" s="70" t="e">
        <f t="shared" si="6"/>
        <v>#REF!</v>
      </c>
      <c r="M14" s="71" t="e">
        <f t="shared" si="7"/>
        <v>#REF!</v>
      </c>
      <c r="N14" s="71" t="e">
        <f t="shared" si="8"/>
        <v>#REF!</v>
      </c>
      <c r="O14" s="32" t="e">
        <f t="shared" si="9"/>
        <v>#REF!</v>
      </c>
      <c r="P14" s="7" t="e">
        <f t="shared" si="10"/>
        <v>#REF!</v>
      </c>
      <c r="Q14" s="76" t="e">
        <f t="shared" si="0"/>
        <v>#REF!</v>
      </c>
      <c r="R14" s="82" t="e">
        <f>IF(B14="","",SMALL(Q$6:Q$53,ROWS(L$6:L14)))</f>
        <v>#REF!</v>
      </c>
      <c r="S14"/>
      <c r="T14" s="32" t="e">
        <f>IF(OR(B14="",L14=""),"",INDEX($B$6:$B$53,MATCH(R14,$Q$6:Q$53,0)))</f>
        <v>#REF!</v>
      </c>
      <c r="U14" s="7" t="e">
        <f t="shared" si="1"/>
        <v>#REF!</v>
      </c>
      <c r="V14" s="64" t="e">
        <f t="shared" si="2"/>
        <v>#REF!</v>
      </c>
      <c r="W14" s="64" t="e">
        <f t="shared" si="3"/>
        <v>#REF!</v>
      </c>
      <c r="X14" s="5" t="e">
        <f>IF(R14="","",IF(AND(U13=U14,V13=V14,W13=W14),X13,$X$6+8))</f>
        <v>#REF!</v>
      </c>
    </row>
    <row r="15" spans="1:24" x14ac:dyDescent="0.3">
      <c r="A15" s="44">
        <v>10</v>
      </c>
      <c r="B15" s="46" t="e">
        <f>+Inscrits!#REF!</f>
        <v>#REF!</v>
      </c>
      <c r="C15" s="7" t="e">
        <f>VLOOKUP(B15,Résultats!$B$10:$E$76,3,0)</f>
        <v>#REF!</v>
      </c>
      <c r="D15" s="7" t="e">
        <f>VLOOKUP(B15,Résultats!$B$10:$E$76,4,0)</f>
        <v>#REF!</v>
      </c>
      <c r="E15" s="7" t="e">
        <f>VLOOKUP(B15,Résultats!$B$10:$E$76,2,0)</f>
        <v>#REF!</v>
      </c>
      <c r="F15" s="7" t="e">
        <f>VLOOKUP(B15,Résultats!$G$10:$J$76,3,0)</f>
        <v>#REF!</v>
      </c>
      <c r="G15" s="7" t="e">
        <f>VLOOKUP(B15,Résultats!$G$10:$J$76,4,0)</f>
        <v>#REF!</v>
      </c>
      <c r="H15" s="7" t="e">
        <f>VLOOKUP(B15,Résultats!$G$10:$J$76,2,0)</f>
        <v>#REF!</v>
      </c>
      <c r="I15" s="7" t="e">
        <f>VLOOKUP(B15,Résultats!$L$10:$O$76,3,0)</f>
        <v>#REF!</v>
      </c>
      <c r="J15" s="64" t="e">
        <f>VLOOKUP(B15,Résultats!$L$10:$O$76,4,0)</f>
        <v>#REF!</v>
      </c>
      <c r="K15" s="64" t="e">
        <f>VLOOKUP(B15,Résultats!$L$10:$O$76,2,0)</f>
        <v>#REF!</v>
      </c>
      <c r="L15" s="70" t="e">
        <f t="shared" si="6"/>
        <v>#REF!</v>
      </c>
      <c r="M15" s="71" t="e">
        <f t="shared" si="7"/>
        <v>#REF!</v>
      </c>
      <c r="N15" s="71" t="e">
        <f t="shared" si="8"/>
        <v>#REF!</v>
      </c>
      <c r="O15" s="32" t="e">
        <f t="shared" si="9"/>
        <v>#REF!</v>
      </c>
      <c r="P15" s="7" t="e">
        <f t="shared" si="10"/>
        <v>#REF!</v>
      </c>
      <c r="Q15" s="76" t="e">
        <f t="shared" si="0"/>
        <v>#REF!</v>
      </c>
      <c r="R15" s="82" t="e">
        <f>IF(B15="","",SMALL(Q$6:Q$53,ROWS(L$6:L15)))</f>
        <v>#REF!</v>
      </c>
      <c r="S15"/>
      <c r="T15" s="32" t="e">
        <f>IF(OR(B15="",L15=""),"",INDEX($B$6:$B$53,MATCH(R15,$Q$6:Q$53,0)))</f>
        <v>#REF!</v>
      </c>
      <c r="U15" s="7" t="e">
        <f t="shared" si="1"/>
        <v>#REF!</v>
      </c>
      <c r="V15" s="64" t="e">
        <f t="shared" si="2"/>
        <v>#REF!</v>
      </c>
      <c r="W15" s="64" t="e">
        <f t="shared" si="3"/>
        <v>#REF!</v>
      </c>
      <c r="X15" s="5" t="e">
        <f>IF(R15="","",IF(AND(U14=U15,V14=V15,W14=W15),X14,$X$6+9))</f>
        <v>#REF!</v>
      </c>
    </row>
    <row r="16" spans="1:24" x14ac:dyDescent="0.3">
      <c r="A16" s="44">
        <v>11</v>
      </c>
      <c r="B16" s="46" t="e">
        <f>+Inscrits!#REF!</f>
        <v>#REF!</v>
      </c>
      <c r="C16" s="7" t="e">
        <f>VLOOKUP(B16,Résultats!$B$10:$E$76,3,0)</f>
        <v>#REF!</v>
      </c>
      <c r="D16" s="7" t="e">
        <f>VLOOKUP(B16,Résultats!$B$10:$E$76,4,0)</f>
        <v>#REF!</v>
      </c>
      <c r="E16" s="7" t="e">
        <f>VLOOKUP(B16,Résultats!$B$10:$E$76,2,0)</f>
        <v>#REF!</v>
      </c>
      <c r="F16" s="7" t="e">
        <f>VLOOKUP(B16,Résultats!$G$10:$J$76,3,0)</f>
        <v>#REF!</v>
      </c>
      <c r="G16" s="7" t="e">
        <f>VLOOKUP(B16,Résultats!$G$10:$J$76,4,0)</f>
        <v>#REF!</v>
      </c>
      <c r="H16" s="7" t="e">
        <f>VLOOKUP(B16,Résultats!$G$10:$J$76,2,0)</f>
        <v>#REF!</v>
      </c>
      <c r="I16" s="7" t="e">
        <f>VLOOKUP(B16,Résultats!$L$10:$O$76,3,0)</f>
        <v>#REF!</v>
      </c>
      <c r="J16" s="64" t="e">
        <f>VLOOKUP(B16,Résultats!$L$10:$O$76,4,0)</f>
        <v>#REF!</v>
      </c>
      <c r="K16" s="64" t="e">
        <f>VLOOKUP(B16,Résultats!$L$10:$O$76,2,0)</f>
        <v>#REF!</v>
      </c>
      <c r="L16" s="70" t="e">
        <f t="shared" si="6"/>
        <v>#REF!</v>
      </c>
      <c r="M16" s="71" t="e">
        <f t="shared" si="7"/>
        <v>#REF!</v>
      </c>
      <c r="N16" s="71" t="e">
        <f t="shared" si="8"/>
        <v>#REF!</v>
      </c>
      <c r="O16" s="32" t="e">
        <f t="shared" si="9"/>
        <v>#REF!</v>
      </c>
      <c r="P16" s="7" t="e">
        <f t="shared" si="10"/>
        <v>#REF!</v>
      </c>
      <c r="Q16" s="76" t="e">
        <f t="shared" si="0"/>
        <v>#REF!</v>
      </c>
      <c r="R16" s="82" t="e">
        <f>IF(B16="","",SMALL(Q$6:Q$53,ROWS(L$6:L16)))</f>
        <v>#REF!</v>
      </c>
      <c r="S16"/>
      <c r="T16" s="32" t="e">
        <f>IF(OR(B16="",L16=""),"",INDEX($B$6:$B$53,MATCH(R16,$Q$6:Q$53,0)))</f>
        <v>#REF!</v>
      </c>
      <c r="U16" s="7" t="e">
        <f t="shared" si="1"/>
        <v>#REF!</v>
      </c>
      <c r="V16" s="64" t="e">
        <f t="shared" si="2"/>
        <v>#REF!</v>
      </c>
      <c r="W16" s="64" t="e">
        <f t="shared" si="3"/>
        <v>#REF!</v>
      </c>
      <c r="X16" s="5" t="e">
        <f>IF(R16="","",IF(AND(U15=U16,V15=V16,W15=W16),X15,$X$6+10))</f>
        <v>#REF!</v>
      </c>
    </row>
    <row r="17" spans="1:24" x14ac:dyDescent="0.3">
      <c r="A17" s="44">
        <v>12</v>
      </c>
      <c r="B17" s="46" t="e">
        <f>+Inscrits!#REF!</f>
        <v>#REF!</v>
      </c>
      <c r="C17" s="7" t="e">
        <f>VLOOKUP(B17,Résultats!$B$10:$E$76,3,0)</f>
        <v>#REF!</v>
      </c>
      <c r="D17" s="7" t="e">
        <f>VLOOKUP(B17,Résultats!$B$10:$E$76,4,0)</f>
        <v>#REF!</v>
      </c>
      <c r="E17" s="7" t="e">
        <f>VLOOKUP(B17,Résultats!$B$10:$E$76,2,0)</f>
        <v>#REF!</v>
      </c>
      <c r="F17" s="7" t="e">
        <f>VLOOKUP(B17,Résultats!$G$10:$J$76,3,0)</f>
        <v>#REF!</v>
      </c>
      <c r="G17" s="7" t="e">
        <f>VLOOKUP(B17,Résultats!$G$10:$J$76,4,0)</f>
        <v>#REF!</v>
      </c>
      <c r="H17" s="7" t="e">
        <f>VLOOKUP(B17,Résultats!$G$10:$J$76,2,0)</f>
        <v>#REF!</v>
      </c>
      <c r="I17" s="7" t="e">
        <f>VLOOKUP(B17,Résultats!$L$10:$O$76,3,0)</f>
        <v>#REF!</v>
      </c>
      <c r="J17" s="64" t="e">
        <f>VLOOKUP(B17,Résultats!$L$10:$O$76,4,0)</f>
        <v>#REF!</v>
      </c>
      <c r="K17" s="64" t="e">
        <f>VLOOKUP(B17,Résultats!$L$10:$O$76,2,0)</f>
        <v>#REF!</v>
      </c>
      <c r="L17" s="70" t="e">
        <f t="shared" si="6"/>
        <v>#REF!</v>
      </c>
      <c r="M17" s="71" t="e">
        <f t="shared" si="7"/>
        <v>#REF!</v>
      </c>
      <c r="N17" s="71" t="e">
        <f t="shared" si="8"/>
        <v>#REF!</v>
      </c>
      <c r="O17" s="32" t="e">
        <f t="shared" si="9"/>
        <v>#REF!</v>
      </c>
      <c r="P17" s="7" t="e">
        <f t="shared" si="10"/>
        <v>#REF!</v>
      </c>
      <c r="Q17" s="76" t="e">
        <f t="shared" si="0"/>
        <v>#REF!</v>
      </c>
      <c r="R17" s="82" t="e">
        <f>IF(B17="","",SMALL(Q$6:Q$53,ROWS(L$6:L17)))</f>
        <v>#REF!</v>
      </c>
      <c r="S17"/>
      <c r="T17" s="32" t="e">
        <f>IF(OR(B17="",L17=""),"",INDEX($B$6:$B$53,MATCH(R17,$Q$6:Q$53,0)))</f>
        <v>#REF!</v>
      </c>
      <c r="U17" s="7" t="e">
        <f t="shared" si="1"/>
        <v>#REF!</v>
      </c>
      <c r="V17" s="64" t="e">
        <f t="shared" si="2"/>
        <v>#REF!</v>
      </c>
      <c r="W17" s="47" t="e">
        <f t="shared" si="3"/>
        <v>#REF!</v>
      </c>
      <c r="X17" s="5" t="e">
        <f>IF(R17="","",IF(AND(U16=U17,V16=V17,16=W17),X16,$X$6+11))</f>
        <v>#REF!</v>
      </c>
    </row>
    <row r="18" spans="1:24" x14ac:dyDescent="0.3">
      <c r="A18" s="44">
        <v>13</v>
      </c>
      <c r="B18" s="46" t="e">
        <f>+Inscrits!#REF!</f>
        <v>#REF!</v>
      </c>
      <c r="C18" s="7" t="e">
        <f>VLOOKUP(B18,Résultats!$B$10:$E$76,3,0)</f>
        <v>#REF!</v>
      </c>
      <c r="D18" s="7" t="e">
        <f>VLOOKUP(B18,Résultats!$B$10:$E$76,4,0)</f>
        <v>#REF!</v>
      </c>
      <c r="E18" s="7" t="e">
        <f>VLOOKUP(B18,Résultats!$B$10:$E$76,2,0)</f>
        <v>#REF!</v>
      </c>
      <c r="F18" s="7" t="e">
        <f>VLOOKUP(B18,Résultats!$G$10:$J$76,3,0)</f>
        <v>#REF!</v>
      </c>
      <c r="G18" s="7" t="e">
        <f>VLOOKUP(B18,Résultats!$G$10:$J$76,4,0)</f>
        <v>#REF!</v>
      </c>
      <c r="H18" s="7" t="e">
        <f>VLOOKUP(B18,Résultats!$G$10:$J$76,2,0)</f>
        <v>#REF!</v>
      </c>
      <c r="I18" s="7" t="e">
        <f>VLOOKUP(B18,Résultats!$L$10:$O$76,3,0)</f>
        <v>#REF!</v>
      </c>
      <c r="J18" s="64" t="e">
        <f>VLOOKUP(B18,Résultats!$L$10:$O$76,4,0)</f>
        <v>#REF!</v>
      </c>
      <c r="K18" s="64" t="e">
        <f>VLOOKUP(B18,Résultats!$L$10:$O$76,2,0)</f>
        <v>#REF!</v>
      </c>
      <c r="L18" s="70" t="e">
        <f t="shared" si="6"/>
        <v>#REF!</v>
      </c>
      <c r="M18" s="71" t="e">
        <f t="shared" si="7"/>
        <v>#REF!</v>
      </c>
      <c r="N18" s="71" t="e">
        <f t="shared" si="8"/>
        <v>#REF!</v>
      </c>
      <c r="O18" s="32" t="e">
        <f t="shared" si="9"/>
        <v>#REF!</v>
      </c>
      <c r="P18" s="7" t="e">
        <f t="shared" si="10"/>
        <v>#REF!</v>
      </c>
      <c r="Q18" s="76" t="e">
        <f t="shared" si="0"/>
        <v>#REF!</v>
      </c>
      <c r="R18" s="82" t="e">
        <f>IF(B18="","",SMALL(Q$6:Q$53,ROWS(L$6:L18)))</f>
        <v>#REF!</v>
      </c>
      <c r="S18"/>
      <c r="T18" s="32" t="e">
        <f>IF(OR(B18="",L18=""),"",INDEX($B$6:$B$53,MATCH(R18,$Q$6:Q$53,0)))</f>
        <v>#REF!</v>
      </c>
      <c r="U18" s="7" t="e">
        <f t="shared" si="1"/>
        <v>#REF!</v>
      </c>
      <c r="V18" s="64" t="e">
        <f t="shared" si="2"/>
        <v>#REF!</v>
      </c>
      <c r="W18" s="47" t="e">
        <f t="shared" si="3"/>
        <v>#REF!</v>
      </c>
      <c r="X18" s="5" t="e">
        <f>IF(R18="","",IF(AND(U17=U18,V17=V18,W17=W18),X17,$X$6+12))</f>
        <v>#REF!</v>
      </c>
    </row>
    <row r="19" spans="1:24" x14ac:dyDescent="0.3">
      <c r="A19" s="44">
        <v>14</v>
      </c>
      <c r="B19" s="46" t="e">
        <f>+Inscrits!#REF!</f>
        <v>#REF!</v>
      </c>
      <c r="C19" s="7" t="e">
        <f>VLOOKUP(B19,Résultats!$B$10:$E$76,3,0)</f>
        <v>#REF!</v>
      </c>
      <c r="D19" s="7" t="e">
        <f>VLOOKUP(B19,Résultats!$B$10:$E$76,4,0)</f>
        <v>#REF!</v>
      </c>
      <c r="E19" s="7" t="e">
        <f>VLOOKUP(B19,Résultats!$B$10:$E$76,2,0)</f>
        <v>#REF!</v>
      </c>
      <c r="F19" s="7" t="e">
        <f>VLOOKUP(B19,Résultats!$G$10:$J$76,3,0)</f>
        <v>#REF!</v>
      </c>
      <c r="G19" s="7" t="e">
        <f>VLOOKUP(B19,Résultats!$G$10:$J$76,4,0)</f>
        <v>#REF!</v>
      </c>
      <c r="H19" s="7" t="e">
        <f>VLOOKUP(B19,Résultats!$G$10:$J$76,2,0)</f>
        <v>#REF!</v>
      </c>
      <c r="I19" s="7" t="e">
        <f>VLOOKUP(B19,Résultats!$L$10:$O$76,3,0)</f>
        <v>#REF!</v>
      </c>
      <c r="J19" s="64" t="e">
        <f>VLOOKUP(B19,Résultats!$L$10:$O$76,4,0)</f>
        <v>#REF!</v>
      </c>
      <c r="K19" s="64" t="e">
        <f>VLOOKUP(B19,Résultats!$L$10:$O$76,2,0)</f>
        <v>#REF!</v>
      </c>
      <c r="L19" s="70" t="e">
        <f t="shared" si="6"/>
        <v>#REF!</v>
      </c>
      <c r="M19" s="71" t="e">
        <f t="shared" si="7"/>
        <v>#REF!</v>
      </c>
      <c r="N19" s="71" t="e">
        <f t="shared" si="8"/>
        <v>#REF!</v>
      </c>
      <c r="O19" s="32" t="e">
        <f t="shared" si="9"/>
        <v>#REF!</v>
      </c>
      <c r="P19" s="7" t="e">
        <f t="shared" si="10"/>
        <v>#REF!</v>
      </c>
      <c r="Q19" s="76" t="e">
        <f t="shared" si="0"/>
        <v>#REF!</v>
      </c>
      <c r="R19" s="82" t="e">
        <f>IF(B19="","",SMALL(Q$6:Q$53,ROWS(L$6:L19)))</f>
        <v>#REF!</v>
      </c>
      <c r="S19"/>
      <c r="T19" s="32" t="e">
        <f>IF(OR(B19="",L19=""),"",INDEX($B$6:$B$53,MATCH(R19,$Q$6:Q$53,0)))</f>
        <v>#REF!</v>
      </c>
      <c r="U19" s="7" t="e">
        <f t="shared" si="1"/>
        <v>#REF!</v>
      </c>
      <c r="V19" s="64" t="e">
        <f t="shared" si="2"/>
        <v>#REF!</v>
      </c>
      <c r="W19" s="47" t="e">
        <f t="shared" si="3"/>
        <v>#REF!</v>
      </c>
      <c r="X19" s="5" t="e">
        <f>IF(R19="","",IF(AND(U18=U19,V18=V19,W18=W19),X18,$X$6+13))</f>
        <v>#REF!</v>
      </c>
    </row>
    <row r="20" spans="1:24" x14ac:dyDescent="0.3">
      <c r="A20" s="44">
        <v>15</v>
      </c>
      <c r="B20" s="46" t="e">
        <f>+Inscrits!#REF!</f>
        <v>#REF!</v>
      </c>
      <c r="C20" s="7" t="e">
        <f>VLOOKUP(B20,Résultats!$B$10:$E$76,3,0)</f>
        <v>#REF!</v>
      </c>
      <c r="D20" s="7" t="e">
        <f>VLOOKUP(B20,Résultats!$B$10:$E$76,4,0)</f>
        <v>#REF!</v>
      </c>
      <c r="E20" s="7" t="e">
        <f>VLOOKUP(B20,Résultats!$B$10:$E$76,2,0)</f>
        <v>#REF!</v>
      </c>
      <c r="F20" s="7" t="e">
        <f>VLOOKUP(B20,Résultats!$G$10:$J$76,3,0)</f>
        <v>#REF!</v>
      </c>
      <c r="G20" s="7" t="e">
        <f>VLOOKUP(B20,Résultats!$G$10:$J$76,4,0)</f>
        <v>#REF!</v>
      </c>
      <c r="H20" s="7" t="e">
        <f>VLOOKUP(B20,Résultats!$G$10:$J$76,2,0)</f>
        <v>#REF!</v>
      </c>
      <c r="I20" s="7" t="e">
        <f>VLOOKUP(B20,Résultats!$L$10:$O$76,3,0)</f>
        <v>#REF!</v>
      </c>
      <c r="J20" s="64" t="e">
        <f>VLOOKUP(B20,Résultats!$L$10:$O$76,4,0)</f>
        <v>#REF!</v>
      </c>
      <c r="K20" s="64" t="e">
        <f>VLOOKUP(B20,Résultats!$L$10:$O$76,2,0)</f>
        <v>#REF!</v>
      </c>
      <c r="L20" s="70" t="e">
        <f t="shared" si="6"/>
        <v>#REF!</v>
      </c>
      <c r="M20" s="71" t="e">
        <f t="shared" si="7"/>
        <v>#REF!</v>
      </c>
      <c r="N20" s="71" t="e">
        <f t="shared" si="8"/>
        <v>#REF!</v>
      </c>
      <c r="O20" s="32" t="e">
        <f t="shared" si="9"/>
        <v>#REF!</v>
      </c>
      <c r="P20" s="7" t="e">
        <f t="shared" si="10"/>
        <v>#REF!</v>
      </c>
      <c r="Q20" s="76" t="e">
        <f t="shared" si="0"/>
        <v>#REF!</v>
      </c>
      <c r="R20" s="82" t="e">
        <f>IF(B20="","",SMALL(Q$6:Q$53,ROWS(L$6:L20)))</f>
        <v>#REF!</v>
      </c>
      <c r="S20"/>
      <c r="T20" s="32" t="e">
        <f>IF(OR(B20="",L20=""),"",INDEX($B$6:$B$53,MATCH(R20,$Q$6:Q$53,0)))</f>
        <v>#REF!</v>
      </c>
      <c r="U20" s="7" t="e">
        <f t="shared" si="1"/>
        <v>#REF!</v>
      </c>
      <c r="V20" s="64" t="e">
        <f t="shared" si="2"/>
        <v>#REF!</v>
      </c>
      <c r="W20" s="47" t="e">
        <f t="shared" si="3"/>
        <v>#REF!</v>
      </c>
      <c r="X20" s="5" t="e">
        <f>IF(R20="","",IF(AND(U19=U20,V19=V20,W19=W20),X19,$X$6+14))</f>
        <v>#REF!</v>
      </c>
    </row>
    <row r="21" spans="1:24" x14ac:dyDescent="0.3">
      <c r="A21" s="44">
        <v>16</v>
      </c>
      <c r="B21" s="46" t="e">
        <f>+Inscrits!#REF!</f>
        <v>#REF!</v>
      </c>
      <c r="C21" s="7" t="e">
        <f>VLOOKUP(B21,Résultats!$B$10:$E$76,3,0)</f>
        <v>#REF!</v>
      </c>
      <c r="D21" s="7" t="e">
        <f>VLOOKUP(B21,Résultats!$B$10:$E$76,4,0)</f>
        <v>#REF!</v>
      </c>
      <c r="E21" s="7" t="e">
        <f>VLOOKUP(B21,Résultats!$B$10:$E$76,2,0)</f>
        <v>#REF!</v>
      </c>
      <c r="F21" s="7" t="e">
        <f>VLOOKUP(B21,Résultats!$G$10:$J$76,3,0)</f>
        <v>#REF!</v>
      </c>
      <c r="G21" s="7" t="e">
        <f>VLOOKUP(B21,Résultats!$G$10:$J$76,4,0)</f>
        <v>#REF!</v>
      </c>
      <c r="H21" s="7" t="e">
        <f>VLOOKUP(B21,Résultats!$G$10:$J$76,2,0)</f>
        <v>#REF!</v>
      </c>
      <c r="I21" s="7" t="e">
        <f>VLOOKUP(B21,Résultats!$L$10:$O$76,3,0)</f>
        <v>#REF!</v>
      </c>
      <c r="J21" s="64" t="e">
        <f>VLOOKUP(B21,Résultats!$L$10:$O$76,4,0)</f>
        <v>#REF!</v>
      </c>
      <c r="K21" s="64" t="e">
        <f>VLOOKUP(B21,Résultats!$L$10:$O$76,2,0)</f>
        <v>#REF!</v>
      </c>
      <c r="L21" s="70" t="e">
        <f t="shared" si="6"/>
        <v>#REF!</v>
      </c>
      <c r="M21" s="71" t="e">
        <f t="shared" si="7"/>
        <v>#REF!</v>
      </c>
      <c r="N21" s="71" t="e">
        <f t="shared" si="8"/>
        <v>#REF!</v>
      </c>
      <c r="O21" s="32" t="e">
        <f t="shared" si="9"/>
        <v>#REF!</v>
      </c>
      <c r="P21" s="7" t="e">
        <f t="shared" si="10"/>
        <v>#REF!</v>
      </c>
      <c r="Q21" s="76" t="e">
        <f t="shared" si="0"/>
        <v>#REF!</v>
      </c>
      <c r="R21" s="82" t="e">
        <f>IF(B21="","",SMALL(Q$6:Q$53,ROWS(L$6:L21)))</f>
        <v>#REF!</v>
      </c>
      <c r="S21"/>
      <c r="T21" s="32" t="e">
        <f>IF(OR(B21="",L21=""),"",INDEX($B$6:$B$53,MATCH(R21,$Q$6:Q$53,0)))</f>
        <v>#REF!</v>
      </c>
      <c r="U21" s="7" t="e">
        <f t="shared" si="1"/>
        <v>#REF!</v>
      </c>
      <c r="V21" s="64" t="e">
        <f t="shared" si="2"/>
        <v>#REF!</v>
      </c>
      <c r="W21" s="47" t="e">
        <f t="shared" si="3"/>
        <v>#REF!</v>
      </c>
      <c r="X21" s="5" t="e">
        <f>IF(R21="","",IF(AND(U20=U21,V20=V21,W20=W21),X20,$X$6+15))</f>
        <v>#REF!</v>
      </c>
    </row>
    <row r="22" spans="1:24" x14ac:dyDescent="0.3">
      <c r="A22" s="44">
        <v>17</v>
      </c>
      <c r="B22" s="46" t="e">
        <f>+Inscrits!#REF!</f>
        <v>#REF!</v>
      </c>
      <c r="C22" s="7" t="e">
        <f>VLOOKUP(B22,Résultats!$B$10:$E$76,3,0)</f>
        <v>#REF!</v>
      </c>
      <c r="D22" s="7" t="e">
        <f>VLOOKUP(B22,Résultats!$B$10:$E$76,4,0)</f>
        <v>#REF!</v>
      </c>
      <c r="E22" s="7" t="e">
        <f>VLOOKUP(B22,Résultats!$B$10:$E$76,2,0)</f>
        <v>#REF!</v>
      </c>
      <c r="F22" s="7" t="e">
        <f>VLOOKUP(B22,Résultats!$G$10:$J$76,3,0)</f>
        <v>#REF!</v>
      </c>
      <c r="G22" s="7" t="e">
        <f>VLOOKUP(B22,Résultats!$G$10:$J$76,4,0)</f>
        <v>#REF!</v>
      </c>
      <c r="H22" s="7" t="e">
        <f>VLOOKUP(B22,Résultats!$G$10:$J$76,2,0)</f>
        <v>#REF!</v>
      </c>
      <c r="I22" s="7" t="e">
        <f>VLOOKUP(B22,Résultats!$L$10:$O$76,3,0)</f>
        <v>#REF!</v>
      </c>
      <c r="J22" s="64" t="e">
        <f>VLOOKUP(B22,Résultats!$L$10:$O$76,4,0)</f>
        <v>#REF!</v>
      </c>
      <c r="K22" s="64" t="e">
        <f>VLOOKUP(B22,Résultats!$L$10:$O$76,2,0)</f>
        <v>#REF!</v>
      </c>
      <c r="L22" s="70" t="e">
        <f t="shared" si="6"/>
        <v>#REF!</v>
      </c>
      <c r="M22" s="71" t="e">
        <f t="shared" si="7"/>
        <v>#REF!</v>
      </c>
      <c r="N22" s="71" t="e">
        <f t="shared" si="8"/>
        <v>#REF!</v>
      </c>
      <c r="O22" s="32" t="e">
        <f t="shared" si="9"/>
        <v>#REF!</v>
      </c>
      <c r="P22" s="7" t="e">
        <f t="shared" si="10"/>
        <v>#REF!</v>
      </c>
      <c r="Q22" s="76" t="e">
        <f t="shared" si="0"/>
        <v>#REF!</v>
      </c>
      <c r="R22" s="82" t="e">
        <f>IF(B22="","",SMALL(Q$6:Q$53,ROWS(L$6:L22)))</f>
        <v>#REF!</v>
      </c>
      <c r="S22"/>
      <c r="T22" s="32" t="e">
        <f>IF(OR(B22="",L22=""),"",INDEX($B$6:$B$53,MATCH(R22,$Q$6:Q$53,0)))</f>
        <v>#REF!</v>
      </c>
      <c r="U22" s="7" t="e">
        <f t="shared" si="1"/>
        <v>#REF!</v>
      </c>
      <c r="V22" s="64" t="e">
        <f t="shared" si="2"/>
        <v>#REF!</v>
      </c>
      <c r="W22" s="47" t="e">
        <f t="shared" si="3"/>
        <v>#REF!</v>
      </c>
      <c r="X22" s="5" t="e">
        <f>IF(R22="","",IF(AND(U21=U22,V21=V22,W21=W22),X21,$X$6+16))</f>
        <v>#REF!</v>
      </c>
    </row>
    <row r="23" spans="1:24" x14ac:dyDescent="0.3">
      <c r="A23" s="44">
        <v>18</v>
      </c>
      <c r="B23" s="46" t="e">
        <f>+Inscrits!#REF!</f>
        <v>#REF!</v>
      </c>
      <c r="C23" s="7" t="e">
        <f>VLOOKUP(B23,Résultats!$B$10:$E$76,3,0)</f>
        <v>#REF!</v>
      </c>
      <c r="D23" s="7" t="e">
        <f>VLOOKUP(B23,Résultats!$B$10:$E$76,4,0)</f>
        <v>#REF!</v>
      </c>
      <c r="E23" s="7" t="e">
        <f>VLOOKUP(B23,Résultats!$B$10:$E$76,2,0)</f>
        <v>#REF!</v>
      </c>
      <c r="F23" s="7" t="e">
        <f>VLOOKUP(B23,Résultats!$G$10:$J$76,3,0)</f>
        <v>#REF!</v>
      </c>
      <c r="G23" s="7" t="e">
        <f>VLOOKUP(B23,Résultats!$G$10:$J$76,4,0)</f>
        <v>#REF!</v>
      </c>
      <c r="H23" s="7" t="e">
        <f>VLOOKUP(B23,Résultats!$G$10:$J$76,2,0)</f>
        <v>#REF!</v>
      </c>
      <c r="I23" s="7" t="e">
        <f>VLOOKUP(B23,Résultats!$L$10:$O$76,3,0)</f>
        <v>#REF!</v>
      </c>
      <c r="J23" s="64" t="e">
        <f>VLOOKUP(B23,Résultats!$L$10:$O$76,4,0)</f>
        <v>#REF!</v>
      </c>
      <c r="K23" s="64" t="e">
        <f>VLOOKUP(B23,Résultats!$L$10:$O$76,2,0)</f>
        <v>#REF!</v>
      </c>
      <c r="L23" s="70" t="e">
        <f t="shared" si="6"/>
        <v>#REF!</v>
      </c>
      <c r="M23" s="71" t="e">
        <f t="shared" si="7"/>
        <v>#REF!</v>
      </c>
      <c r="N23" s="71" t="e">
        <f t="shared" si="8"/>
        <v>#REF!</v>
      </c>
      <c r="O23" s="32" t="e">
        <f t="shared" si="9"/>
        <v>#REF!</v>
      </c>
      <c r="P23" s="7" t="e">
        <f t="shared" si="10"/>
        <v>#REF!</v>
      </c>
      <c r="Q23" s="76" t="e">
        <f t="shared" si="0"/>
        <v>#REF!</v>
      </c>
      <c r="R23" s="82" t="e">
        <f>IF(B23="","",SMALL(Q$6:Q$53,ROWS(L$6:L23)))</f>
        <v>#REF!</v>
      </c>
      <c r="S23"/>
      <c r="T23" s="32" t="e">
        <f>IF(OR(B23="",L23=""),"",INDEX($B$6:$B$53,MATCH(R23,$Q$6:Q$53,0)))</f>
        <v>#REF!</v>
      </c>
      <c r="U23" s="7" t="e">
        <f t="shared" si="1"/>
        <v>#REF!</v>
      </c>
      <c r="V23" s="64" t="e">
        <f t="shared" si="2"/>
        <v>#REF!</v>
      </c>
      <c r="W23" s="47" t="e">
        <f t="shared" si="3"/>
        <v>#REF!</v>
      </c>
      <c r="X23" s="5" t="e">
        <f>IF(R23="","",IF(AND(U22=U23,V22=V23,W22=W23),X22,$X$6+17))</f>
        <v>#REF!</v>
      </c>
    </row>
    <row r="24" spans="1:24" x14ac:dyDescent="0.3">
      <c r="A24" s="44">
        <v>19</v>
      </c>
      <c r="B24" s="46" t="e">
        <f>+Inscrits!#REF!</f>
        <v>#REF!</v>
      </c>
      <c r="C24" s="7" t="e">
        <f>VLOOKUP(B24,Résultats!$B$10:$E$76,3,0)</f>
        <v>#REF!</v>
      </c>
      <c r="D24" s="7" t="e">
        <f>VLOOKUP(B24,Résultats!$B$10:$E$76,4,0)</f>
        <v>#REF!</v>
      </c>
      <c r="E24" s="7" t="e">
        <f>VLOOKUP(B24,Résultats!$B$10:$E$76,2,0)</f>
        <v>#REF!</v>
      </c>
      <c r="F24" s="7" t="e">
        <f>VLOOKUP(B24,Résultats!$G$10:$J$76,3,0)</f>
        <v>#REF!</v>
      </c>
      <c r="G24" s="7" t="e">
        <f>VLOOKUP(B24,Résultats!$G$10:$J$76,4,0)</f>
        <v>#REF!</v>
      </c>
      <c r="H24" s="7" t="e">
        <f>VLOOKUP(B24,Résultats!$G$10:$J$76,2,0)</f>
        <v>#REF!</v>
      </c>
      <c r="I24" s="7" t="e">
        <f>VLOOKUP(B24,Résultats!$L$10:$O$76,3,0)</f>
        <v>#REF!</v>
      </c>
      <c r="J24" s="64" t="e">
        <f>VLOOKUP(B24,Résultats!$L$10:$O$76,4,0)</f>
        <v>#REF!</v>
      </c>
      <c r="K24" s="64" t="e">
        <f>VLOOKUP(B24,Résultats!$L$10:$O$76,2,0)</f>
        <v>#REF!</v>
      </c>
      <c r="L24" s="70" t="e">
        <f t="shared" si="6"/>
        <v>#REF!</v>
      </c>
      <c r="M24" s="71" t="e">
        <f t="shared" si="7"/>
        <v>#REF!</v>
      </c>
      <c r="N24" s="71" t="e">
        <f t="shared" si="8"/>
        <v>#REF!</v>
      </c>
      <c r="O24" s="32" t="e">
        <f t="shared" si="9"/>
        <v>#REF!</v>
      </c>
      <c r="P24" s="7" t="e">
        <f t="shared" si="10"/>
        <v>#REF!</v>
      </c>
      <c r="Q24" s="76" t="e">
        <f t="shared" si="0"/>
        <v>#REF!</v>
      </c>
      <c r="R24" s="82" t="e">
        <f>IF(B24="","",SMALL(Q$6:Q$53,ROWS(L$6:L24)))</f>
        <v>#REF!</v>
      </c>
      <c r="S24"/>
      <c r="T24" s="32" t="e">
        <f>IF(OR(B24="",L24=""),"",INDEX($B$6:$B$53,MATCH(R24,$Q$6:Q$53,0)))</f>
        <v>#REF!</v>
      </c>
      <c r="U24" s="7" t="e">
        <f t="shared" si="1"/>
        <v>#REF!</v>
      </c>
      <c r="V24" s="64" t="e">
        <f t="shared" si="2"/>
        <v>#REF!</v>
      </c>
      <c r="W24" s="47" t="e">
        <f t="shared" si="3"/>
        <v>#REF!</v>
      </c>
      <c r="X24" s="5" t="e">
        <f>IF(R24="","",IF(AND(U23=U24,V23=V24,W23=W24),X23,$X$6+18))</f>
        <v>#REF!</v>
      </c>
    </row>
    <row r="25" spans="1:24" x14ac:dyDescent="0.3">
      <c r="A25" s="44">
        <v>20</v>
      </c>
      <c r="B25" s="46" t="e">
        <f>+Inscrits!#REF!</f>
        <v>#REF!</v>
      </c>
      <c r="C25" s="7" t="e">
        <f>VLOOKUP(B25,Résultats!$B$10:$E$76,3,0)</f>
        <v>#REF!</v>
      </c>
      <c r="D25" s="7" t="e">
        <f>VLOOKUP(B25,Résultats!$B$10:$E$76,4,0)</f>
        <v>#REF!</v>
      </c>
      <c r="E25" s="7" t="e">
        <f>VLOOKUP(B25,Résultats!$B$10:$E$76,2,0)</f>
        <v>#REF!</v>
      </c>
      <c r="F25" s="7" t="e">
        <f>VLOOKUP(B25,Résultats!$G$10:$J$76,3,0)</f>
        <v>#REF!</v>
      </c>
      <c r="G25" s="7" t="e">
        <f>VLOOKUP(B25,Résultats!$G$10:$J$76,4,0)</f>
        <v>#REF!</v>
      </c>
      <c r="H25" s="7" t="e">
        <f>VLOOKUP(B25,Résultats!$G$10:$J$76,2,0)</f>
        <v>#REF!</v>
      </c>
      <c r="I25" s="7" t="e">
        <f>VLOOKUP(B25,Résultats!$L$10:$O$76,3,0)</f>
        <v>#REF!</v>
      </c>
      <c r="J25" s="64" t="e">
        <f>VLOOKUP(B25,Résultats!$L$10:$O$76,4,0)</f>
        <v>#REF!</v>
      </c>
      <c r="K25" s="64" t="e">
        <f>VLOOKUP(B25,Résultats!$L$10:$O$76,2,0)</f>
        <v>#REF!</v>
      </c>
      <c r="L25" s="70" t="e">
        <f t="shared" si="6"/>
        <v>#REF!</v>
      </c>
      <c r="M25" s="71" t="e">
        <f t="shared" si="7"/>
        <v>#REF!</v>
      </c>
      <c r="N25" s="71" t="e">
        <f t="shared" si="8"/>
        <v>#REF!</v>
      </c>
      <c r="O25" s="32" t="e">
        <f t="shared" si="9"/>
        <v>#REF!</v>
      </c>
      <c r="P25" s="7" t="e">
        <f t="shared" si="10"/>
        <v>#REF!</v>
      </c>
      <c r="Q25" s="76" t="e">
        <f t="shared" si="0"/>
        <v>#REF!</v>
      </c>
      <c r="R25" s="82" t="e">
        <f>IF(B25="","",SMALL(Q$6:Q$53,ROWS(L$6:L25)))</f>
        <v>#REF!</v>
      </c>
      <c r="S25"/>
      <c r="T25" s="32" t="e">
        <f>IF(OR(B25="",L25=""),"",INDEX($B$6:$B$53,MATCH(R25,$Q$6:Q$53,0)))</f>
        <v>#REF!</v>
      </c>
      <c r="U25" s="7" t="e">
        <f t="shared" si="1"/>
        <v>#REF!</v>
      </c>
      <c r="V25" s="64" t="e">
        <f t="shared" si="2"/>
        <v>#REF!</v>
      </c>
      <c r="W25" s="47" t="e">
        <f t="shared" si="3"/>
        <v>#REF!</v>
      </c>
      <c r="X25" s="5" t="e">
        <f>IF(R25="","",IF(AND(U24=U25,V24=V25,W24=W25),X24,$X$6+19))</f>
        <v>#REF!</v>
      </c>
    </row>
    <row r="26" spans="1:24" x14ac:dyDescent="0.3">
      <c r="A26" s="44">
        <v>21</v>
      </c>
      <c r="B26" s="46" t="e">
        <f>+Inscrits!#REF!</f>
        <v>#REF!</v>
      </c>
      <c r="C26" s="7" t="e">
        <f>VLOOKUP(B26,Résultats!$B$10:$E$76,3,0)</f>
        <v>#REF!</v>
      </c>
      <c r="D26" s="7" t="e">
        <f>VLOOKUP(B26,Résultats!$B$10:$E$76,4,0)</f>
        <v>#REF!</v>
      </c>
      <c r="E26" s="7" t="e">
        <f>VLOOKUP(B26,Résultats!$B$10:$E$76,2,0)</f>
        <v>#REF!</v>
      </c>
      <c r="F26" s="7" t="e">
        <f>VLOOKUP(B26,Résultats!$G$10:$J$76,3,0)</f>
        <v>#REF!</v>
      </c>
      <c r="G26" s="7" t="e">
        <f>VLOOKUP(B26,Résultats!$G$10:$J$76,4,0)</f>
        <v>#REF!</v>
      </c>
      <c r="H26" s="7" t="e">
        <f>VLOOKUP(B26,Résultats!$G$10:$J$76,2,0)</f>
        <v>#REF!</v>
      </c>
      <c r="I26" s="7" t="e">
        <f>VLOOKUP(B26,Résultats!$L$10:$O$76,3,0)</f>
        <v>#REF!</v>
      </c>
      <c r="J26" s="64" t="e">
        <f>VLOOKUP(B26,Résultats!$L$10:$O$76,4,0)</f>
        <v>#REF!</v>
      </c>
      <c r="K26" s="64" t="e">
        <f>VLOOKUP(B26,Résultats!$L$10:$O$76,2,0)</f>
        <v>#REF!</v>
      </c>
      <c r="L26" s="70" t="e">
        <f t="shared" si="6"/>
        <v>#REF!</v>
      </c>
      <c r="M26" s="71" t="e">
        <f t="shared" si="7"/>
        <v>#REF!</v>
      </c>
      <c r="N26" s="71" t="e">
        <f t="shared" si="8"/>
        <v>#REF!</v>
      </c>
      <c r="O26" s="32" t="e">
        <f t="shared" si="9"/>
        <v>#REF!</v>
      </c>
      <c r="P26" s="7" t="e">
        <f t="shared" si="10"/>
        <v>#REF!</v>
      </c>
      <c r="Q26" s="76" t="e">
        <f t="shared" si="0"/>
        <v>#REF!</v>
      </c>
      <c r="R26" s="82" t="e">
        <f>IF(B26="","",SMALL(Q$6:Q$53,ROWS(L$6:L26)))</f>
        <v>#REF!</v>
      </c>
      <c r="S26"/>
      <c r="T26" s="32" t="e">
        <f>IF(OR(B26="",L26=""),"",INDEX($B$6:$B$53,MATCH(R26,$Q$6:Q$53,0)))</f>
        <v>#REF!</v>
      </c>
      <c r="U26" s="7" t="e">
        <f t="shared" si="1"/>
        <v>#REF!</v>
      </c>
      <c r="V26" s="64" t="e">
        <f t="shared" si="2"/>
        <v>#REF!</v>
      </c>
      <c r="W26" s="47" t="e">
        <f t="shared" si="3"/>
        <v>#REF!</v>
      </c>
      <c r="X26" s="5" t="e">
        <f>IF(R26="","",IF(AND(U25=U26,V25=V26,W25=W26),X25,$X$6+20))</f>
        <v>#REF!</v>
      </c>
    </row>
    <row r="27" spans="1:24" x14ac:dyDescent="0.3">
      <c r="A27" s="44">
        <v>22</v>
      </c>
      <c r="B27" s="46" t="e">
        <f>+Inscrits!#REF!</f>
        <v>#REF!</v>
      </c>
      <c r="C27" s="7" t="e">
        <f>VLOOKUP(B27,Résultats!$B$10:$E$76,3,0)</f>
        <v>#REF!</v>
      </c>
      <c r="D27" s="7" t="e">
        <f>VLOOKUP(B27,Résultats!$B$10:$E$76,4,0)</f>
        <v>#REF!</v>
      </c>
      <c r="E27" s="7" t="e">
        <f>VLOOKUP(B27,Résultats!$B$10:$E$76,2,0)</f>
        <v>#REF!</v>
      </c>
      <c r="F27" s="7" t="e">
        <f>VLOOKUP(B27,Résultats!$G$10:$J$76,3,0)</f>
        <v>#REF!</v>
      </c>
      <c r="G27" s="7" t="e">
        <f>VLOOKUP(B27,Résultats!$G$10:$J$76,4,0)</f>
        <v>#REF!</v>
      </c>
      <c r="H27" s="7" t="e">
        <f>VLOOKUP(B27,Résultats!$G$10:$J$76,2,0)</f>
        <v>#REF!</v>
      </c>
      <c r="I27" s="7" t="e">
        <f>VLOOKUP(B27,Résultats!$L$10:$O$76,3,0)</f>
        <v>#REF!</v>
      </c>
      <c r="J27" s="64" t="e">
        <f>VLOOKUP(B27,Résultats!$L$10:$O$76,4,0)</f>
        <v>#REF!</v>
      </c>
      <c r="K27" s="64" t="e">
        <f>VLOOKUP(B27,Résultats!$L$10:$O$76,2,0)</f>
        <v>#REF!</v>
      </c>
      <c r="L27" s="70" t="e">
        <f t="shared" si="6"/>
        <v>#REF!</v>
      </c>
      <c r="M27" s="71" t="e">
        <f t="shared" si="7"/>
        <v>#REF!</v>
      </c>
      <c r="N27" s="71" t="e">
        <f t="shared" si="8"/>
        <v>#REF!</v>
      </c>
      <c r="O27" s="32" t="e">
        <f t="shared" si="9"/>
        <v>#REF!</v>
      </c>
      <c r="P27" s="7" t="e">
        <f t="shared" si="10"/>
        <v>#REF!</v>
      </c>
      <c r="Q27" s="76" t="e">
        <f t="shared" si="0"/>
        <v>#REF!</v>
      </c>
      <c r="R27" s="82" t="e">
        <f>IF(B27="","",SMALL(Q$6:Q$53,ROWS(L$6:L27)))</f>
        <v>#REF!</v>
      </c>
      <c r="S27"/>
      <c r="T27" s="32" t="e">
        <f>IF(OR(B27="",L27=""),"",INDEX($B$6:$B$53,MATCH(R27,$Q$6:Q$53,0)))</f>
        <v>#REF!</v>
      </c>
      <c r="U27" s="7" t="e">
        <f t="shared" si="1"/>
        <v>#REF!</v>
      </c>
      <c r="V27" s="64" t="e">
        <f t="shared" si="2"/>
        <v>#REF!</v>
      </c>
      <c r="W27" s="47" t="e">
        <f t="shared" si="3"/>
        <v>#REF!</v>
      </c>
      <c r="X27" s="5" t="e">
        <f>IF(R27="","",IF(AND(U26=U27,V26=V27,W26=W27),X26,$X$6+21))</f>
        <v>#REF!</v>
      </c>
    </row>
    <row r="28" spans="1:24" x14ac:dyDescent="0.3">
      <c r="A28" s="44">
        <v>23</v>
      </c>
      <c r="B28" s="46" t="e">
        <f>+Inscrits!#REF!</f>
        <v>#REF!</v>
      </c>
      <c r="C28" s="7" t="e">
        <f>VLOOKUP(B28,Résultats!$B$10:$E$76,3,0)</f>
        <v>#REF!</v>
      </c>
      <c r="D28" s="7" t="e">
        <f>VLOOKUP(B28,Résultats!$B$10:$E$76,4,0)</f>
        <v>#REF!</v>
      </c>
      <c r="E28" s="7" t="e">
        <f>VLOOKUP(B28,Résultats!$B$10:$E$76,2,0)</f>
        <v>#REF!</v>
      </c>
      <c r="F28" s="7" t="e">
        <f>VLOOKUP(B28,Résultats!$G$10:$J$76,3,0)</f>
        <v>#REF!</v>
      </c>
      <c r="G28" s="7" t="e">
        <f>VLOOKUP(B28,Résultats!$G$10:$J$76,4,0)</f>
        <v>#REF!</v>
      </c>
      <c r="H28" s="7" t="e">
        <f>VLOOKUP(B28,Résultats!$G$10:$J$76,2,0)</f>
        <v>#REF!</v>
      </c>
      <c r="I28" s="7" t="e">
        <f>VLOOKUP(B28,Résultats!$L$10:$O$76,3,0)</f>
        <v>#REF!</v>
      </c>
      <c r="J28" s="64" t="e">
        <f>VLOOKUP(B28,Résultats!$L$10:$O$76,4,0)</f>
        <v>#REF!</v>
      </c>
      <c r="K28" s="64" t="e">
        <f>VLOOKUP(B28,Résultats!$L$10:$O$76,2,0)</f>
        <v>#REF!</v>
      </c>
      <c r="L28" s="70" t="e">
        <f t="shared" si="6"/>
        <v>#REF!</v>
      </c>
      <c r="M28" s="71" t="e">
        <f t="shared" si="7"/>
        <v>#REF!</v>
      </c>
      <c r="N28" s="71" t="e">
        <f t="shared" si="8"/>
        <v>#REF!</v>
      </c>
      <c r="O28" s="32" t="e">
        <f t="shared" si="9"/>
        <v>#REF!</v>
      </c>
      <c r="P28" s="7" t="e">
        <f t="shared" si="10"/>
        <v>#REF!</v>
      </c>
      <c r="Q28" s="76" t="e">
        <f t="shared" si="0"/>
        <v>#REF!</v>
      </c>
      <c r="R28" s="82" t="e">
        <f>IF(B28="","",SMALL(Q$6:Q$53,ROWS(L$6:L28)))</f>
        <v>#REF!</v>
      </c>
      <c r="S28"/>
      <c r="T28" s="32" t="e">
        <f>IF(OR(B28="",L28=""),"",INDEX($B$6:$B$53,MATCH(R28,$Q$6:Q$53,0)))</f>
        <v>#REF!</v>
      </c>
      <c r="U28" s="7" t="e">
        <f t="shared" si="1"/>
        <v>#REF!</v>
      </c>
      <c r="V28" s="64" t="e">
        <f t="shared" si="2"/>
        <v>#REF!</v>
      </c>
      <c r="W28" s="47" t="e">
        <f t="shared" si="3"/>
        <v>#REF!</v>
      </c>
      <c r="X28" s="5" t="e">
        <f>IF(R28="","",IF(AND(U27=U28,V27=V28,W27=W28),X27,$X$6+22))</f>
        <v>#REF!</v>
      </c>
    </row>
    <row r="29" spans="1:24" x14ac:dyDescent="0.3">
      <c r="A29" s="44">
        <v>24</v>
      </c>
      <c r="B29" s="46" t="e">
        <f>+Inscrits!#REF!</f>
        <v>#REF!</v>
      </c>
      <c r="C29" s="7" t="e">
        <f>VLOOKUP(B29,Résultats!$B$10:$E$76,3,0)</f>
        <v>#REF!</v>
      </c>
      <c r="D29" s="7" t="e">
        <f>VLOOKUP(B29,Résultats!$B$10:$E$76,4,0)</f>
        <v>#REF!</v>
      </c>
      <c r="E29" s="7" t="e">
        <f>VLOOKUP(B29,Résultats!$B$10:$E$76,2,0)</f>
        <v>#REF!</v>
      </c>
      <c r="F29" s="7" t="e">
        <f>VLOOKUP(B29,Résultats!$G$10:$J$76,3,0)</f>
        <v>#REF!</v>
      </c>
      <c r="G29" s="7" t="e">
        <f>VLOOKUP(B29,Résultats!$G$10:$J$76,4,0)</f>
        <v>#REF!</v>
      </c>
      <c r="H29" s="7" t="e">
        <f>VLOOKUP(B29,Résultats!$G$10:$J$76,2,0)</f>
        <v>#REF!</v>
      </c>
      <c r="I29" s="7" t="e">
        <f>VLOOKUP(B29,Résultats!$L$10:$O$76,3,0)</f>
        <v>#REF!</v>
      </c>
      <c r="J29" s="64" t="e">
        <f>VLOOKUP(B29,Résultats!$L$10:$O$76,4,0)</f>
        <v>#REF!</v>
      </c>
      <c r="K29" s="64" t="e">
        <f>VLOOKUP(B29,Résultats!$L$10:$O$76,2,0)</f>
        <v>#REF!</v>
      </c>
      <c r="L29" s="70" t="e">
        <f t="shared" si="6"/>
        <v>#REF!</v>
      </c>
      <c r="M29" s="71" t="e">
        <f t="shared" si="7"/>
        <v>#REF!</v>
      </c>
      <c r="N29" s="71" t="e">
        <f t="shared" si="8"/>
        <v>#REF!</v>
      </c>
      <c r="O29" s="32" t="e">
        <f t="shared" si="9"/>
        <v>#REF!</v>
      </c>
      <c r="P29" s="7" t="e">
        <f t="shared" si="10"/>
        <v>#REF!</v>
      </c>
      <c r="Q29" s="76" t="e">
        <f t="shared" si="0"/>
        <v>#REF!</v>
      </c>
      <c r="R29" s="82" t="e">
        <f>IF(B29="","",SMALL(Q$6:Q$53,ROWS(L$6:L29)))</f>
        <v>#REF!</v>
      </c>
      <c r="S29"/>
      <c r="T29" s="32" t="e">
        <f>IF(OR(B29="",L29=""),"",INDEX($B$6:$B$53,MATCH(R29,$Q$6:Q$53,0)))</f>
        <v>#REF!</v>
      </c>
      <c r="U29" s="7" t="e">
        <f t="shared" si="1"/>
        <v>#REF!</v>
      </c>
      <c r="V29" s="64" t="e">
        <f t="shared" si="2"/>
        <v>#REF!</v>
      </c>
      <c r="W29" s="47" t="e">
        <f t="shared" si="3"/>
        <v>#REF!</v>
      </c>
      <c r="X29" s="5" t="e">
        <f>IF(R29="","",IF(AND(U28=U29,V28=V29,W28=W29),X28,$X$6+23))</f>
        <v>#REF!</v>
      </c>
    </row>
    <row r="30" spans="1:24" x14ac:dyDescent="0.3">
      <c r="A30" s="44">
        <v>25</v>
      </c>
      <c r="B30" s="46" t="e">
        <f>+Inscrits!#REF!</f>
        <v>#REF!</v>
      </c>
      <c r="C30" s="7" t="e">
        <f>VLOOKUP(B30,Résultats!$B$10:$E$76,3,0)</f>
        <v>#REF!</v>
      </c>
      <c r="D30" s="7" t="e">
        <f>VLOOKUP(B30,Résultats!$B$10:$E$76,4,0)</f>
        <v>#REF!</v>
      </c>
      <c r="E30" s="7" t="e">
        <f>VLOOKUP(B30,Résultats!$B$10:$E$76,2,0)</f>
        <v>#REF!</v>
      </c>
      <c r="F30" s="7" t="e">
        <f>VLOOKUP(B30,Résultats!$G$10:$J$76,3,0)</f>
        <v>#REF!</v>
      </c>
      <c r="G30" s="7" t="e">
        <f>VLOOKUP(B30,Résultats!$G$10:$J$76,4,0)</f>
        <v>#REF!</v>
      </c>
      <c r="H30" s="7" t="e">
        <f>VLOOKUP(B30,Résultats!$G$10:$J$76,2,0)</f>
        <v>#REF!</v>
      </c>
      <c r="I30" s="7" t="e">
        <f>VLOOKUP(B30,Résultats!$L$10:$O$76,3,0)</f>
        <v>#REF!</v>
      </c>
      <c r="J30" s="64" t="e">
        <f>VLOOKUP(B30,Résultats!$L$10:$O$76,4,0)</f>
        <v>#REF!</v>
      </c>
      <c r="K30" s="64" t="e">
        <f>VLOOKUP(B30,Résultats!$L$10:$O$76,2,0)</f>
        <v>#REF!</v>
      </c>
      <c r="L30" s="70" t="e">
        <f t="shared" si="6"/>
        <v>#REF!</v>
      </c>
      <c r="M30" s="71" t="e">
        <f t="shared" si="7"/>
        <v>#REF!</v>
      </c>
      <c r="N30" s="71" t="e">
        <f t="shared" si="8"/>
        <v>#REF!</v>
      </c>
      <c r="O30" s="32" t="e">
        <f t="shared" si="9"/>
        <v>#REF!</v>
      </c>
      <c r="P30" s="7" t="e">
        <f t="shared" si="10"/>
        <v>#REF!</v>
      </c>
      <c r="Q30" s="76" t="e">
        <f t="shared" si="0"/>
        <v>#REF!</v>
      </c>
      <c r="R30" s="82" t="e">
        <f>IF(B30="","",SMALL(Q$6:Q$53,ROWS(L$6:L30)))</f>
        <v>#REF!</v>
      </c>
      <c r="S30"/>
      <c r="T30" s="32" t="e">
        <f>IF(OR(B30="",L30=""),"",INDEX($B$6:$B$53,MATCH(R30,$Q$6:Q$53,0)))</f>
        <v>#REF!</v>
      </c>
      <c r="U30" s="7" t="e">
        <f t="shared" si="1"/>
        <v>#REF!</v>
      </c>
      <c r="V30" s="64" t="e">
        <f t="shared" si="2"/>
        <v>#REF!</v>
      </c>
      <c r="W30" s="47" t="e">
        <f t="shared" si="3"/>
        <v>#REF!</v>
      </c>
      <c r="X30" s="5" t="e">
        <f>IF(R30="","",IF(AND(U29=U30,V29=V30,W29=W30),X29,$X$6+24))</f>
        <v>#REF!</v>
      </c>
    </row>
    <row r="31" spans="1:24" x14ac:dyDescent="0.3">
      <c r="A31" s="44">
        <v>26</v>
      </c>
      <c r="B31" s="46" t="e">
        <f>+Inscrits!#REF!</f>
        <v>#REF!</v>
      </c>
      <c r="C31" s="7" t="e">
        <f>VLOOKUP(B31,Résultats!$B$10:$E$76,3,0)</f>
        <v>#REF!</v>
      </c>
      <c r="D31" s="7" t="e">
        <f>VLOOKUP(B31,Résultats!$B$10:$E$76,4,0)</f>
        <v>#REF!</v>
      </c>
      <c r="E31" s="7" t="e">
        <f>VLOOKUP(B31,Résultats!$B$10:$E$76,2,0)</f>
        <v>#REF!</v>
      </c>
      <c r="F31" s="7" t="e">
        <f>VLOOKUP(B31,Résultats!$G$10:$J$76,3,0)</f>
        <v>#REF!</v>
      </c>
      <c r="G31" s="7" t="e">
        <f>VLOOKUP(B31,Résultats!$G$10:$J$76,4,0)</f>
        <v>#REF!</v>
      </c>
      <c r="H31" s="7" t="e">
        <f>VLOOKUP(B31,Résultats!$G$10:$J$76,2,0)</f>
        <v>#REF!</v>
      </c>
      <c r="I31" s="7" t="e">
        <f>VLOOKUP(B31,Résultats!$L$10:$O$76,3,0)</f>
        <v>#REF!</v>
      </c>
      <c r="J31" s="64" t="e">
        <f>VLOOKUP(B31,Résultats!$L$10:$O$76,4,0)</f>
        <v>#REF!</v>
      </c>
      <c r="K31" s="64" t="e">
        <f>VLOOKUP(B31,Résultats!$L$10:$O$76,2,0)</f>
        <v>#REF!</v>
      </c>
      <c r="L31" s="70" t="e">
        <f t="shared" si="6"/>
        <v>#REF!</v>
      </c>
      <c r="M31" s="71" t="e">
        <f t="shared" si="7"/>
        <v>#REF!</v>
      </c>
      <c r="N31" s="71" t="e">
        <f t="shared" si="8"/>
        <v>#REF!</v>
      </c>
      <c r="O31" s="32" t="e">
        <f t="shared" si="9"/>
        <v>#REF!</v>
      </c>
      <c r="P31" s="7" t="e">
        <f t="shared" si="10"/>
        <v>#REF!</v>
      </c>
      <c r="Q31" s="76" t="e">
        <f t="shared" si="0"/>
        <v>#REF!</v>
      </c>
      <c r="R31" s="82" t="e">
        <f>IF(B31="","",SMALL(Q$6:Q$53,ROWS(L$6:L31)))</f>
        <v>#REF!</v>
      </c>
      <c r="S31"/>
      <c r="T31" s="32" t="e">
        <f>IF(OR(B31="",L31=""),"",INDEX($B$6:$B$53,MATCH(R31,$Q$6:Q$53,0)))</f>
        <v>#REF!</v>
      </c>
      <c r="U31" s="7" t="e">
        <f t="shared" si="1"/>
        <v>#REF!</v>
      </c>
      <c r="V31" s="64" t="e">
        <f t="shared" si="2"/>
        <v>#REF!</v>
      </c>
      <c r="W31" s="47" t="e">
        <f t="shared" si="3"/>
        <v>#REF!</v>
      </c>
      <c r="X31" s="5" t="e">
        <f>IF(R31="","",IF(AND(U30=U31,V30=V31,W30=W31),X30,$X$6+25))</f>
        <v>#REF!</v>
      </c>
    </row>
    <row r="32" spans="1:24" x14ac:dyDescent="0.3">
      <c r="A32" s="44">
        <v>27</v>
      </c>
      <c r="B32" s="46" t="e">
        <f>+Inscrits!#REF!</f>
        <v>#REF!</v>
      </c>
      <c r="C32" s="7" t="e">
        <f>VLOOKUP(B32,Résultats!$B$10:$E$76,3,0)</f>
        <v>#REF!</v>
      </c>
      <c r="D32" s="7" t="e">
        <f>VLOOKUP(B32,Résultats!$B$10:$E$76,4,0)</f>
        <v>#REF!</v>
      </c>
      <c r="E32" s="7" t="e">
        <f>VLOOKUP(B32,Résultats!$B$10:$E$76,2,0)</f>
        <v>#REF!</v>
      </c>
      <c r="F32" s="7" t="e">
        <f>VLOOKUP(B32,Résultats!$G$10:$J$76,3,0)</f>
        <v>#REF!</v>
      </c>
      <c r="G32" s="7" t="e">
        <f>VLOOKUP(B32,Résultats!$G$10:$J$76,4,0)</f>
        <v>#REF!</v>
      </c>
      <c r="H32" s="7" t="e">
        <f>VLOOKUP(B32,Résultats!$G$10:$J$76,2,0)</f>
        <v>#REF!</v>
      </c>
      <c r="I32" s="7" t="e">
        <f>VLOOKUP(B32,Résultats!$L$10:$O$76,3,0)</f>
        <v>#REF!</v>
      </c>
      <c r="J32" s="64" t="e">
        <f>VLOOKUP(B32,Résultats!$L$10:$O$76,4,0)</f>
        <v>#REF!</v>
      </c>
      <c r="K32" s="64" t="e">
        <f>VLOOKUP(B32,Résultats!$L$10:$O$76,2,0)</f>
        <v>#REF!</v>
      </c>
      <c r="L32" s="70" t="e">
        <f t="shared" si="6"/>
        <v>#REF!</v>
      </c>
      <c r="M32" s="71" t="e">
        <f t="shared" si="7"/>
        <v>#REF!</v>
      </c>
      <c r="N32" s="71" t="e">
        <f t="shared" si="8"/>
        <v>#REF!</v>
      </c>
      <c r="O32" s="32" t="e">
        <f t="shared" si="9"/>
        <v>#REF!</v>
      </c>
      <c r="P32" s="7" t="e">
        <f t="shared" si="10"/>
        <v>#REF!</v>
      </c>
      <c r="Q32" s="76" t="e">
        <f t="shared" si="0"/>
        <v>#REF!</v>
      </c>
      <c r="R32" s="82" t="e">
        <f>IF(B32="","",SMALL(Q$6:Q$53,ROWS(L$6:L32)))</f>
        <v>#REF!</v>
      </c>
      <c r="S32"/>
      <c r="T32" s="32" t="e">
        <f>IF(OR(B32="",L32=""),"",INDEX($B$6:$B$53,MATCH(R32,$Q$6:Q$53,0)))</f>
        <v>#REF!</v>
      </c>
      <c r="U32" s="7" t="e">
        <f t="shared" si="1"/>
        <v>#REF!</v>
      </c>
      <c r="V32" s="64" t="e">
        <f t="shared" si="2"/>
        <v>#REF!</v>
      </c>
      <c r="W32" s="47" t="e">
        <f t="shared" si="3"/>
        <v>#REF!</v>
      </c>
      <c r="X32" s="5" t="e">
        <f>IF(R32="","",IF(AND(U31=U32,V31=V32,W31=W32),X31,$X$6+26))</f>
        <v>#REF!</v>
      </c>
    </row>
    <row r="33" spans="1:24" x14ac:dyDescent="0.3">
      <c r="A33" s="44">
        <v>28</v>
      </c>
      <c r="B33" s="46" t="e">
        <f>+Inscrits!#REF!</f>
        <v>#REF!</v>
      </c>
      <c r="C33" s="7" t="e">
        <f>VLOOKUP(B33,Résultats!$B$10:$E$76,3,0)</f>
        <v>#REF!</v>
      </c>
      <c r="D33" s="7" t="e">
        <f>VLOOKUP(B33,Résultats!$B$10:$E$76,4,0)</f>
        <v>#REF!</v>
      </c>
      <c r="E33" s="7" t="e">
        <f>VLOOKUP(B33,Résultats!$B$10:$E$76,2,0)</f>
        <v>#REF!</v>
      </c>
      <c r="F33" s="7" t="e">
        <f>VLOOKUP(B33,Résultats!$G$10:$J$76,3,0)</f>
        <v>#REF!</v>
      </c>
      <c r="G33" s="7" t="e">
        <f>VLOOKUP(B33,Résultats!$G$10:$J$76,4,0)</f>
        <v>#REF!</v>
      </c>
      <c r="H33" s="7" t="e">
        <f>VLOOKUP(B33,Résultats!$G$10:$J$76,2,0)</f>
        <v>#REF!</v>
      </c>
      <c r="I33" s="7" t="e">
        <f>VLOOKUP(B33,Résultats!$L$10:$O$76,3,0)</f>
        <v>#REF!</v>
      </c>
      <c r="J33" s="64" t="e">
        <f>VLOOKUP(B33,Résultats!$L$10:$O$76,4,0)</f>
        <v>#REF!</v>
      </c>
      <c r="K33" s="64" t="e">
        <f>VLOOKUP(B33,Résultats!$L$10:$O$76,2,0)</f>
        <v>#REF!</v>
      </c>
      <c r="L33" s="70" t="e">
        <f t="shared" si="6"/>
        <v>#REF!</v>
      </c>
      <c r="M33" s="71" t="e">
        <f t="shared" si="7"/>
        <v>#REF!</v>
      </c>
      <c r="N33" s="71" t="e">
        <f t="shared" si="8"/>
        <v>#REF!</v>
      </c>
      <c r="O33" s="32" t="e">
        <f t="shared" si="9"/>
        <v>#REF!</v>
      </c>
      <c r="P33" s="7" t="e">
        <f t="shared" si="10"/>
        <v>#REF!</v>
      </c>
      <c r="Q33" s="76" t="e">
        <f t="shared" si="0"/>
        <v>#REF!</v>
      </c>
      <c r="R33" s="82" t="e">
        <f>IF(B33="","",SMALL(Q$6:Q$53,ROWS(L$6:L33)))</f>
        <v>#REF!</v>
      </c>
      <c r="S33"/>
      <c r="T33" s="32" t="e">
        <f>IF(OR(B33="",L33=""),"",INDEX($B$6:$B$53,MATCH(R33,$Q$6:Q$53,0)))</f>
        <v>#REF!</v>
      </c>
      <c r="U33" s="7" t="e">
        <f t="shared" si="1"/>
        <v>#REF!</v>
      </c>
      <c r="V33" s="64" t="e">
        <f t="shared" si="2"/>
        <v>#REF!</v>
      </c>
      <c r="W33" s="47" t="e">
        <f t="shared" si="3"/>
        <v>#REF!</v>
      </c>
      <c r="X33" s="5" t="e">
        <f>IF(R33="","",IF(AND(U32=U33,V32=V33,W32=W33),X32,$X$6+27))</f>
        <v>#REF!</v>
      </c>
    </row>
    <row r="34" spans="1:24" x14ac:dyDescent="0.3">
      <c r="A34" s="44">
        <v>29</v>
      </c>
      <c r="B34" s="46" t="e">
        <f>+Inscrits!#REF!</f>
        <v>#REF!</v>
      </c>
      <c r="C34" s="7" t="e">
        <f>VLOOKUP(B34,Résultats!$B$10:$E$76,3,0)</f>
        <v>#REF!</v>
      </c>
      <c r="D34" s="7" t="e">
        <f>VLOOKUP(B34,Résultats!$B$10:$E$76,4,0)</f>
        <v>#REF!</v>
      </c>
      <c r="E34" s="7" t="e">
        <f>VLOOKUP(B34,Résultats!$B$10:$E$76,2,0)</f>
        <v>#REF!</v>
      </c>
      <c r="F34" s="7" t="e">
        <f>VLOOKUP(B34,Résultats!$G$10:$J$76,3,0)</f>
        <v>#REF!</v>
      </c>
      <c r="G34" s="7" t="e">
        <f>VLOOKUP(B34,Résultats!$G$10:$J$76,4,0)</f>
        <v>#REF!</v>
      </c>
      <c r="H34" s="7" t="e">
        <f>VLOOKUP(B34,Résultats!$G$10:$J$76,2,0)</f>
        <v>#REF!</v>
      </c>
      <c r="I34" s="7" t="e">
        <f>VLOOKUP(B34,Résultats!$L$10:$O$76,3,0)</f>
        <v>#REF!</v>
      </c>
      <c r="J34" s="64" t="e">
        <f>VLOOKUP(B34,Résultats!$L$10:$O$76,4,0)</f>
        <v>#REF!</v>
      </c>
      <c r="K34" s="64" t="e">
        <f>VLOOKUP(B34,Résultats!$L$10:$O$76,2,0)</f>
        <v>#REF!</v>
      </c>
      <c r="L34" s="70" t="e">
        <f t="shared" si="6"/>
        <v>#REF!</v>
      </c>
      <c r="M34" s="71" t="e">
        <f t="shared" si="7"/>
        <v>#REF!</v>
      </c>
      <c r="N34" s="71" t="e">
        <f t="shared" si="8"/>
        <v>#REF!</v>
      </c>
      <c r="O34" s="32" t="e">
        <f t="shared" si="9"/>
        <v>#REF!</v>
      </c>
      <c r="P34" s="7" t="e">
        <f t="shared" si="10"/>
        <v>#REF!</v>
      </c>
      <c r="Q34" s="76" t="e">
        <f t="shared" si="0"/>
        <v>#REF!</v>
      </c>
      <c r="R34" s="82" t="e">
        <f>IF(B34="","",SMALL(Q$6:Q$53,ROWS(L$6:L34)))</f>
        <v>#REF!</v>
      </c>
      <c r="S34"/>
      <c r="T34" s="32" t="e">
        <f>IF(OR(B34="",L34=""),"",INDEX($B$6:$B$53,MATCH(R34,$Q$6:Q$53,0)))</f>
        <v>#REF!</v>
      </c>
      <c r="U34" s="7" t="e">
        <f t="shared" si="1"/>
        <v>#REF!</v>
      </c>
      <c r="V34" s="64" t="e">
        <f t="shared" si="2"/>
        <v>#REF!</v>
      </c>
      <c r="W34" s="47" t="e">
        <f t="shared" si="3"/>
        <v>#REF!</v>
      </c>
      <c r="X34" s="5" t="e">
        <f>IF(R34="","",IF(AND(U33=U34,V33=V34,W33=W34),X33,$X$6+28))</f>
        <v>#REF!</v>
      </c>
    </row>
    <row r="35" spans="1:24" x14ac:dyDescent="0.3">
      <c r="A35" s="44">
        <v>30</v>
      </c>
      <c r="B35" s="46" t="e">
        <f>+Inscrits!#REF!</f>
        <v>#REF!</v>
      </c>
      <c r="C35" s="7" t="e">
        <f>VLOOKUP(B35,Résultats!$B$10:$E$76,3,0)</f>
        <v>#REF!</v>
      </c>
      <c r="D35" s="7" t="e">
        <f>VLOOKUP(B35,Résultats!$B$10:$E$76,4,0)</f>
        <v>#REF!</v>
      </c>
      <c r="E35" s="7" t="e">
        <f>VLOOKUP(B35,Résultats!$B$10:$E$76,2,0)</f>
        <v>#REF!</v>
      </c>
      <c r="F35" s="7" t="e">
        <f>VLOOKUP(B35,Résultats!$G$10:$J$76,3,0)</f>
        <v>#REF!</v>
      </c>
      <c r="G35" s="7" t="e">
        <f>VLOOKUP(B35,Résultats!$G$10:$J$76,4,0)</f>
        <v>#REF!</v>
      </c>
      <c r="H35" s="7" t="e">
        <f>VLOOKUP(B35,Résultats!$G$10:$J$76,2,0)</f>
        <v>#REF!</v>
      </c>
      <c r="I35" s="7" t="e">
        <f>VLOOKUP(B35,Résultats!$L$10:$O$76,3,0)</f>
        <v>#REF!</v>
      </c>
      <c r="J35" s="64" t="e">
        <f>VLOOKUP(B35,Résultats!$L$10:$O$76,4,0)</f>
        <v>#REF!</v>
      </c>
      <c r="K35" s="64" t="e">
        <f>VLOOKUP(B35,Résultats!$L$10:$O$76,2,0)</f>
        <v>#REF!</v>
      </c>
      <c r="L35" s="70" t="e">
        <f t="shared" si="6"/>
        <v>#REF!</v>
      </c>
      <c r="M35" s="71" t="e">
        <f t="shared" si="7"/>
        <v>#REF!</v>
      </c>
      <c r="N35" s="71" t="e">
        <f t="shared" si="8"/>
        <v>#REF!</v>
      </c>
      <c r="O35" s="32" t="e">
        <f t="shared" si="9"/>
        <v>#REF!</v>
      </c>
      <c r="P35" s="7" t="e">
        <f t="shared" si="10"/>
        <v>#REF!</v>
      </c>
      <c r="Q35" s="76" t="e">
        <f t="shared" si="0"/>
        <v>#REF!</v>
      </c>
      <c r="R35" s="82" t="e">
        <f>IF(B35="","",SMALL(Q$6:Q$53,ROWS(L$6:L35)))</f>
        <v>#REF!</v>
      </c>
      <c r="S35"/>
      <c r="T35" s="32" t="e">
        <f>IF(OR(B35="",L35=""),"",INDEX($B$6:$B$53,MATCH(R35,$Q$6:Q$53,0)))</f>
        <v>#REF!</v>
      </c>
      <c r="U35" s="7" t="e">
        <f t="shared" si="1"/>
        <v>#REF!</v>
      </c>
      <c r="V35" s="64" t="e">
        <f t="shared" si="2"/>
        <v>#REF!</v>
      </c>
      <c r="W35" s="47" t="e">
        <f t="shared" si="3"/>
        <v>#REF!</v>
      </c>
      <c r="X35" s="5" t="e">
        <f>IF(R35="","",IF(AND(U34=U35,V34=V35,W34=W35),X34,$X$6+29))</f>
        <v>#REF!</v>
      </c>
    </row>
    <row r="36" spans="1:24" x14ac:dyDescent="0.3">
      <c r="A36" s="44">
        <v>31</v>
      </c>
      <c r="B36" s="46" t="e">
        <f>+Inscrits!#REF!</f>
        <v>#REF!</v>
      </c>
      <c r="C36" s="7" t="e">
        <f>VLOOKUP(B36,Résultats!$B$10:$E$76,3,0)</f>
        <v>#REF!</v>
      </c>
      <c r="D36" s="7" t="e">
        <f>VLOOKUP(B36,Résultats!$B$10:$E$76,4,0)</f>
        <v>#REF!</v>
      </c>
      <c r="E36" s="7" t="e">
        <f>VLOOKUP(B36,Résultats!$B$10:$E$76,2,0)</f>
        <v>#REF!</v>
      </c>
      <c r="F36" s="7" t="e">
        <f>VLOOKUP(B36,Résultats!$G$10:$J$76,3,0)</f>
        <v>#REF!</v>
      </c>
      <c r="G36" s="7" t="e">
        <f>VLOOKUP(B36,Résultats!$G$10:$J$76,4,0)</f>
        <v>#REF!</v>
      </c>
      <c r="H36" s="7" t="e">
        <f>VLOOKUP(B36,Résultats!$G$10:$J$76,2,0)</f>
        <v>#REF!</v>
      </c>
      <c r="I36" s="7" t="e">
        <f>VLOOKUP(B36,Résultats!$L$10:$O$76,3,0)</f>
        <v>#REF!</v>
      </c>
      <c r="J36" s="64" t="e">
        <f>VLOOKUP(B36,Résultats!$L$10:$O$76,4,0)</f>
        <v>#REF!</v>
      </c>
      <c r="K36" s="64" t="e">
        <f>VLOOKUP(B36,Résultats!$L$10:$O$76,2,0)</f>
        <v>#REF!</v>
      </c>
      <c r="L36" s="70" t="e">
        <f t="shared" si="6"/>
        <v>#REF!</v>
      </c>
      <c r="M36" s="71" t="e">
        <f t="shared" si="7"/>
        <v>#REF!</v>
      </c>
      <c r="N36" s="71" t="e">
        <f t="shared" si="8"/>
        <v>#REF!</v>
      </c>
      <c r="O36" s="32" t="e">
        <f t="shared" si="9"/>
        <v>#REF!</v>
      </c>
      <c r="P36" s="7" t="e">
        <f t="shared" si="10"/>
        <v>#REF!</v>
      </c>
      <c r="Q36" s="76" t="e">
        <f t="shared" si="0"/>
        <v>#REF!</v>
      </c>
      <c r="R36" s="82" t="e">
        <f>IF(B36="","",SMALL(Q$6:Q$53,ROWS(L$6:L36)))</f>
        <v>#REF!</v>
      </c>
      <c r="S36"/>
      <c r="T36" s="32" t="e">
        <f>IF(OR(B36="",L36=""),"",INDEX($B$6:$B$53,MATCH(R36,$Q$6:Q$53,0)))</f>
        <v>#REF!</v>
      </c>
      <c r="U36" s="7" t="e">
        <f t="shared" si="1"/>
        <v>#REF!</v>
      </c>
      <c r="V36" s="64" t="e">
        <f t="shared" si="2"/>
        <v>#REF!</v>
      </c>
      <c r="W36" s="47" t="e">
        <f t="shared" si="3"/>
        <v>#REF!</v>
      </c>
      <c r="X36" s="5" t="e">
        <f>IF(R36="","",IF(AND(U35=U36,V35=V36,W35=W36),X35,$X$6+30))</f>
        <v>#REF!</v>
      </c>
    </row>
    <row r="37" spans="1:24" x14ac:dyDescent="0.3">
      <c r="A37" s="44">
        <v>32</v>
      </c>
      <c r="B37" s="46" t="e">
        <f>+Inscrits!#REF!</f>
        <v>#REF!</v>
      </c>
      <c r="C37" s="7" t="e">
        <f>VLOOKUP(B37,Résultats!$B$10:$E$76,3,0)</f>
        <v>#REF!</v>
      </c>
      <c r="D37" s="7" t="e">
        <f>VLOOKUP(B37,Résultats!$B$10:$E$76,4,0)</f>
        <v>#REF!</v>
      </c>
      <c r="E37" s="7" t="e">
        <f>VLOOKUP(B37,Résultats!$B$10:$E$76,2,0)</f>
        <v>#REF!</v>
      </c>
      <c r="F37" s="7" t="e">
        <f>VLOOKUP(B37,Résultats!$G$10:$J$76,3,0)</f>
        <v>#REF!</v>
      </c>
      <c r="G37" s="7" t="e">
        <f>VLOOKUP(B37,Résultats!$G$10:$J$76,4,0)</f>
        <v>#REF!</v>
      </c>
      <c r="H37" s="7" t="e">
        <f>VLOOKUP(B37,Résultats!$G$10:$J$76,2,0)</f>
        <v>#REF!</v>
      </c>
      <c r="I37" s="7" t="e">
        <f>VLOOKUP(B37,Résultats!$L$10:$O$76,3,0)</f>
        <v>#REF!</v>
      </c>
      <c r="J37" s="64" t="e">
        <f>VLOOKUP(B37,Résultats!$L$10:$O$76,4,0)</f>
        <v>#REF!</v>
      </c>
      <c r="K37" s="64" t="e">
        <f>VLOOKUP(B37,Résultats!$L$10:$O$76,2,0)</f>
        <v>#REF!</v>
      </c>
      <c r="L37" s="70" t="e">
        <f t="shared" si="6"/>
        <v>#REF!</v>
      </c>
      <c r="M37" s="71" t="e">
        <f t="shared" si="7"/>
        <v>#REF!</v>
      </c>
      <c r="N37" s="71" t="e">
        <f t="shared" si="8"/>
        <v>#REF!</v>
      </c>
      <c r="O37" s="32" t="e">
        <f t="shared" si="9"/>
        <v>#REF!</v>
      </c>
      <c r="P37" s="7" t="e">
        <f t="shared" si="10"/>
        <v>#REF!</v>
      </c>
      <c r="Q37" s="76" t="e">
        <f t="shared" si="0"/>
        <v>#REF!</v>
      </c>
      <c r="R37" s="82" t="e">
        <f>IF(B37="","",SMALL(Q$6:Q$53,ROWS(L$6:L37)))</f>
        <v>#REF!</v>
      </c>
      <c r="S37"/>
      <c r="T37" s="32" t="e">
        <f>IF(OR(B37="",L37=""),"",INDEX($B$6:$B$53,MATCH(R37,$Q$6:Q$53,0)))</f>
        <v>#REF!</v>
      </c>
      <c r="U37" s="7" t="e">
        <f t="shared" si="1"/>
        <v>#REF!</v>
      </c>
      <c r="V37" s="64" t="e">
        <f t="shared" si="2"/>
        <v>#REF!</v>
      </c>
      <c r="W37" s="47" t="e">
        <f t="shared" si="3"/>
        <v>#REF!</v>
      </c>
      <c r="X37" s="5" t="e">
        <f>IF(R37="","",IF(AND(U36=U37,V36=V37,W36=W37),X36,$X$6+31))</f>
        <v>#REF!</v>
      </c>
    </row>
    <row r="38" spans="1:24" x14ac:dyDescent="0.3">
      <c r="A38" s="44">
        <v>33</v>
      </c>
      <c r="B38" s="46" t="e">
        <f>+Inscrits!#REF!</f>
        <v>#REF!</v>
      </c>
      <c r="C38" s="7" t="e">
        <f>VLOOKUP(B38,Résultats!$B$10:$E$76,3,0)</f>
        <v>#REF!</v>
      </c>
      <c r="D38" s="7" t="e">
        <f>VLOOKUP(B38,Résultats!$B$10:$E$76,4,0)</f>
        <v>#REF!</v>
      </c>
      <c r="E38" s="7" t="e">
        <f>VLOOKUP(B38,Résultats!$B$10:$E$76,2,0)</f>
        <v>#REF!</v>
      </c>
      <c r="F38" s="7" t="e">
        <f>VLOOKUP(B38,Résultats!$G$10:$J$76,3,0)</f>
        <v>#REF!</v>
      </c>
      <c r="G38" s="7" t="e">
        <f>VLOOKUP(B38,Résultats!$G$10:$J$76,4,0)</f>
        <v>#REF!</v>
      </c>
      <c r="H38" s="7" t="e">
        <f>VLOOKUP(B38,Résultats!$G$10:$J$76,2,0)</f>
        <v>#REF!</v>
      </c>
      <c r="I38" s="7" t="e">
        <f>VLOOKUP(B38,Résultats!$L$10:$O$76,3,0)</f>
        <v>#REF!</v>
      </c>
      <c r="J38" s="64" t="e">
        <f>VLOOKUP(B38,Résultats!$L$10:$O$76,4,0)</f>
        <v>#REF!</v>
      </c>
      <c r="K38" s="64" t="e">
        <f>VLOOKUP(B38,Résultats!$L$10:$O$76,2,0)</f>
        <v>#REF!</v>
      </c>
      <c r="L38" s="70" t="e">
        <f t="shared" si="6"/>
        <v>#REF!</v>
      </c>
      <c r="M38" s="71" t="e">
        <f t="shared" si="7"/>
        <v>#REF!</v>
      </c>
      <c r="N38" s="71" t="e">
        <f t="shared" si="8"/>
        <v>#REF!</v>
      </c>
      <c r="O38" s="32" t="e">
        <f t="shared" si="9"/>
        <v>#REF!</v>
      </c>
      <c r="P38" s="7" t="e">
        <f t="shared" si="10"/>
        <v>#REF!</v>
      </c>
      <c r="Q38" s="76" t="e">
        <f t="shared" si="0"/>
        <v>#REF!</v>
      </c>
      <c r="R38" s="82" t="e">
        <f>IF(B38="","",SMALL(Q$6:Q$53,ROWS(L$6:L38)))</f>
        <v>#REF!</v>
      </c>
      <c r="S38"/>
      <c r="T38" s="32" t="e">
        <f>IF(OR(B38="",L38=""),"",INDEX($B$6:$B$53,MATCH(R38,$Q$6:Q$53,0)))</f>
        <v>#REF!</v>
      </c>
      <c r="U38" s="7" t="e">
        <f t="shared" si="1"/>
        <v>#REF!</v>
      </c>
      <c r="V38" s="64" t="e">
        <f t="shared" si="2"/>
        <v>#REF!</v>
      </c>
      <c r="W38" s="47" t="e">
        <f t="shared" si="3"/>
        <v>#REF!</v>
      </c>
      <c r="X38" s="5" t="e">
        <f>IF(R38="","",IF(AND(U37=U38,V37=V38,W37=W38),X37,$X$6+32))</f>
        <v>#REF!</v>
      </c>
    </row>
    <row r="39" spans="1:24" x14ac:dyDescent="0.3">
      <c r="A39" s="44">
        <v>34</v>
      </c>
      <c r="B39" s="46" t="e">
        <f>+Inscrits!#REF!</f>
        <v>#REF!</v>
      </c>
      <c r="C39" s="7" t="e">
        <f>VLOOKUP(B39,Résultats!$B$10:$E$76,3,0)</f>
        <v>#REF!</v>
      </c>
      <c r="D39" s="7" t="e">
        <f>VLOOKUP(B39,Résultats!$B$10:$E$76,4,0)</f>
        <v>#REF!</v>
      </c>
      <c r="E39" s="7" t="e">
        <f>VLOOKUP(B39,Résultats!$B$10:$E$76,2,0)</f>
        <v>#REF!</v>
      </c>
      <c r="F39" s="7" t="e">
        <f>VLOOKUP(B39,Résultats!$G$10:$J$76,3,0)</f>
        <v>#REF!</v>
      </c>
      <c r="G39" s="7" t="e">
        <f>VLOOKUP(B39,Résultats!$G$10:$J$76,4,0)</f>
        <v>#REF!</v>
      </c>
      <c r="H39" s="7" t="e">
        <f>VLOOKUP(B39,Résultats!$G$10:$J$76,2,0)</f>
        <v>#REF!</v>
      </c>
      <c r="I39" s="7" t="e">
        <f>VLOOKUP(B39,Résultats!$L$10:$O$76,3,0)</f>
        <v>#REF!</v>
      </c>
      <c r="J39" s="64" t="e">
        <f>VLOOKUP(B39,Résultats!$L$10:$O$76,4,0)</f>
        <v>#REF!</v>
      </c>
      <c r="K39" s="64" t="e">
        <f>VLOOKUP(B39,Résultats!$L$10:$O$76,2,0)</f>
        <v>#REF!</v>
      </c>
      <c r="L39" s="70" t="e">
        <f t="shared" si="6"/>
        <v>#REF!</v>
      </c>
      <c r="M39" s="71" t="e">
        <f t="shared" si="7"/>
        <v>#REF!</v>
      </c>
      <c r="N39" s="71" t="e">
        <f t="shared" si="8"/>
        <v>#REF!</v>
      </c>
      <c r="O39" s="32" t="e">
        <f t="shared" si="9"/>
        <v>#REF!</v>
      </c>
      <c r="P39" s="7" t="e">
        <f t="shared" si="10"/>
        <v>#REF!</v>
      </c>
      <c r="Q39" s="76" t="e">
        <f t="shared" si="0"/>
        <v>#REF!</v>
      </c>
      <c r="R39" s="82" t="e">
        <f>IF(B39="","",SMALL(Q$6:Q$53,ROWS(L$6:L39)))</f>
        <v>#REF!</v>
      </c>
      <c r="S39"/>
      <c r="T39" s="32" t="e">
        <f>IF(OR(B39="",L39=""),"",INDEX($B$6:$B$53,MATCH(R39,$Q$6:Q$53,0)))</f>
        <v>#REF!</v>
      </c>
      <c r="U39" s="7" t="e">
        <f t="shared" si="1"/>
        <v>#REF!</v>
      </c>
      <c r="V39" s="64" t="e">
        <f t="shared" si="2"/>
        <v>#REF!</v>
      </c>
      <c r="W39" s="47" t="e">
        <f t="shared" si="3"/>
        <v>#REF!</v>
      </c>
      <c r="X39" s="5" t="e">
        <f>IF(R39="","",IF(AND(U38=U39,V38=V39,W38=W39),X38,$X$6+33))</f>
        <v>#REF!</v>
      </c>
    </row>
    <row r="40" spans="1:24" x14ac:dyDescent="0.3">
      <c r="A40" s="44">
        <v>35</v>
      </c>
      <c r="B40" s="46" t="e">
        <f>+Inscrits!#REF!</f>
        <v>#REF!</v>
      </c>
      <c r="C40" s="7" t="e">
        <f>VLOOKUP(B40,Résultats!$B$10:$E$76,3,0)</f>
        <v>#REF!</v>
      </c>
      <c r="D40" s="7" t="e">
        <f>VLOOKUP(B40,Résultats!$B$10:$E$76,4,0)</f>
        <v>#REF!</v>
      </c>
      <c r="E40" s="7" t="e">
        <f>VLOOKUP(B40,Résultats!$B$10:$E$76,2,0)</f>
        <v>#REF!</v>
      </c>
      <c r="F40" s="7" t="e">
        <f>VLOOKUP(B40,Résultats!$G$10:$J$76,3,0)</f>
        <v>#REF!</v>
      </c>
      <c r="G40" s="7" t="e">
        <f>VLOOKUP(B40,Résultats!$G$10:$J$76,4,0)</f>
        <v>#REF!</v>
      </c>
      <c r="H40" s="7" t="e">
        <f>VLOOKUP(B40,Résultats!$G$10:$J$76,2,0)</f>
        <v>#REF!</v>
      </c>
      <c r="I40" s="7" t="e">
        <f>VLOOKUP(B40,Résultats!$L$10:$O$76,3,0)</f>
        <v>#REF!</v>
      </c>
      <c r="J40" s="64" t="e">
        <f>VLOOKUP(B40,Résultats!$L$10:$O$76,4,0)</f>
        <v>#REF!</v>
      </c>
      <c r="K40" s="64" t="e">
        <f>VLOOKUP(B40,Résultats!$L$10:$O$76,2,0)</f>
        <v>#REF!</v>
      </c>
      <c r="L40" s="70" t="e">
        <f t="shared" si="6"/>
        <v>#REF!</v>
      </c>
      <c r="M40" s="71" t="e">
        <f t="shared" si="7"/>
        <v>#REF!</v>
      </c>
      <c r="N40" s="71" t="e">
        <f t="shared" si="8"/>
        <v>#REF!</v>
      </c>
      <c r="O40" s="32" t="e">
        <f t="shared" si="9"/>
        <v>#REF!</v>
      </c>
      <c r="P40" s="7" t="e">
        <f t="shared" si="10"/>
        <v>#REF!</v>
      </c>
      <c r="Q40" s="76" t="e">
        <f t="shared" si="0"/>
        <v>#REF!</v>
      </c>
      <c r="R40" s="82" t="e">
        <f>IF(B40="","",SMALL(Q$6:Q$53,ROWS(L$6:L40)))</f>
        <v>#REF!</v>
      </c>
      <c r="S40"/>
      <c r="T40" s="32" t="e">
        <f>IF(OR(B40="",L40=""),"",INDEX($B$6:$B$53,MATCH(R40,$Q$6:Q$53,0)))</f>
        <v>#REF!</v>
      </c>
      <c r="U40" s="7" t="e">
        <f t="shared" si="1"/>
        <v>#REF!</v>
      </c>
      <c r="V40" s="64" t="e">
        <f t="shared" si="2"/>
        <v>#REF!</v>
      </c>
      <c r="W40" s="47" t="e">
        <f t="shared" si="3"/>
        <v>#REF!</v>
      </c>
      <c r="X40" s="5" t="e">
        <f>IF(R40="","",IF(AND(U39=U40,V39=V40,W39=W40),X39,$X$6+34))</f>
        <v>#REF!</v>
      </c>
    </row>
    <row r="41" spans="1:24" x14ac:dyDescent="0.3">
      <c r="A41" s="44">
        <v>36</v>
      </c>
      <c r="B41" s="46" t="e">
        <f>+Inscrits!#REF!</f>
        <v>#REF!</v>
      </c>
      <c r="C41" s="7" t="e">
        <f>VLOOKUP(B41,Résultats!$B$10:$E$76,3,0)</f>
        <v>#REF!</v>
      </c>
      <c r="D41" s="7" t="e">
        <f>VLOOKUP(B41,Résultats!$B$10:$E$76,4,0)</f>
        <v>#REF!</v>
      </c>
      <c r="E41" s="7" t="e">
        <f>VLOOKUP(B41,Résultats!$B$10:$E$76,2,0)</f>
        <v>#REF!</v>
      </c>
      <c r="F41" s="7" t="e">
        <f>VLOOKUP(B41,Résultats!$G$10:$J$76,3,0)</f>
        <v>#REF!</v>
      </c>
      <c r="G41" s="7" t="e">
        <f>VLOOKUP(B41,Résultats!$G$10:$J$76,4,0)</f>
        <v>#REF!</v>
      </c>
      <c r="H41" s="7" t="e">
        <f>VLOOKUP(B41,Résultats!$G$10:$J$76,2,0)</f>
        <v>#REF!</v>
      </c>
      <c r="I41" s="7" t="e">
        <f>VLOOKUP(B41,Résultats!$L$10:$O$76,3,0)</f>
        <v>#REF!</v>
      </c>
      <c r="J41" s="64" t="e">
        <f>VLOOKUP(B41,Résultats!$L$10:$O$76,4,0)</f>
        <v>#REF!</v>
      </c>
      <c r="K41" s="64" t="e">
        <f>VLOOKUP(B41,Résultats!$L$10:$O$76,2,0)</f>
        <v>#REF!</v>
      </c>
      <c r="L41" s="70" t="e">
        <f t="shared" si="6"/>
        <v>#REF!</v>
      </c>
      <c r="M41" s="71" t="e">
        <f t="shared" si="7"/>
        <v>#REF!</v>
      </c>
      <c r="N41" s="71" t="e">
        <f t="shared" si="8"/>
        <v>#REF!</v>
      </c>
      <c r="O41" s="32" t="e">
        <f t="shared" si="9"/>
        <v>#REF!</v>
      </c>
      <c r="P41" s="7" t="e">
        <f t="shared" si="10"/>
        <v>#REF!</v>
      </c>
      <c r="Q41" s="76" t="e">
        <f t="shared" si="0"/>
        <v>#REF!</v>
      </c>
      <c r="R41" s="82" t="e">
        <f>IF(B41="","",SMALL(Q$6:Q$53,ROWS(L$6:L41)))</f>
        <v>#REF!</v>
      </c>
      <c r="S41"/>
      <c r="T41" s="32" t="e">
        <f>IF(OR(B41="",L41=""),"",INDEX($B$6:$B$53,MATCH(R41,$Q$6:Q$53,0)))</f>
        <v>#REF!</v>
      </c>
      <c r="U41" s="7" t="e">
        <f t="shared" si="1"/>
        <v>#REF!</v>
      </c>
      <c r="V41" s="64" t="e">
        <f t="shared" si="2"/>
        <v>#REF!</v>
      </c>
      <c r="W41" s="47" t="e">
        <f t="shared" si="3"/>
        <v>#REF!</v>
      </c>
      <c r="X41" s="5" t="e">
        <f>IF(R41="","",IF(AND(U40=U41,V40=V41,W40=W41),X40,$X$6+35))</f>
        <v>#REF!</v>
      </c>
    </row>
    <row r="42" spans="1:24" x14ac:dyDescent="0.3">
      <c r="A42" s="44">
        <v>37</v>
      </c>
      <c r="B42" s="46" t="e">
        <f>+Inscrits!#REF!</f>
        <v>#REF!</v>
      </c>
      <c r="C42" s="7" t="e">
        <f>VLOOKUP(B42,Résultats!$B$10:$E$76,3,0)</f>
        <v>#REF!</v>
      </c>
      <c r="D42" s="7" t="e">
        <f>VLOOKUP(B42,Résultats!$B$10:$E$76,4,0)</f>
        <v>#REF!</v>
      </c>
      <c r="E42" s="7" t="e">
        <f>VLOOKUP(B42,Résultats!$B$10:$E$76,2,0)</f>
        <v>#REF!</v>
      </c>
      <c r="F42" s="7" t="e">
        <f>VLOOKUP(B42,Résultats!$G$10:$J$76,3,0)</f>
        <v>#REF!</v>
      </c>
      <c r="G42" s="7" t="e">
        <f>VLOOKUP(B42,Résultats!$G$10:$J$76,4,0)</f>
        <v>#REF!</v>
      </c>
      <c r="H42" s="7" t="e">
        <f>VLOOKUP(B42,Résultats!$G$10:$J$76,2,0)</f>
        <v>#REF!</v>
      </c>
      <c r="I42" s="7" t="e">
        <f>VLOOKUP(B42,Résultats!$L$10:$O$76,3,0)</f>
        <v>#REF!</v>
      </c>
      <c r="J42" s="64" t="e">
        <f>VLOOKUP(B42,Résultats!$L$10:$O$76,4,0)</f>
        <v>#REF!</v>
      </c>
      <c r="K42" s="64" t="e">
        <f>VLOOKUP(B42,Résultats!$L$10:$O$76,2,0)</f>
        <v>#REF!</v>
      </c>
      <c r="L42" s="70" t="e">
        <f t="shared" si="6"/>
        <v>#REF!</v>
      </c>
      <c r="M42" s="71" t="e">
        <f t="shared" si="7"/>
        <v>#REF!</v>
      </c>
      <c r="N42" s="71" t="e">
        <f t="shared" si="8"/>
        <v>#REF!</v>
      </c>
      <c r="O42" s="32" t="e">
        <f t="shared" si="9"/>
        <v>#REF!</v>
      </c>
      <c r="P42" s="7" t="e">
        <f t="shared" si="10"/>
        <v>#REF!</v>
      </c>
      <c r="Q42" s="76" t="e">
        <f t="shared" si="0"/>
        <v>#REF!</v>
      </c>
      <c r="R42" s="82" t="e">
        <f>IF(B42="","",SMALL(Q$6:Q$53,ROWS(L$6:L42)))</f>
        <v>#REF!</v>
      </c>
      <c r="S42"/>
      <c r="T42" s="32" t="e">
        <f>IF(OR(B42="",L42=""),"",INDEX($B$6:$B$53,MATCH(R42,$Q$6:Q$53,0)))</f>
        <v>#REF!</v>
      </c>
      <c r="U42" s="7" t="e">
        <f t="shared" si="1"/>
        <v>#REF!</v>
      </c>
      <c r="V42" s="64" t="e">
        <f t="shared" si="2"/>
        <v>#REF!</v>
      </c>
      <c r="W42" s="47" t="e">
        <f t="shared" si="3"/>
        <v>#REF!</v>
      </c>
      <c r="X42" s="5" t="e">
        <f>IF(R42="","",IF(AND(U41=U42,V41=V42,W41=W42),X41,$X$6+36))</f>
        <v>#REF!</v>
      </c>
    </row>
    <row r="43" spans="1:24" x14ac:dyDescent="0.3">
      <c r="A43" s="44">
        <v>38</v>
      </c>
      <c r="B43" s="46" t="e">
        <f>+Inscrits!#REF!</f>
        <v>#REF!</v>
      </c>
      <c r="C43" s="7" t="e">
        <f>VLOOKUP(B43,Résultats!$B$10:$E$76,3,0)</f>
        <v>#REF!</v>
      </c>
      <c r="D43" s="7" t="e">
        <f>VLOOKUP(B43,Résultats!$B$10:$E$76,4,0)</f>
        <v>#REF!</v>
      </c>
      <c r="E43" s="7" t="e">
        <f>VLOOKUP(B43,Résultats!$B$10:$E$76,2,0)</f>
        <v>#REF!</v>
      </c>
      <c r="F43" s="7" t="e">
        <f>VLOOKUP(B43,Résultats!$G$10:$J$76,3,0)</f>
        <v>#REF!</v>
      </c>
      <c r="G43" s="7" t="e">
        <f>VLOOKUP(B43,Résultats!$G$10:$J$76,4,0)</f>
        <v>#REF!</v>
      </c>
      <c r="H43" s="7" t="e">
        <f>VLOOKUP(B43,Résultats!$G$10:$J$76,2,0)</f>
        <v>#REF!</v>
      </c>
      <c r="I43" s="7" t="e">
        <f>VLOOKUP(B43,Résultats!$L$10:$O$76,3,0)</f>
        <v>#REF!</v>
      </c>
      <c r="J43" s="64" t="e">
        <f>VLOOKUP(B43,Résultats!$L$10:$O$76,4,0)</f>
        <v>#REF!</v>
      </c>
      <c r="K43" s="64" t="e">
        <f>VLOOKUP(B43,Résultats!$L$10:$O$76,2,0)</f>
        <v>#REF!</v>
      </c>
      <c r="L43" s="70" t="e">
        <f t="shared" si="6"/>
        <v>#REF!</v>
      </c>
      <c r="M43" s="71" t="e">
        <f t="shared" si="7"/>
        <v>#REF!</v>
      </c>
      <c r="N43" s="71" t="e">
        <f t="shared" si="8"/>
        <v>#REF!</v>
      </c>
      <c r="O43" s="32" t="e">
        <f t="shared" si="9"/>
        <v>#REF!</v>
      </c>
      <c r="P43" s="7" t="e">
        <f t="shared" si="10"/>
        <v>#REF!</v>
      </c>
      <c r="Q43" s="76" t="e">
        <f t="shared" si="0"/>
        <v>#REF!</v>
      </c>
      <c r="R43" s="82" t="e">
        <f>IF(B43="","",SMALL(Q$6:Q$53,ROWS(L$6:L43)))</f>
        <v>#REF!</v>
      </c>
      <c r="S43"/>
      <c r="T43" s="32" t="e">
        <f>IF(OR(B43="",L43=""),"",INDEX($B$6:$B$53,MATCH(R43,$Q$6:Q$53,0)))</f>
        <v>#REF!</v>
      </c>
      <c r="U43" s="7" t="e">
        <f t="shared" si="1"/>
        <v>#REF!</v>
      </c>
      <c r="V43" s="64" t="e">
        <f t="shared" si="2"/>
        <v>#REF!</v>
      </c>
      <c r="W43" s="47" t="e">
        <f t="shared" si="3"/>
        <v>#REF!</v>
      </c>
      <c r="X43" s="5" t="e">
        <f>IF(R43="","",IF(AND(U42=U43,V42=V43,W42=W43),X42,$X$6+37))</f>
        <v>#REF!</v>
      </c>
    </row>
    <row r="44" spans="1:24" x14ac:dyDescent="0.3">
      <c r="A44" s="44">
        <v>39</v>
      </c>
      <c r="B44" s="46" t="e">
        <f>+Inscrits!#REF!</f>
        <v>#REF!</v>
      </c>
      <c r="C44" s="7" t="e">
        <f>VLOOKUP(B44,Résultats!$B$10:$E$76,3,0)</f>
        <v>#REF!</v>
      </c>
      <c r="D44" s="7" t="e">
        <f>VLOOKUP(B44,Résultats!$B$10:$E$76,4,0)</f>
        <v>#REF!</v>
      </c>
      <c r="E44" s="7" t="e">
        <f>VLOOKUP(B44,Résultats!$B$10:$E$76,2,0)</f>
        <v>#REF!</v>
      </c>
      <c r="F44" s="7" t="e">
        <f>VLOOKUP(B44,Résultats!$G$10:$J$76,3,0)</f>
        <v>#REF!</v>
      </c>
      <c r="G44" s="7" t="e">
        <f>VLOOKUP(B44,Résultats!$G$10:$J$76,4,0)</f>
        <v>#REF!</v>
      </c>
      <c r="H44" s="7" t="e">
        <f>VLOOKUP(B44,Résultats!$G$10:$J$76,2,0)</f>
        <v>#REF!</v>
      </c>
      <c r="I44" s="7" t="e">
        <f>VLOOKUP(B44,Résultats!$L$10:$O$76,3,0)</f>
        <v>#REF!</v>
      </c>
      <c r="J44" s="64" t="e">
        <f>VLOOKUP(B44,Résultats!$L$10:$O$76,4,0)</f>
        <v>#REF!</v>
      </c>
      <c r="K44" s="64" t="e">
        <f>VLOOKUP(B44,Résultats!$L$10:$O$76,2,0)</f>
        <v>#REF!</v>
      </c>
      <c r="L44" s="70" t="e">
        <f t="shared" ref="L44:L59" si="11">SUMIFS(C44:I44,$C$5:$I$5,"Pts",C44:I44,"&lt;&gt;#N/A")</f>
        <v>#REF!</v>
      </c>
      <c r="M44" s="71" t="e">
        <f t="shared" ref="M44:M59" si="12">SUMIFS(D44:J44,$D$5:$J$5,"GA",D44:J44,"&lt;&gt;#N/A")</f>
        <v>#REF!</v>
      </c>
      <c r="N44" s="71" t="e">
        <f t="shared" ref="N44:N59" si="13">SUMIFS(E44:K44,$E$5:$K$5,"Score",E44:K44,"&lt;&gt;#N/A")</f>
        <v>#REF!</v>
      </c>
      <c r="O44" s="32" t="e">
        <f t="shared" ref="O44:O59" si="14">IF(M44="","",IF(M44&lt;0,M44,0))</f>
        <v>#REF!</v>
      </c>
      <c r="P44" s="7" t="e">
        <f t="shared" ref="P44:P59" si="15">IF(M44="","",IF(M44&gt;0,M44,0))</f>
        <v>#REF!</v>
      </c>
      <c r="Q44" s="76" t="e">
        <f t="shared" si="0"/>
        <v>#REF!</v>
      </c>
      <c r="R44" s="82" t="e">
        <f>IF(B44="","",SMALL(Q$6:Q$53,ROWS(L$6:L44)))</f>
        <v>#REF!</v>
      </c>
      <c r="S44"/>
      <c r="T44" s="32" t="e">
        <f>IF(OR(B44="",L44=""),"",INDEX($B$6:$B$53,MATCH(R44,$Q$6:Q$53,0)))</f>
        <v>#REF!</v>
      </c>
      <c r="U44" s="7" t="e">
        <f t="shared" si="1"/>
        <v>#REF!</v>
      </c>
      <c r="V44" s="64" t="e">
        <f t="shared" si="2"/>
        <v>#REF!</v>
      </c>
      <c r="W44" s="47" t="e">
        <f t="shared" si="3"/>
        <v>#REF!</v>
      </c>
      <c r="X44" s="5" t="e">
        <f>IF(R44="","",IF(AND(U43=U44,V43=V44,W43=W44),X43,$X$6+38))</f>
        <v>#REF!</v>
      </c>
    </row>
    <row r="45" spans="1:24" x14ac:dyDescent="0.3">
      <c r="A45" s="44">
        <v>40</v>
      </c>
      <c r="B45" s="46" t="e">
        <f>+Inscrits!#REF!</f>
        <v>#REF!</v>
      </c>
      <c r="C45" s="7" t="e">
        <f>VLOOKUP(B45,Résultats!$B$10:$E$76,3,0)</f>
        <v>#REF!</v>
      </c>
      <c r="D45" s="7" t="e">
        <f>VLOOKUP(B45,Résultats!$B$10:$E$76,4,0)</f>
        <v>#REF!</v>
      </c>
      <c r="E45" s="7" t="e">
        <f>VLOOKUP(B45,Résultats!$B$10:$E$76,2,0)</f>
        <v>#REF!</v>
      </c>
      <c r="F45" s="7" t="e">
        <f>VLOOKUP(B45,Résultats!$G$10:$J$76,3,0)</f>
        <v>#REF!</v>
      </c>
      <c r="G45" s="7" t="e">
        <f>VLOOKUP(B45,Résultats!$G$10:$J$76,4,0)</f>
        <v>#REF!</v>
      </c>
      <c r="H45" s="7" t="e">
        <f>VLOOKUP(B45,Résultats!$G$10:$J$76,2,0)</f>
        <v>#REF!</v>
      </c>
      <c r="I45" s="7" t="e">
        <f>VLOOKUP(B45,Résultats!$L$10:$O$76,3,0)</f>
        <v>#REF!</v>
      </c>
      <c r="J45" s="64" t="e">
        <f>VLOOKUP(B45,Résultats!$L$10:$O$76,4,0)</f>
        <v>#REF!</v>
      </c>
      <c r="K45" s="64" t="e">
        <f>VLOOKUP(B45,Résultats!$L$10:$O$76,2,0)</f>
        <v>#REF!</v>
      </c>
      <c r="L45" s="70" t="e">
        <f t="shared" si="11"/>
        <v>#REF!</v>
      </c>
      <c r="M45" s="71" t="e">
        <f t="shared" si="12"/>
        <v>#REF!</v>
      </c>
      <c r="N45" s="71" t="e">
        <f t="shared" si="13"/>
        <v>#REF!</v>
      </c>
      <c r="O45" s="32" t="e">
        <f t="shared" si="14"/>
        <v>#REF!</v>
      </c>
      <c r="P45" s="7" t="e">
        <f t="shared" si="15"/>
        <v>#REF!</v>
      </c>
      <c r="Q45" s="76" t="e">
        <f t="shared" si="0"/>
        <v>#REF!</v>
      </c>
      <c r="R45" s="82" t="e">
        <f>IF(B45="","",SMALL(Q$6:Q$53,ROWS(L$6:L45)))</f>
        <v>#REF!</v>
      </c>
      <c r="S45"/>
      <c r="T45" s="32" t="e">
        <f>IF(OR(B45="",L45=""),"",INDEX($B$6:$B$53,MATCH(R45,$Q$6:Q$53,0)))</f>
        <v>#REF!</v>
      </c>
      <c r="U45" s="7" t="e">
        <f t="shared" si="1"/>
        <v>#REF!</v>
      </c>
      <c r="V45" s="64" t="e">
        <f t="shared" si="2"/>
        <v>#REF!</v>
      </c>
      <c r="W45" s="47" t="e">
        <f t="shared" si="3"/>
        <v>#REF!</v>
      </c>
      <c r="X45" s="5" t="e">
        <f>IF(R45="","",IF(AND(U44=U45,V44=V45,W44=W45),X44,$X$6+39))</f>
        <v>#REF!</v>
      </c>
    </row>
    <row r="46" spans="1:24" x14ac:dyDescent="0.3">
      <c r="A46" s="44">
        <v>41</v>
      </c>
      <c r="B46" s="46" t="e">
        <f>+Inscrits!#REF!</f>
        <v>#REF!</v>
      </c>
      <c r="C46" s="7" t="e">
        <f>VLOOKUP(B46,Résultats!$B$10:$E$76,3,0)</f>
        <v>#REF!</v>
      </c>
      <c r="D46" s="7" t="e">
        <f>VLOOKUP(B46,Résultats!$B$10:$E$76,4,0)</f>
        <v>#REF!</v>
      </c>
      <c r="E46" s="7" t="e">
        <f>VLOOKUP(B46,Résultats!$B$10:$E$76,2,0)</f>
        <v>#REF!</v>
      </c>
      <c r="F46" s="7" t="e">
        <f>VLOOKUP(B46,Résultats!$G$10:$J$76,3,0)</f>
        <v>#REF!</v>
      </c>
      <c r="G46" s="7" t="e">
        <f>VLOOKUP(B46,Résultats!$G$10:$J$76,4,0)</f>
        <v>#REF!</v>
      </c>
      <c r="H46" s="7" t="e">
        <f>VLOOKUP(B46,Résultats!$G$10:$J$76,2,0)</f>
        <v>#REF!</v>
      </c>
      <c r="I46" s="7" t="e">
        <f>VLOOKUP(B46,Résultats!$L$10:$O$76,3,0)</f>
        <v>#REF!</v>
      </c>
      <c r="J46" s="64" t="e">
        <f>VLOOKUP(B46,Résultats!$L$10:$O$76,4,0)</f>
        <v>#REF!</v>
      </c>
      <c r="K46" s="64" t="e">
        <f>VLOOKUP(B46,Résultats!$L$10:$O$76,2,0)</f>
        <v>#REF!</v>
      </c>
      <c r="L46" s="70" t="e">
        <f t="shared" si="11"/>
        <v>#REF!</v>
      </c>
      <c r="M46" s="71" t="e">
        <f t="shared" si="12"/>
        <v>#REF!</v>
      </c>
      <c r="N46" s="71" t="e">
        <f t="shared" si="13"/>
        <v>#REF!</v>
      </c>
      <c r="O46" s="32" t="e">
        <f t="shared" si="14"/>
        <v>#REF!</v>
      </c>
      <c r="P46" s="7" t="e">
        <f t="shared" si="15"/>
        <v>#REF!</v>
      </c>
      <c r="Q46" s="76" t="e">
        <f t="shared" si="0"/>
        <v>#REF!</v>
      </c>
      <c r="R46" s="82" t="e">
        <f>IF(B46="","",SMALL(Q$6:Q$53,ROWS(L$6:L46)))</f>
        <v>#REF!</v>
      </c>
      <c r="S46"/>
      <c r="T46" s="32" t="e">
        <f>IF(OR(B46="",L46=""),"",INDEX($B$6:$B$53,MATCH(R46,$Q$6:Q$53,0)))</f>
        <v>#REF!</v>
      </c>
      <c r="U46" s="7" t="e">
        <f t="shared" si="1"/>
        <v>#REF!</v>
      </c>
      <c r="V46" s="64" t="e">
        <f t="shared" si="2"/>
        <v>#REF!</v>
      </c>
      <c r="W46" s="47" t="e">
        <f t="shared" si="3"/>
        <v>#REF!</v>
      </c>
      <c r="X46" s="5" t="e">
        <f>IF(R46="","",IF(AND(U45=U46,V45=V46,W45=W46),X45,$X$6+40))</f>
        <v>#REF!</v>
      </c>
    </row>
    <row r="47" spans="1:24" x14ac:dyDescent="0.3">
      <c r="A47" s="44">
        <v>42</v>
      </c>
      <c r="B47" s="46" t="e">
        <f>+Inscrits!#REF!</f>
        <v>#REF!</v>
      </c>
      <c r="C47" s="7" t="e">
        <f>VLOOKUP(B47,Résultats!$B$10:$E$76,3,0)</f>
        <v>#REF!</v>
      </c>
      <c r="D47" s="7" t="e">
        <f>VLOOKUP(B47,Résultats!$B$10:$E$76,4,0)</f>
        <v>#REF!</v>
      </c>
      <c r="E47" s="7" t="e">
        <f>VLOOKUP(B47,Résultats!$B$10:$E$76,2,0)</f>
        <v>#REF!</v>
      </c>
      <c r="F47" s="7" t="e">
        <f>VLOOKUP(B47,Résultats!$G$10:$J$76,3,0)</f>
        <v>#REF!</v>
      </c>
      <c r="G47" s="7" t="e">
        <f>VLOOKUP(B47,Résultats!$G$10:$J$76,4,0)</f>
        <v>#REF!</v>
      </c>
      <c r="H47" s="7" t="e">
        <f>VLOOKUP(B47,Résultats!$G$10:$J$76,2,0)</f>
        <v>#REF!</v>
      </c>
      <c r="I47" s="7" t="e">
        <f>VLOOKUP(B47,Résultats!$L$10:$O$76,3,0)</f>
        <v>#REF!</v>
      </c>
      <c r="J47" s="64" t="e">
        <f>VLOOKUP(B47,Résultats!$L$10:$O$76,4,0)</f>
        <v>#REF!</v>
      </c>
      <c r="K47" s="64" t="e">
        <f>VLOOKUP(B47,Résultats!$L$10:$O$76,2,0)</f>
        <v>#REF!</v>
      </c>
      <c r="L47" s="70" t="e">
        <f t="shared" si="11"/>
        <v>#REF!</v>
      </c>
      <c r="M47" s="71" t="e">
        <f t="shared" si="12"/>
        <v>#REF!</v>
      </c>
      <c r="N47" s="71" t="e">
        <f t="shared" si="13"/>
        <v>#REF!</v>
      </c>
      <c r="O47" s="32" t="e">
        <f t="shared" si="14"/>
        <v>#REF!</v>
      </c>
      <c r="P47" s="7" t="e">
        <f t="shared" si="15"/>
        <v>#REF!</v>
      </c>
      <c r="Q47" s="76" t="e">
        <f t="shared" si="0"/>
        <v>#REF!</v>
      </c>
      <c r="R47" s="82" t="e">
        <f>IF(B47="","",SMALL(Q$6:Q$53,ROWS(L$6:L47)))</f>
        <v>#REF!</v>
      </c>
      <c r="S47"/>
      <c r="T47" s="32" t="e">
        <f>IF(OR(B47="",L47=""),"",INDEX($B$6:$B$53,MATCH(R47,$Q$6:Q$53,0)))</f>
        <v>#REF!</v>
      </c>
      <c r="U47" s="7" t="e">
        <f t="shared" si="1"/>
        <v>#REF!</v>
      </c>
      <c r="V47" s="64" t="e">
        <f t="shared" si="2"/>
        <v>#REF!</v>
      </c>
      <c r="W47" s="47" t="e">
        <f t="shared" si="3"/>
        <v>#REF!</v>
      </c>
      <c r="X47" s="5" t="e">
        <f>IF(R47="","",IF(AND(U46=U47,V46=V47,W46=W47),X46,$X$6+41))</f>
        <v>#REF!</v>
      </c>
    </row>
    <row r="48" spans="1:24" x14ac:dyDescent="0.3">
      <c r="A48" s="44">
        <v>43</v>
      </c>
      <c r="B48" s="46" t="e">
        <f>+Inscrits!#REF!</f>
        <v>#REF!</v>
      </c>
      <c r="C48" s="7" t="e">
        <f>VLOOKUP(B48,Résultats!$B$10:$E$76,3,0)</f>
        <v>#REF!</v>
      </c>
      <c r="D48" s="7" t="e">
        <f>VLOOKUP(B48,Résultats!$B$10:$E$76,4,0)</f>
        <v>#REF!</v>
      </c>
      <c r="E48" s="7" t="e">
        <f>VLOOKUP(B48,Résultats!$B$10:$E$76,2,0)</f>
        <v>#REF!</v>
      </c>
      <c r="F48" s="7" t="e">
        <f>VLOOKUP(B48,Résultats!$G$10:$J$76,3,0)</f>
        <v>#REF!</v>
      </c>
      <c r="G48" s="7" t="e">
        <f>VLOOKUP(B48,Résultats!$G$10:$J$76,4,0)</f>
        <v>#REF!</v>
      </c>
      <c r="H48" s="7" t="e">
        <f>VLOOKUP(B48,Résultats!$G$10:$J$76,2,0)</f>
        <v>#REF!</v>
      </c>
      <c r="I48" s="7" t="e">
        <f>VLOOKUP(B48,Résultats!$L$10:$O$76,3,0)</f>
        <v>#REF!</v>
      </c>
      <c r="J48" s="64" t="e">
        <f>VLOOKUP(B48,Résultats!$L$10:$O$76,4,0)</f>
        <v>#REF!</v>
      </c>
      <c r="K48" s="64" t="e">
        <f>VLOOKUP(B48,Résultats!$L$10:$O$76,2,0)</f>
        <v>#REF!</v>
      </c>
      <c r="L48" s="70" t="e">
        <f t="shared" si="11"/>
        <v>#REF!</v>
      </c>
      <c r="M48" s="71" t="e">
        <f t="shared" si="12"/>
        <v>#REF!</v>
      </c>
      <c r="N48" s="71" t="e">
        <f t="shared" si="13"/>
        <v>#REF!</v>
      </c>
      <c r="O48" s="32" t="e">
        <f t="shared" si="14"/>
        <v>#REF!</v>
      </c>
      <c r="P48" s="7" t="e">
        <f t="shared" si="15"/>
        <v>#REF!</v>
      </c>
      <c r="Q48" s="76" t="e">
        <f t="shared" si="0"/>
        <v>#REF!</v>
      </c>
      <c r="R48" s="82" t="e">
        <f>IF(B48="","",SMALL(Q$6:Q$53,ROWS(L$6:L48)))</f>
        <v>#REF!</v>
      </c>
      <c r="S48"/>
      <c r="T48" s="32" t="e">
        <f>IF(OR(B48="",L48=""),"",INDEX($B$6:$B$53,MATCH(R48,$Q$6:Q$53,0)))</f>
        <v>#REF!</v>
      </c>
      <c r="U48" s="7" t="e">
        <f t="shared" si="1"/>
        <v>#REF!</v>
      </c>
      <c r="V48" s="64" t="e">
        <f t="shared" si="2"/>
        <v>#REF!</v>
      </c>
      <c r="W48" s="47" t="e">
        <f t="shared" si="3"/>
        <v>#REF!</v>
      </c>
      <c r="X48" s="5" t="e">
        <f>IF(R48="","",IF(AND(U47=U48,V47=V48,W47=W48),X47,$X$6+42))</f>
        <v>#REF!</v>
      </c>
    </row>
    <row r="49" spans="1:24" x14ac:dyDescent="0.3">
      <c r="A49" s="44">
        <v>44</v>
      </c>
      <c r="B49" s="46" t="e">
        <f>+Inscrits!#REF!</f>
        <v>#REF!</v>
      </c>
      <c r="C49" s="7" t="e">
        <f>VLOOKUP(B49,Résultats!$B$10:$E$76,3,0)</f>
        <v>#REF!</v>
      </c>
      <c r="D49" s="7" t="e">
        <f>VLOOKUP(B49,Résultats!$B$10:$E$76,4,0)</f>
        <v>#REF!</v>
      </c>
      <c r="E49" s="7" t="e">
        <f>VLOOKUP(B49,Résultats!$B$10:$E$76,2,0)</f>
        <v>#REF!</v>
      </c>
      <c r="F49" s="7" t="e">
        <f>VLOOKUP(B49,Résultats!$G$10:$J$76,3,0)</f>
        <v>#REF!</v>
      </c>
      <c r="G49" s="7" t="e">
        <f>VLOOKUP(B49,Résultats!$G$10:$J$76,4,0)</f>
        <v>#REF!</v>
      </c>
      <c r="H49" s="7" t="e">
        <f>VLOOKUP(B49,Résultats!$G$10:$J$76,2,0)</f>
        <v>#REF!</v>
      </c>
      <c r="I49" s="7" t="e">
        <f>VLOOKUP(B49,Résultats!$L$10:$O$76,3,0)</f>
        <v>#REF!</v>
      </c>
      <c r="J49" s="64" t="e">
        <f>VLOOKUP(B49,Résultats!$L$10:$O$76,4,0)</f>
        <v>#REF!</v>
      </c>
      <c r="K49" s="64" t="e">
        <f>VLOOKUP(B49,Résultats!$L$10:$O$76,2,0)</f>
        <v>#REF!</v>
      </c>
      <c r="L49" s="70" t="e">
        <f t="shared" si="11"/>
        <v>#REF!</v>
      </c>
      <c r="M49" s="71" t="e">
        <f t="shared" si="12"/>
        <v>#REF!</v>
      </c>
      <c r="N49" s="71" t="e">
        <f t="shared" si="13"/>
        <v>#REF!</v>
      </c>
      <c r="O49" s="32" t="e">
        <f t="shared" si="14"/>
        <v>#REF!</v>
      </c>
      <c r="P49" s="7" t="e">
        <f t="shared" si="15"/>
        <v>#REF!</v>
      </c>
      <c r="Q49" s="76" t="e">
        <f t="shared" si="0"/>
        <v>#REF!</v>
      </c>
      <c r="R49" s="82" t="e">
        <f>IF(B49="","",SMALL(Q$6:Q$53,ROWS(L$6:L49)))</f>
        <v>#REF!</v>
      </c>
      <c r="S49"/>
      <c r="T49" s="32" t="e">
        <f>IF(OR(B49="",L49=""),"",INDEX($B$6:$B$53,MATCH(R49,$Q$6:Q$53,0)))</f>
        <v>#REF!</v>
      </c>
      <c r="U49" s="7" t="e">
        <f t="shared" si="1"/>
        <v>#REF!</v>
      </c>
      <c r="V49" s="64" t="e">
        <f t="shared" si="2"/>
        <v>#REF!</v>
      </c>
      <c r="W49" s="47" t="e">
        <f t="shared" si="3"/>
        <v>#REF!</v>
      </c>
      <c r="X49" s="5" t="e">
        <f>IF(R49="","",IF(AND(U48=U49,V48=V49,W48=W49),X48,$X$6+43))</f>
        <v>#REF!</v>
      </c>
    </row>
    <row r="50" spans="1:24" x14ac:dyDescent="0.3">
      <c r="A50" s="44">
        <v>45</v>
      </c>
      <c r="B50" s="46" t="e">
        <f>+Inscrits!#REF!</f>
        <v>#REF!</v>
      </c>
      <c r="C50" s="7" t="e">
        <f>VLOOKUP(B50,Résultats!$B$10:$E$76,3,0)</f>
        <v>#REF!</v>
      </c>
      <c r="D50" s="7" t="e">
        <f>VLOOKUP(B50,Résultats!$B$10:$E$76,4,0)</f>
        <v>#REF!</v>
      </c>
      <c r="E50" s="7" t="e">
        <f>VLOOKUP(B50,Résultats!$B$10:$E$76,2,0)</f>
        <v>#REF!</v>
      </c>
      <c r="F50" s="7" t="e">
        <f>VLOOKUP(B50,Résultats!$G$10:$J$76,3,0)</f>
        <v>#REF!</v>
      </c>
      <c r="G50" s="7" t="e">
        <f>VLOOKUP(B50,Résultats!$G$10:$J$76,4,0)</f>
        <v>#REF!</v>
      </c>
      <c r="H50" s="7" t="e">
        <f>VLOOKUP(B50,Résultats!$G$10:$J$76,2,0)</f>
        <v>#REF!</v>
      </c>
      <c r="I50" s="7" t="e">
        <f>VLOOKUP(B50,Résultats!$L$10:$O$76,3,0)</f>
        <v>#REF!</v>
      </c>
      <c r="J50" s="64" t="e">
        <f>VLOOKUP(B50,Résultats!$L$10:$O$76,4,0)</f>
        <v>#REF!</v>
      </c>
      <c r="K50" s="64" t="e">
        <f>VLOOKUP(B50,Résultats!$L$10:$O$76,2,0)</f>
        <v>#REF!</v>
      </c>
      <c r="L50" s="70" t="e">
        <f t="shared" si="11"/>
        <v>#REF!</v>
      </c>
      <c r="M50" s="71" t="e">
        <f t="shared" si="12"/>
        <v>#REF!</v>
      </c>
      <c r="N50" s="71" t="e">
        <f t="shared" si="13"/>
        <v>#REF!</v>
      </c>
      <c r="O50" s="32" t="e">
        <f t="shared" si="14"/>
        <v>#REF!</v>
      </c>
      <c r="P50" s="7" t="e">
        <f t="shared" si="15"/>
        <v>#REF!</v>
      </c>
      <c r="Q50" s="76" t="e">
        <f t="shared" si="0"/>
        <v>#REF!</v>
      </c>
      <c r="R50" s="82" t="e">
        <f>IF(B50="","",SMALL(Q$6:Q$53,ROWS(L$6:L50)))</f>
        <v>#REF!</v>
      </c>
      <c r="S50"/>
      <c r="T50" s="32" t="e">
        <f>IF(OR(B50="",L50=""),"",INDEX($B$6:$B$53,MATCH(R50,$Q$6:Q$53,0)))</f>
        <v>#REF!</v>
      </c>
      <c r="U50" s="7" t="e">
        <f t="shared" si="1"/>
        <v>#REF!</v>
      </c>
      <c r="V50" s="64" t="e">
        <f t="shared" si="2"/>
        <v>#REF!</v>
      </c>
      <c r="W50" s="47" t="e">
        <f t="shared" si="3"/>
        <v>#REF!</v>
      </c>
      <c r="X50" s="5" t="e">
        <f>IF(R50="","",IF(AND(U49=U50,V49=V50,W49=W50),X49,$X$6+44))</f>
        <v>#REF!</v>
      </c>
    </row>
    <row r="51" spans="1:24" x14ac:dyDescent="0.3">
      <c r="A51" s="44">
        <v>46</v>
      </c>
      <c r="B51" s="46" t="e">
        <f>+Inscrits!#REF!</f>
        <v>#REF!</v>
      </c>
      <c r="C51" s="7" t="e">
        <f>VLOOKUP(B51,Résultats!$B$10:$E$76,3,0)</f>
        <v>#REF!</v>
      </c>
      <c r="D51" s="7" t="e">
        <f>VLOOKUP(B51,Résultats!$B$10:$E$76,4,0)</f>
        <v>#REF!</v>
      </c>
      <c r="E51" s="7" t="e">
        <f>VLOOKUP(B51,Résultats!$B$10:$E$76,2,0)</f>
        <v>#REF!</v>
      </c>
      <c r="F51" s="7" t="e">
        <f>VLOOKUP(B51,Résultats!$G$10:$J$76,3,0)</f>
        <v>#REF!</v>
      </c>
      <c r="G51" s="7" t="e">
        <f>VLOOKUP(B51,Résultats!$G$10:$J$76,4,0)</f>
        <v>#REF!</v>
      </c>
      <c r="H51" s="7" t="e">
        <f>VLOOKUP(B51,Résultats!$G$10:$J$76,2,0)</f>
        <v>#REF!</v>
      </c>
      <c r="I51" s="7" t="e">
        <f>VLOOKUP(B51,Résultats!$L$10:$O$76,3,0)</f>
        <v>#REF!</v>
      </c>
      <c r="J51" s="64" t="e">
        <f>VLOOKUP(B51,Résultats!$L$10:$O$76,4,0)</f>
        <v>#REF!</v>
      </c>
      <c r="K51" s="64" t="e">
        <f>VLOOKUP(B51,Résultats!$L$10:$O$76,2,0)</f>
        <v>#REF!</v>
      </c>
      <c r="L51" s="70" t="e">
        <f t="shared" si="11"/>
        <v>#REF!</v>
      </c>
      <c r="M51" s="71" t="e">
        <f t="shared" si="12"/>
        <v>#REF!</v>
      </c>
      <c r="N51" s="71" t="e">
        <f t="shared" si="13"/>
        <v>#REF!</v>
      </c>
      <c r="O51" s="32" t="e">
        <f t="shared" si="14"/>
        <v>#REF!</v>
      </c>
      <c r="P51" s="7" t="e">
        <f t="shared" si="15"/>
        <v>#REF!</v>
      </c>
      <c r="Q51" s="76" t="e">
        <f t="shared" si="0"/>
        <v>#REF!</v>
      </c>
      <c r="R51" s="82" t="e">
        <f>IF(B51="","",SMALL(Q$6:Q$53,ROWS(L$6:L51)))</f>
        <v>#REF!</v>
      </c>
      <c r="S51"/>
      <c r="T51" s="32" t="e">
        <f>IF(OR(B51="",L51=""),"",INDEX($B$6:$B$53,MATCH(R51,$Q$6:Q$53,0)))</f>
        <v>#REF!</v>
      </c>
      <c r="U51" s="7" t="e">
        <f t="shared" si="1"/>
        <v>#REF!</v>
      </c>
      <c r="V51" s="64" t="e">
        <f t="shared" si="2"/>
        <v>#REF!</v>
      </c>
      <c r="W51" s="47" t="e">
        <f t="shared" si="3"/>
        <v>#REF!</v>
      </c>
      <c r="X51" s="5" t="e">
        <f>IF(R51="","",IF(AND(U50=U51,V50=V51,W50=W51),X50,$X$6+45))</f>
        <v>#REF!</v>
      </c>
    </row>
    <row r="52" spans="1:24" x14ac:dyDescent="0.3">
      <c r="A52" s="44">
        <v>47</v>
      </c>
      <c r="B52" s="46" t="e">
        <f>+Inscrits!#REF!</f>
        <v>#REF!</v>
      </c>
      <c r="C52" s="7" t="e">
        <f>VLOOKUP(B52,Résultats!$B$10:$E$76,3,0)</f>
        <v>#REF!</v>
      </c>
      <c r="D52" s="7" t="e">
        <f>VLOOKUP(B52,Résultats!$B$10:$E$76,4,0)</f>
        <v>#REF!</v>
      </c>
      <c r="E52" s="7" t="e">
        <f>VLOOKUP(B52,Résultats!$B$10:$E$76,2,0)</f>
        <v>#REF!</v>
      </c>
      <c r="F52" s="7" t="e">
        <f>VLOOKUP(B52,Résultats!$G$10:$J$76,3,0)</f>
        <v>#REF!</v>
      </c>
      <c r="G52" s="7" t="e">
        <f>VLOOKUP(B52,Résultats!$G$10:$J$76,4,0)</f>
        <v>#REF!</v>
      </c>
      <c r="H52" s="7" t="e">
        <f>VLOOKUP(B52,Résultats!$G$10:$J$76,2,0)</f>
        <v>#REF!</v>
      </c>
      <c r="I52" s="7" t="e">
        <f>VLOOKUP(B52,Résultats!$L$10:$O$76,3,0)</f>
        <v>#REF!</v>
      </c>
      <c r="J52" s="64" t="e">
        <f>VLOOKUP(B52,Résultats!$L$10:$O$76,4,0)</f>
        <v>#REF!</v>
      </c>
      <c r="K52" s="64" t="e">
        <f>VLOOKUP(B52,Résultats!$L$10:$O$76,2,0)</f>
        <v>#REF!</v>
      </c>
      <c r="L52" s="70" t="e">
        <f t="shared" si="11"/>
        <v>#REF!</v>
      </c>
      <c r="M52" s="71" t="e">
        <f t="shared" si="12"/>
        <v>#REF!</v>
      </c>
      <c r="N52" s="71" t="e">
        <f t="shared" si="13"/>
        <v>#REF!</v>
      </c>
      <c r="O52" s="32" t="e">
        <f t="shared" si="14"/>
        <v>#REF!</v>
      </c>
      <c r="P52" s="7" t="e">
        <f t="shared" si="15"/>
        <v>#REF!</v>
      </c>
      <c r="Q52" s="76" t="e">
        <f t="shared" si="0"/>
        <v>#REF!</v>
      </c>
      <c r="R52" s="82" t="e">
        <f>IF(B52="","",SMALL(Q$6:Q$53,ROWS(L$6:L52)))</f>
        <v>#REF!</v>
      </c>
      <c r="S52"/>
      <c r="T52" s="32" t="e">
        <f>IF(OR(B52="",L52=""),"",INDEX($B$6:$B$53,MATCH(R52,$Q$6:Q$53,0)))</f>
        <v>#REF!</v>
      </c>
      <c r="U52" s="7" t="e">
        <f t="shared" si="1"/>
        <v>#REF!</v>
      </c>
      <c r="V52" s="64" t="e">
        <f t="shared" si="2"/>
        <v>#REF!</v>
      </c>
      <c r="W52" s="47" t="e">
        <f t="shared" si="3"/>
        <v>#REF!</v>
      </c>
      <c r="X52" s="5" t="e">
        <f>IF(R52="","",IF(AND(U51=U52,V51=V52,W51=W52),X51,$X$6+46))</f>
        <v>#REF!</v>
      </c>
    </row>
    <row r="53" spans="1:24" x14ac:dyDescent="0.3">
      <c r="A53" s="44">
        <v>48</v>
      </c>
      <c r="B53" s="46" t="e">
        <f>+Inscrits!#REF!</f>
        <v>#REF!</v>
      </c>
      <c r="C53" s="7" t="e">
        <f>VLOOKUP(B53,Résultats!$B$10:$E$76,3,0)</f>
        <v>#REF!</v>
      </c>
      <c r="D53" s="7" t="e">
        <f>VLOOKUP(B53,Résultats!$B$10:$E$76,4,0)</f>
        <v>#REF!</v>
      </c>
      <c r="E53" s="7" t="e">
        <f>VLOOKUP(B53,Résultats!$B$10:$E$76,2,0)</f>
        <v>#REF!</v>
      </c>
      <c r="F53" s="7" t="e">
        <f>VLOOKUP(B53,Résultats!$G$10:$J$76,3,0)</f>
        <v>#REF!</v>
      </c>
      <c r="G53" s="7" t="e">
        <f>VLOOKUP(B53,Résultats!$G$10:$J$76,4,0)</f>
        <v>#REF!</v>
      </c>
      <c r="H53" s="7" t="e">
        <f>VLOOKUP(B53,Résultats!$G$10:$J$76,2,0)</f>
        <v>#REF!</v>
      </c>
      <c r="I53" s="7" t="e">
        <f>VLOOKUP(B53,Résultats!$L$10:$O$76,3,0)</f>
        <v>#REF!</v>
      </c>
      <c r="J53" s="64" t="e">
        <f>VLOOKUP(B53,Résultats!$L$10:$O$76,4,0)</f>
        <v>#REF!</v>
      </c>
      <c r="K53" s="64" t="e">
        <f>VLOOKUP(B53,Résultats!$L$10:$O$76,2,0)</f>
        <v>#REF!</v>
      </c>
      <c r="L53" s="70" t="e">
        <f t="shared" si="11"/>
        <v>#REF!</v>
      </c>
      <c r="M53" s="71" t="e">
        <f t="shared" si="12"/>
        <v>#REF!</v>
      </c>
      <c r="N53" s="71" t="e">
        <f t="shared" si="13"/>
        <v>#REF!</v>
      </c>
      <c r="O53" s="32" t="e">
        <f t="shared" si="14"/>
        <v>#REF!</v>
      </c>
      <c r="P53" s="7" t="e">
        <f t="shared" si="15"/>
        <v>#REF!</v>
      </c>
      <c r="Q53" s="76" t="e">
        <f t="shared" si="0"/>
        <v>#REF!</v>
      </c>
      <c r="R53" s="82" t="e">
        <f>IF(B53="","",SMALL(Q$6:Q$53,ROWS(L$6:L53)))</f>
        <v>#REF!</v>
      </c>
      <c r="S53"/>
      <c r="T53" s="32" t="e">
        <f>IF(OR(B53="",L53=""),"",INDEX($B$6:$B$53,MATCH(R53,$Q$6:Q$53,0)))</f>
        <v>#REF!</v>
      </c>
      <c r="U53" s="7" t="e">
        <f t="shared" si="1"/>
        <v>#REF!</v>
      </c>
      <c r="V53" s="64" t="e">
        <f t="shared" si="2"/>
        <v>#REF!</v>
      </c>
      <c r="W53" s="47" t="e">
        <f t="shared" si="3"/>
        <v>#REF!</v>
      </c>
      <c r="X53" s="5" t="e">
        <f>IF(R53="","",IF(AND(U52=U53,V52=V53,W52=W53),X52,$X$6+47))</f>
        <v>#REF!</v>
      </c>
    </row>
    <row r="54" spans="1:24" x14ac:dyDescent="0.3">
      <c r="A54" s="44">
        <v>49</v>
      </c>
      <c r="B54" s="46">
        <f>+[1]Inscrits!E21</f>
        <v>0</v>
      </c>
      <c r="C54" s="7">
        <f>VLOOKUP(B54,[1]Résultats!$B$10:$E$136,3,0)</f>
        <v>0</v>
      </c>
      <c r="D54" s="7">
        <f>VLOOKUP(B54,[1]Résultats!$B$10:$E$136,4,0)</f>
        <v>0</v>
      </c>
      <c r="E54" s="7">
        <f>VLOOKUP(B54,[1]Résultats!$B$10:$E$136,2,0)</f>
        <v>0</v>
      </c>
      <c r="F54" s="7">
        <f>VLOOKUP(B54,[1]Résultats!$G$10:$J$136,3,0)</f>
        <v>0</v>
      </c>
      <c r="G54" s="7">
        <f>VLOOKUP(B54,[1]Résultats!$G$10:$J$136,4,0)</f>
        <v>0</v>
      </c>
      <c r="H54" s="7">
        <f>VLOOKUP(B54,[1]Résultats!$G$10:$J$136,2,0)</f>
        <v>0</v>
      </c>
      <c r="I54" s="7">
        <f>VLOOKUP(B54,[1]Résultats!$L$10:$O$136,3,0)</f>
        <v>0</v>
      </c>
      <c r="J54" s="64">
        <f>VLOOKUP(B54,[1]Résultats!$L$10:$O$136,4,0)</f>
        <v>0</v>
      </c>
      <c r="K54" s="64">
        <f>VLOOKUP(B54,[1]Résultats!$L$10:$O$136,2,0)</f>
        <v>0</v>
      </c>
      <c r="L54" s="70">
        <f t="shared" si="11"/>
        <v>0</v>
      </c>
      <c r="M54" s="71">
        <f t="shared" si="12"/>
        <v>0</v>
      </c>
      <c r="N54" s="71">
        <f t="shared" si="13"/>
        <v>0</v>
      </c>
      <c r="O54" s="32">
        <f t="shared" si="14"/>
        <v>0</v>
      </c>
      <c r="P54" s="7">
        <f t="shared" si="15"/>
        <v>0</v>
      </c>
      <c r="Q54" s="76" t="e">
        <f t="shared" ref="Q54:Q59" si="16">IF(OR(B54="",L54="",M54="",N54=""),"",RANK(L54,$L$6:$L$95)+SUM(-M54/1000)-(+N54/1000)+COUNTIF(B$6:B$95,"&lt;="&amp;B54+1)/10000+ROW()/100000)</f>
        <v>#REF!</v>
      </c>
      <c r="R54" s="82" t="e">
        <f>IF(B54="","",SMALL(Q$6:Q$95,ROWS(L$6:L54)))</f>
        <v>#VALUE!</v>
      </c>
      <c r="S54"/>
      <c r="T54" s="32" t="e">
        <f>IF(OR(B54="",L54=""),"",INDEX($B$6:$B$95,MATCH(R54,$Q$6:Q$95,0)))</f>
        <v>#VALUE!</v>
      </c>
      <c r="U54" s="7" t="e">
        <f t="shared" ref="U54:U59" si="17">IF(B54="","",INDEX($L$6:$L$95,MATCH(R54,$Q$6:$Q$95,0)))</f>
        <v>#VALUE!</v>
      </c>
      <c r="V54" s="64" t="e">
        <f t="shared" ref="V54:V59" si="18">IF(B54="","",INDEX($M$6:$M$95,MATCH(R54,$Q$6:$Q$95,0)))</f>
        <v>#VALUE!</v>
      </c>
      <c r="W54" s="47" t="e">
        <f t="shared" ref="W54:W59" si="19">IF(B54="","",INDEX($N$6:$N$95,MATCH(R54,$Q$6:$Q$95,0)))</f>
        <v>#VALUE!</v>
      </c>
      <c r="X54" s="5" t="e">
        <f>IF(R54="","",IF(AND(U53=U54,V53=V54,W53=W54),X53,$X$6+48))</f>
        <v>#VALUE!</v>
      </c>
    </row>
    <row r="55" spans="1:24" x14ac:dyDescent="0.3">
      <c r="A55" s="44">
        <v>50</v>
      </c>
      <c r="B55" s="46">
        <f>+[1]Inscrits!E22</f>
        <v>0</v>
      </c>
      <c r="C55" s="7">
        <f>VLOOKUP(B55,[1]Résultats!$B$10:$E$136,3,0)</f>
        <v>0</v>
      </c>
      <c r="D55" s="7">
        <f>VLOOKUP(B55,[1]Résultats!$B$10:$E$136,4,0)</f>
        <v>0</v>
      </c>
      <c r="E55" s="7">
        <f>VLOOKUP(B55,[1]Résultats!$B$10:$E$136,2,0)</f>
        <v>0</v>
      </c>
      <c r="F55" s="7">
        <f>VLOOKUP(B55,[1]Résultats!$G$10:$J$136,3,0)</f>
        <v>0</v>
      </c>
      <c r="G55" s="7">
        <f>VLOOKUP(B55,[1]Résultats!$G$10:$J$136,4,0)</f>
        <v>0</v>
      </c>
      <c r="H55" s="7">
        <f>VLOOKUP(B55,[1]Résultats!$G$10:$J$136,2,0)</f>
        <v>0</v>
      </c>
      <c r="I55" s="7">
        <f>VLOOKUP(B55,[1]Résultats!$L$10:$O$136,3,0)</f>
        <v>0</v>
      </c>
      <c r="J55" s="64">
        <f>VLOOKUP(B55,[1]Résultats!$L$10:$O$136,4,0)</f>
        <v>0</v>
      </c>
      <c r="K55" s="64">
        <f>VLOOKUP(B55,[1]Résultats!$L$10:$O$136,2,0)</f>
        <v>0</v>
      </c>
      <c r="L55" s="70">
        <f t="shared" si="11"/>
        <v>0</v>
      </c>
      <c r="M55" s="71">
        <f t="shared" si="12"/>
        <v>0</v>
      </c>
      <c r="N55" s="71">
        <f t="shared" si="13"/>
        <v>0</v>
      </c>
      <c r="O55" s="32">
        <f t="shared" si="14"/>
        <v>0</v>
      </c>
      <c r="P55" s="7">
        <f t="shared" si="15"/>
        <v>0</v>
      </c>
      <c r="Q55" s="76" t="e">
        <f t="shared" si="16"/>
        <v>#REF!</v>
      </c>
      <c r="R55" s="82" t="e">
        <f>IF(B55="","",SMALL(Q$6:Q$95,ROWS(L$6:L55)))</f>
        <v>#VALUE!</v>
      </c>
      <c r="S55"/>
      <c r="T55" s="32" t="e">
        <f>IF(OR(B55="",L55=""),"",INDEX($B$6:$B$95,MATCH(R55,$Q$6:Q$95,0)))</f>
        <v>#VALUE!</v>
      </c>
      <c r="U55" s="7" t="e">
        <f t="shared" si="17"/>
        <v>#VALUE!</v>
      </c>
      <c r="V55" s="64" t="e">
        <f t="shared" si="18"/>
        <v>#VALUE!</v>
      </c>
      <c r="W55" s="47" t="e">
        <f t="shared" si="19"/>
        <v>#VALUE!</v>
      </c>
      <c r="X55" s="5" t="e">
        <f>IF(R55="","",IF(AND(U54=U55,V54=V55,W54=W55),X54,$X$6+49))</f>
        <v>#VALUE!</v>
      </c>
    </row>
    <row r="56" spans="1:24" x14ac:dyDescent="0.3">
      <c r="A56" s="44">
        <v>51</v>
      </c>
      <c r="B56" s="46">
        <f>+[1]Inscrits!E23</f>
        <v>0</v>
      </c>
      <c r="C56" s="7">
        <f>VLOOKUP(B56,[1]Résultats!$B$10:$E$136,3,0)</f>
        <v>0</v>
      </c>
      <c r="D56" s="7">
        <f>VLOOKUP(B56,[1]Résultats!$B$10:$E$136,4,0)</f>
        <v>0</v>
      </c>
      <c r="E56" s="7">
        <f>VLOOKUP(B56,[1]Résultats!$B$10:$E$136,2,0)</f>
        <v>0</v>
      </c>
      <c r="F56" s="7">
        <f>VLOOKUP(B56,[1]Résultats!$G$10:$J$136,3,0)</f>
        <v>0</v>
      </c>
      <c r="G56" s="7">
        <f>VLOOKUP(B56,[1]Résultats!$G$10:$J$136,4,0)</f>
        <v>0</v>
      </c>
      <c r="H56" s="7">
        <f>VLOOKUP(B56,[1]Résultats!$G$10:$J$136,2,0)</f>
        <v>0</v>
      </c>
      <c r="I56" s="7">
        <f>VLOOKUP(B56,[1]Résultats!$L$10:$O$136,3,0)</f>
        <v>0</v>
      </c>
      <c r="J56" s="64">
        <f>VLOOKUP(B56,[1]Résultats!$L$10:$O$136,4,0)</f>
        <v>0</v>
      </c>
      <c r="K56" s="64">
        <f>VLOOKUP(B56,[1]Résultats!$L$10:$O$136,2,0)</f>
        <v>0</v>
      </c>
      <c r="L56" s="70">
        <f t="shared" si="11"/>
        <v>0</v>
      </c>
      <c r="M56" s="71">
        <f t="shared" si="12"/>
        <v>0</v>
      </c>
      <c r="N56" s="71">
        <f t="shared" si="13"/>
        <v>0</v>
      </c>
      <c r="O56" s="32">
        <f t="shared" si="14"/>
        <v>0</v>
      </c>
      <c r="P56" s="7">
        <f t="shared" si="15"/>
        <v>0</v>
      </c>
      <c r="Q56" s="76" t="e">
        <f t="shared" si="16"/>
        <v>#REF!</v>
      </c>
      <c r="R56" s="82" t="e">
        <f>IF(B56="","",SMALL(Q$6:Q$95,ROWS(L$6:L56)))</f>
        <v>#VALUE!</v>
      </c>
      <c r="S56"/>
      <c r="T56" s="32" t="e">
        <f>IF(OR(B56="",L56=""),"",INDEX($B$6:$B$95,MATCH(R56,$Q$6:Q$95,0)))</f>
        <v>#VALUE!</v>
      </c>
      <c r="U56" s="7" t="e">
        <f t="shared" si="17"/>
        <v>#VALUE!</v>
      </c>
      <c r="V56" s="64" t="e">
        <f t="shared" si="18"/>
        <v>#VALUE!</v>
      </c>
      <c r="W56" s="47" t="e">
        <f t="shared" si="19"/>
        <v>#VALUE!</v>
      </c>
      <c r="X56" s="5" t="e">
        <f>IF(R56="","",IF(AND(U55=U56,V55=V56,W55=W56),X55,$X$6+50))</f>
        <v>#VALUE!</v>
      </c>
    </row>
    <row r="57" spans="1:24" x14ac:dyDescent="0.3">
      <c r="A57" s="44">
        <v>52</v>
      </c>
      <c r="B57" s="46">
        <f>+[1]Inscrits!E24</f>
        <v>0</v>
      </c>
      <c r="C57" s="7">
        <f>VLOOKUP(B57,[1]Résultats!$B$10:$E$136,3,0)</f>
        <v>0</v>
      </c>
      <c r="D57" s="7">
        <f>VLOOKUP(B57,[1]Résultats!$B$10:$E$136,4,0)</f>
        <v>0</v>
      </c>
      <c r="E57" s="7">
        <f>VLOOKUP(B57,[1]Résultats!$B$10:$E$136,2,0)</f>
        <v>0</v>
      </c>
      <c r="F57" s="7">
        <f>VLOOKUP(B57,[1]Résultats!$G$10:$J$136,3,0)</f>
        <v>0</v>
      </c>
      <c r="G57" s="7">
        <f>VLOOKUP(B57,[1]Résultats!$G$10:$J$136,4,0)</f>
        <v>0</v>
      </c>
      <c r="H57" s="7">
        <f>VLOOKUP(B57,[1]Résultats!$G$10:$J$136,2,0)</f>
        <v>0</v>
      </c>
      <c r="I57" s="7">
        <f>VLOOKUP(B57,[1]Résultats!$L$10:$O$136,3,0)</f>
        <v>0</v>
      </c>
      <c r="J57" s="64">
        <f>VLOOKUP(B57,[1]Résultats!$L$10:$O$136,4,0)</f>
        <v>0</v>
      </c>
      <c r="K57" s="64">
        <f>VLOOKUP(B57,[1]Résultats!$L$10:$O$136,2,0)</f>
        <v>0</v>
      </c>
      <c r="L57" s="70">
        <f t="shared" si="11"/>
        <v>0</v>
      </c>
      <c r="M57" s="71">
        <f t="shared" si="12"/>
        <v>0</v>
      </c>
      <c r="N57" s="71">
        <f t="shared" si="13"/>
        <v>0</v>
      </c>
      <c r="O57" s="32">
        <f t="shared" si="14"/>
        <v>0</v>
      </c>
      <c r="P57" s="7">
        <f t="shared" si="15"/>
        <v>0</v>
      </c>
      <c r="Q57" s="76" t="e">
        <f t="shared" si="16"/>
        <v>#REF!</v>
      </c>
      <c r="R57" s="82" t="e">
        <f>IF(B57="","",SMALL(Q$6:Q$95,ROWS(L$6:L57)))</f>
        <v>#VALUE!</v>
      </c>
      <c r="S57"/>
      <c r="T57" s="32" t="e">
        <f>IF(OR(B57="",L57=""),"",INDEX($B$6:$B$95,MATCH(R57,$Q$6:Q$95,0)))</f>
        <v>#VALUE!</v>
      </c>
      <c r="U57" s="7" t="e">
        <f t="shared" si="17"/>
        <v>#VALUE!</v>
      </c>
      <c r="V57" s="64" t="e">
        <f t="shared" si="18"/>
        <v>#VALUE!</v>
      </c>
      <c r="W57" s="47" t="e">
        <f t="shared" si="19"/>
        <v>#VALUE!</v>
      </c>
      <c r="X57" s="5" t="e">
        <f>IF(R57="","",IF(AND(U56=U57,V56=V57,W56=W57),X56,$X$6+51))</f>
        <v>#VALUE!</v>
      </c>
    </row>
    <row r="58" spans="1:24" x14ac:dyDescent="0.3">
      <c r="A58" s="44">
        <v>53</v>
      </c>
      <c r="B58" s="46">
        <f>+[1]Inscrits!E25</f>
        <v>0</v>
      </c>
      <c r="C58" s="7">
        <f>VLOOKUP(B58,[1]Résultats!$B$10:$E$136,3,0)</f>
        <v>0</v>
      </c>
      <c r="D58" s="7">
        <f>VLOOKUP(B58,[1]Résultats!$B$10:$E$136,4,0)</f>
        <v>0</v>
      </c>
      <c r="E58" s="7">
        <f>VLOOKUP(B58,[1]Résultats!$B$10:$E$136,2,0)</f>
        <v>0</v>
      </c>
      <c r="F58" s="7">
        <f>VLOOKUP(B58,[1]Résultats!$G$10:$J$136,3,0)</f>
        <v>0</v>
      </c>
      <c r="G58" s="7">
        <f>VLOOKUP(B58,[1]Résultats!$G$10:$J$136,4,0)</f>
        <v>0</v>
      </c>
      <c r="H58" s="7">
        <f>VLOOKUP(B58,[1]Résultats!$G$10:$J$136,2,0)</f>
        <v>0</v>
      </c>
      <c r="I58" s="7">
        <f>VLOOKUP(B58,[1]Résultats!$L$10:$O$136,3,0)</f>
        <v>0</v>
      </c>
      <c r="J58" s="64">
        <f>VLOOKUP(B58,[1]Résultats!$L$10:$O$136,4,0)</f>
        <v>0</v>
      </c>
      <c r="K58" s="64">
        <f>VLOOKUP(B58,[1]Résultats!$L$10:$O$136,2,0)</f>
        <v>0</v>
      </c>
      <c r="L58" s="70">
        <f t="shared" si="11"/>
        <v>0</v>
      </c>
      <c r="M58" s="71">
        <f t="shared" si="12"/>
        <v>0</v>
      </c>
      <c r="N58" s="71">
        <f t="shared" si="13"/>
        <v>0</v>
      </c>
      <c r="O58" s="32">
        <f t="shared" si="14"/>
        <v>0</v>
      </c>
      <c r="P58" s="7">
        <f t="shared" si="15"/>
        <v>0</v>
      </c>
      <c r="Q58" s="76" t="e">
        <f t="shared" si="16"/>
        <v>#REF!</v>
      </c>
      <c r="R58" s="82" t="e">
        <f>IF(B58="","",SMALL(Q$6:Q$95,ROWS(L$6:L58)))</f>
        <v>#VALUE!</v>
      </c>
      <c r="S58"/>
      <c r="T58" s="32" t="e">
        <f>IF(OR(B58="",L58=""),"",INDEX($B$6:$B$95,MATCH(R58,$Q$6:Q$95,0)))</f>
        <v>#VALUE!</v>
      </c>
      <c r="U58" s="7" t="e">
        <f t="shared" si="17"/>
        <v>#VALUE!</v>
      </c>
      <c r="V58" s="64" t="e">
        <f t="shared" si="18"/>
        <v>#VALUE!</v>
      </c>
      <c r="W58" s="47" t="e">
        <f t="shared" si="19"/>
        <v>#VALUE!</v>
      </c>
      <c r="X58" s="5" t="e">
        <f>IF(R58="","",IF(AND(U57=U58,V57=V58,W57=W58),X57,$X$6+52))</f>
        <v>#VALUE!</v>
      </c>
    </row>
    <row r="59" spans="1:24" x14ac:dyDescent="0.3">
      <c r="A59" s="44">
        <v>54</v>
      </c>
      <c r="B59" s="46">
        <f>+[1]Inscrits!E26</f>
        <v>0</v>
      </c>
      <c r="C59" s="7">
        <f>VLOOKUP(B59,[1]Résultats!$B$10:$E$136,3,0)</f>
        <v>0</v>
      </c>
      <c r="D59" s="7">
        <f>VLOOKUP(B59,[1]Résultats!$B$10:$E$136,4,0)</f>
        <v>0</v>
      </c>
      <c r="E59" s="7">
        <f>VLOOKUP(B59,[1]Résultats!$B$10:$E$136,2,0)</f>
        <v>0</v>
      </c>
      <c r="F59" s="7">
        <f>VLOOKUP(B59,[1]Résultats!$G$10:$J$136,3,0)</f>
        <v>0</v>
      </c>
      <c r="G59" s="7">
        <f>VLOOKUP(B59,[1]Résultats!$G$10:$J$136,4,0)</f>
        <v>0</v>
      </c>
      <c r="H59" s="7">
        <f>VLOOKUP(B59,[1]Résultats!$G$10:$J$136,2,0)</f>
        <v>0</v>
      </c>
      <c r="I59" s="7">
        <f>VLOOKUP(B59,[1]Résultats!$L$10:$O$136,3,0)</f>
        <v>0</v>
      </c>
      <c r="J59" s="64">
        <f>VLOOKUP(B59,[1]Résultats!$L$10:$O$136,4,0)</f>
        <v>0</v>
      </c>
      <c r="K59" s="64">
        <f>VLOOKUP(B59,[1]Résultats!$L$10:$O$136,2,0)</f>
        <v>0</v>
      </c>
      <c r="L59" s="70">
        <f t="shared" si="11"/>
        <v>0</v>
      </c>
      <c r="M59" s="71">
        <f t="shared" si="12"/>
        <v>0</v>
      </c>
      <c r="N59" s="71">
        <f t="shared" si="13"/>
        <v>0</v>
      </c>
      <c r="O59" s="32">
        <f t="shared" si="14"/>
        <v>0</v>
      </c>
      <c r="P59" s="7">
        <f t="shared" si="15"/>
        <v>0</v>
      </c>
      <c r="Q59" s="76" t="e">
        <f t="shared" si="16"/>
        <v>#REF!</v>
      </c>
      <c r="R59" s="82" t="e">
        <f>IF(B59="","",SMALL(Q$6:Q$95,ROWS(L$6:L59)))</f>
        <v>#VALUE!</v>
      </c>
      <c r="S59"/>
      <c r="T59" s="32" t="e">
        <f>IF(OR(B59="",L59=""),"",INDEX($B$6:$B$95,MATCH(R59,$Q$6:Q$95,0)))</f>
        <v>#VALUE!</v>
      </c>
      <c r="U59" s="7" t="e">
        <f t="shared" si="17"/>
        <v>#VALUE!</v>
      </c>
      <c r="V59" s="64" t="e">
        <f t="shared" si="18"/>
        <v>#VALUE!</v>
      </c>
      <c r="W59" s="47" t="e">
        <f t="shared" si="19"/>
        <v>#VALUE!</v>
      </c>
      <c r="X59" s="5" t="e">
        <f>IF(R59="","",IF(AND(U58=U59,V58=V59,W58=W59),X58,$X$6+53))</f>
        <v>#VALUE!</v>
      </c>
    </row>
    <row r="60" spans="1:24" x14ac:dyDescent="0.3">
      <c r="A60" s="20"/>
      <c r="B60" s="4"/>
      <c r="C60" s="61" t="e">
        <f t="array" ref="C60">SUM(IF(ISNA(C6:C53),0,C6:C53))</f>
        <v>#REF!</v>
      </c>
      <c r="D60" s="61" t="e">
        <f t="array" ref="D60">SUM(IF(ISNA(D6:D53),0,D6:D53))</f>
        <v>#REF!</v>
      </c>
      <c r="E60" s="61"/>
      <c r="F60" s="61" t="e">
        <f t="array" ref="F60">SUM(IF(ISNA(F6:F53),0,F6:F53))</f>
        <v>#REF!</v>
      </c>
      <c r="G60" s="61" t="e">
        <f t="array" ref="G60">SUM(IF(ISNA(G6:G53),0,G6:G53))</f>
        <v>#REF!</v>
      </c>
      <c r="H60" s="61"/>
      <c r="I60" s="61" t="e">
        <f t="array" ref="I60">SUM(IF(ISNA(I6:I53),0,I6:I53))</f>
        <v>#REF!</v>
      </c>
      <c r="J60" s="61" t="e">
        <f t="array" ref="J60">SUM(IF(ISNA(J6:J53),0,J6:J53))</f>
        <v>#REF!</v>
      </c>
      <c r="K60" s="61"/>
      <c r="L60" s="6" t="e">
        <f>SUM(L6:L53)</f>
        <v>#REF!</v>
      </c>
      <c r="M60" s="6" t="e">
        <f>SUM(M6:M53)</f>
        <v>#REF!</v>
      </c>
      <c r="N60" s="6"/>
      <c r="O60" s="6"/>
      <c r="P60" s="6"/>
      <c r="Q60" s="6"/>
      <c r="R60" s="6"/>
      <c r="S60"/>
      <c r="T60" s="6"/>
      <c r="U60" s="1"/>
      <c r="V60" s="6" t="e">
        <f>SUM(V6:V53)</f>
        <v>#VALUE!</v>
      </c>
      <c r="W60" s="6"/>
    </row>
    <row r="61" spans="1:24" x14ac:dyDescent="0.3">
      <c r="A61" s="20"/>
      <c r="B61" s="4"/>
      <c r="C61" s="6"/>
      <c r="D61" s="23" t="e">
        <f>IF(D60=0,"OK","ERREUR")</f>
        <v>#REF!</v>
      </c>
      <c r="E61" s="61"/>
      <c r="F61" s="6"/>
      <c r="G61" s="23" t="e">
        <f>IF(G60=0,"OK","ERREUR")</f>
        <v>#REF!</v>
      </c>
      <c r="H61" s="61"/>
      <c r="I61" s="6"/>
      <c r="J61" s="23" t="e">
        <f>IF(J60=0,"OK","ERREUR")</f>
        <v>#REF!</v>
      </c>
      <c r="K61" s="61"/>
      <c r="L61" s="4"/>
      <c r="M61" s="23" t="e">
        <f>IF(M60=0,"OK","ERREUR")</f>
        <v>#REF!</v>
      </c>
      <c r="N61" s="61"/>
      <c r="O61" s="6"/>
      <c r="P61" s="6"/>
      <c r="Q61" s="6"/>
      <c r="R61" s="6"/>
      <c r="S61"/>
      <c r="T61" s="6"/>
      <c r="U61" s="1"/>
      <c r="V61" s="23" t="e">
        <f>IF(V60=0,"OK","ERREUR")</f>
        <v>#VALUE!</v>
      </c>
      <c r="W61" s="61"/>
    </row>
    <row r="62" spans="1:24" x14ac:dyDescent="0.3">
      <c r="A62" s="20"/>
      <c r="C62" s="19"/>
      <c r="D62" s="101"/>
      <c r="E62" s="101"/>
      <c r="F62" s="19"/>
      <c r="G62" s="101"/>
      <c r="H62" s="101"/>
      <c r="I62" s="19"/>
      <c r="J62" s="101"/>
      <c r="K62" s="101"/>
      <c r="M62" s="101"/>
      <c r="N62" s="101"/>
      <c r="O62" s="19"/>
      <c r="P62" s="19"/>
      <c r="Q62" s="19"/>
      <c r="R62" s="19"/>
      <c r="T62" s="19"/>
      <c r="U62" s="20"/>
      <c r="V62" s="101"/>
      <c r="W62" s="101"/>
    </row>
    <row r="63" spans="1:24" x14ac:dyDescent="0.3">
      <c r="A63" s="20"/>
      <c r="C63" s="69"/>
      <c r="D63" s="19"/>
      <c r="E63" s="19"/>
      <c r="F63" s="69"/>
      <c r="G63" s="69"/>
      <c r="H63" s="69"/>
      <c r="I63" s="69"/>
      <c r="J63" s="19"/>
      <c r="K63" s="19"/>
      <c r="L63" s="19"/>
      <c r="M63" s="19"/>
      <c r="N63" s="19"/>
      <c r="O63" s="19"/>
      <c r="P63" s="19"/>
      <c r="Q63" s="19"/>
      <c r="R63" s="19"/>
      <c r="T63" s="19"/>
      <c r="U63" s="20"/>
      <c r="V63" s="20"/>
      <c r="W63" s="20"/>
    </row>
    <row r="64" spans="1:24" x14ac:dyDescent="0.3">
      <c r="B64" s="7" t="s">
        <v>26</v>
      </c>
      <c r="C64" s="8">
        <f>COUNTIF(C6:C53,1)</f>
        <v>0</v>
      </c>
      <c r="D64" s="62"/>
      <c r="E64" s="62"/>
      <c r="F64" s="8">
        <f>COUNTIF(F6:F53,1)</f>
        <v>0</v>
      </c>
      <c r="G64" s="8"/>
      <c r="H64" s="8"/>
      <c r="I64" s="8">
        <f>COUNTIF(I6:I53,1)</f>
        <v>0</v>
      </c>
    </row>
    <row r="65" spans="2:26" x14ac:dyDescent="0.3">
      <c r="B65" s="7" t="s">
        <v>27</v>
      </c>
      <c r="C65" s="8">
        <f>COUNTIF(C6:C53,2)</f>
        <v>0</v>
      </c>
      <c r="D65" s="62"/>
      <c r="E65" s="62"/>
      <c r="F65" s="8">
        <f>COUNTIF(F6:F53,2)</f>
        <v>0</v>
      </c>
      <c r="G65" s="62"/>
      <c r="H65" s="62"/>
      <c r="I65" s="8">
        <f>COUNTIF(I6:I53,2)</f>
        <v>0</v>
      </c>
      <c r="T65" s="18" t="s">
        <v>31</v>
      </c>
      <c r="Z65" s="73" t="s">
        <v>32</v>
      </c>
    </row>
    <row r="66" spans="2:26" x14ac:dyDescent="0.3">
      <c r="B66" s="7" t="s">
        <v>28</v>
      </c>
      <c r="C66" s="8">
        <f>COUNTIF(C6:C53,3)</f>
        <v>0</v>
      </c>
      <c r="D66" s="62"/>
      <c r="E66" s="62"/>
      <c r="F66" s="8">
        <f>COUNTIF(F6:F53,3)</f>
        <v>0</v>
      </c>
      <c r="G66" s="62"/>
      <c r="H66" s="62"/>
      <c r="I66" s="8">
        <f>COUNTIF(I6:I53,3)</f>
        <v>1</v>
      </c>
    </row>
    <row r="67" spans="2:26" x14ac:dyDescent="0.3">
      <c r="B67" s="7" t="s">
        <v>29</v>
      </c>
      <c r="C67" s="8">
        <f>COUNTIF(C6:C53,0)</f>
        <v>1</v>
      </c>
      <c r="D67" s="62"/>
      <c r="E67" s="62"/>
      <c r="F67" s="8">
        <f>COUNTIF(F6:F53,0)</f>
        <v>1</v>
      </c>
      <c r="G67" s="62"/>
      <c r="H67" s="62"/>
      <c r="I67" s="8">
        <f>COUNTIF(I6:I53,0)</f>
        <v>0</v>
      </c>
    </row>
    <row r="68" spans="2:26" x14ac:dyDescent="0.3">
      <c r="B68" s="7" t="e">
        <v>#N/A</v>
      </c>
      <c r="C68" s="8">
        <f>COUNTIF(C6:C60,#N/A)</f>
        <v>0</v>
      </c>
      <c r="D68" s="62"/>
      <c r="E68" s="62"/>
      <c r="F68" s="8">
        <f>COUNTIF(F6:F60,#N/A)</f>
        <v>0</v>
      </c>
      <c r="G68" s="62"/>
      <c r="H68" s="62"/>
      <c r="I68" s="8">
        <f>COUNTIF(I6:I60,#N/A)</f>
        <v>0</v>
      </c>
    </row>
    <row r="69" spans="2:26" x14ac:dyDescent="0.3">
      <c r="B69" s="7"/>
      <c r="C69" s="8">
        <f>SUM(C64:C68)</f>
        <v>1</v>
      </c>
      <c r="D69" s="8"/>
      <c r="E69" s="8"/>
      <c r="F69" s="8">
        <f>SUM(F64:F68)</f>
        <v>1</v>
      </c>
      <c r="G69" s="8"/>
      <c r="H69" s="8"/>
      <c r="I69" s="8">
        <f>SUM(I64:I68)</f>
        <v>1</v>
      </c>
    </row>
  </sheetData>
  <sheetProtection formatCells="0" formatColumns="0" formatRows="0" insertColumns="0" insertRows="0" insertHyperlinks="0" deleteColumns="0" deleteRows="0" sort="0"/>
  <mergeCells count="5">
    <mergeCell ref="C4:D4"/>
    <mergeCell ref="F4:G4"/>
    <mergeCell ref="I4:J4"/>
    <mergeCell ref="T4:X4"/>
    <mergeCell ref="L4:M4"/>
  </mergeCells>
  <conditionalFormatting sqref="D6:E59 G6:H59 J6:K59 O6:P59">
    <cfRule type="cellIs" dxfId="10" priority="2" operator="lessThan">
      <formula>0</formula>
    </cfRule>
  </conditionalFormatting>
  <conditionalFormatting sqref="D61:E62 G61:H62 J61:K62 M61:N62 V61:W62">
    <cfRule type="containsText" dxfId="9" priority="13" operator="containsText" text="ERREUR">
      <formula>NOT(ISERROR(SEARCH("ERREUR",D61)))</formula>
    </cfRule>
    <cfRule type="containsText" dxfId="8" priority="14" operator="containsText" text="OK">
      <formula>NOT(ISERROR(SEARCH("OK",D61)))</formula>
    </cfRule>
  </conditionalFormatting>
  <conditionalFormatting sqref="M60:N60 V60:W60">
    <cfRule type="colorScale" priority="19">
      <colorScale>
        <cfvo type="num" val="-1"/>
        <cfvo type="num" val="0"/>
        <cfvo type="num" val="1"/>
        <color rgb="FFFF0000"/>
        <color rgb="FF00FF00"/>
        <color rgb="FFFF0000"/>
      </colorScale>
    </cfRule>
  </conditionalFormatting>
  <conditionalFormatting sqref="X6:X59">
    <cfRule type="duplicateValues" dxfId="7" priority="52"/>
  </conditionalFormatting>
  <conditionalFormatting sqref="X54:X59">
    <cfRule type="duplicateValues" dxfId="6" priority="1"/>
  </conditionalFormatting>
  <pageMargins left="0.3" right="0.2" top="0.31" bottom="0.47" header="0.14000000000000001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4">
    <tabColor rgb="FFFFFF00"/>
  </sheetPr>
  <dimension ref="A1:AD88"/>
  <sheetViews>
    <sheetView workbookViewId="0"/>
  </sheetViews>
  <sheetFormatPr baseColWidth="10" defaultColWidth="11.44140625" defaultRowHeight="15.6" x14ac:dyDescent="0.3"/>
  <cols>
    <col min="1" max="1" width="5.33203125" style="20" customWidth="1"/>
    <col min="2" max="2" width="21.109375" style="18" customWidth="1"/>
    <col min="3" max="3" width="6.5546875" style="18" customWidth="1"/>
    <col min="4" max="4" width="5.44140625" style="18" customWidth="1"/>
    <col min="5" max="5" width="5.33203125" style="18" customWidth="1"/>
    <col min="6" max="6" width="2.5546875" style="18" customWidth="1"/>
    <col min="7" max="7" width="21.6640625" style="18" customWidth="1"/>
    <col min="8" max="8" width="5.5546875" style="18" customWidth="1"/>
    <col min="9" max="9" width="4.88671875" style="18" customWidth="1"/>
    <col min="10" max="10" width="4.33203125" style="18" customWidth="1"/>
    <col min="11" max="11" width="1.88671875" style="18" customWidth="1"/>
    <col min="12" max="12" width="20.88671875" style="18" customWidth="1"/>
    <col min="13" max="13" width="6.33203125" style="18" customWidth="1"/>
    <col min="14" max="14" width="4.5546875" style="18" customWidth="1"/>
    <col min="15" max="15" width="4.6640625" style="18" customWidth="1"/>
    <col min="16" max="16" width="2.5546875" style="18" customWidth="1"/>
    <col min="17" max="17" width="13.5546875" style="69" customWidth="1"/>
    <col min="18" max="18" width="6" style="69" customWidth="1"/>
    <col min="19" max="19" width="5" style="69" customWidth="1"/>
    <col min="20" max="20" width="4.44140625" style="69" customWidth="1"/>
    <col min="21" max="21" width="1.6640625" style="69" customWidth="1"/>
    <col min="22" max="22" width="13.88671875" style="69" customWidth="1"/>
    <col min="23" max="23" width="6" style="69" customWidth="1"/>
    <col min="24" max="24" width="5.109375" style="69" customWidth="1"/>
    <col min="25" max="25" width="4.6640625" style="69" customWidth="1"/>
    <col min="26" max="26" width="2.5546875" style="69" customWidth="1"/>
    <col min="27" max="27" width="13.88671875" style="69" customWidth="1"/>
    <col min="28" max="28" width="6.109375" style="69" customWidth="1"/>
    <col min="29" max="29" width="5.44140625" style="69" customWidth="1"/>
    <col min="30" max="30" width="4.88671875" style="69" customWidth="1"/>
    <col min="31" max="16384" width="11.44140625" style="18"/>
  </cols>
  <sheetData>
    <row r="1" spans="1:30" s="36" customFormat="1" ht="18" x14ac:dyDescent="0.35">
      <c r="A1" s="34"/>
      <c r="B1" s="36" t="s">
        <v>8</v>
      </c>
      <c r="L1" s="36" t="s">
        <v>13</v>
      </c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3" spans="1:30" s="36" customFormat="1" ht="18" x14ac:dyDescent="0.35">
      <c r="A3" s="35" t="s">
        <v>22</v>
      </c>
      <c r="D3" s="37"/>
      <c r="E3" s="34"/>
      <c r="F3" s="37"/>
      <c r="G3" s="37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</row>
    <row r="4" spans="1:30" ht="18" x14ac:dyDescent="0.35">
      <c r="G4" s="36" t="s">
        <v>23</v>
      </c>
    </row>
    <row r="5" spans="1:30" ht="16.2" thickBot="1" x14ac:dyDescent="0.35"/>
    <row r="6" spans="1:30" s="22" customFormat="1" ht="21.75" customHeight="1" thickTop="1" thickBot="1" x14ac:dyDescent="0.3">
      <c r="A6" s="20"/>
      <c r="B6" s="363" t="s">
        <v>1</v>
      </c>
      <c r="C6" s="364"/>
      <c r="D6" s="364"/>
      <c r="E6" s="365"/>
      <c r="F6" s="20"/>
      <c r="G6" s="366" t="s">
        <v>2</v>
      </c>
      <c r="H6" s="367"/>
      <c r="I6" s="367"/>
      <c r="J6" s="368"/>
      <c r="K6" s="20"/>
      <c r="L6" s="369" t="s">
        <v>3</v>
      </c>
      <c r="M6" s="370"/>
      <c r="N6" s="370"/>
      <c r="O6" s="371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</row>
    <row r="7" spans="1:30" ht="16.2" thickTop="1" x14ac:dyDescent="0.3">
      <c r="B7" s="19"/>
      <c r="C7" s="19"/>
      <c r="D7" s="19"/>
      <c r="E7" s="19"/>
      <c r="F7" s="20"/>
      <c r="G7" s="19"/>
      <c r="H7" s="19"/>
      <c r="I7" s="19"/>
      <c r="K7" s="19"/>
      <c r="L7" s="19"/>
      <c r="M7" s="20"/>
      <c r="N7" s="20"/>
      <c r="O7" s="19"/>
      <c r="P7" s="19"/>
    </row>
    <row r="8" spans="1:30" x14ac:dyDescent="0.3">
      <c r="A8" s="31" t="s">
        <v>30</v>
      </c>
      <c r="B8" s="21" t="s">
        <v>4</v>
      </c>
      <c r="C8" s="21" t="s">
        <v>12</v>
      </c>
      <c r="D8" s="21" t="s">
        <v>10</v>
      </c>
      <c r="E8" s="21" t="s">
        <v>11</v>
      </c>
      <c r="F8" s="19"/>
      <c r="G8" s="21" t="s">
        <v>4</v>
      </c>
      <c r="H8" s="21" t="s">
        <v>12</v>
      </c>
      <c r="I8" s="21" t="s">
        <v>10</v>
      </c>
      <c r="J8" s="21" t="s">
        <v>11</v>
      </c>
      <c r="K8" s="19"/>
      <c r="L8" s="21" t="s">
        <v>4</v>
      </c>
      <c r="M8" s="21" t="s">
        <v>12</v>
      </c>
      <c r="N8" s="21" t="s">
        <v>10</v>
      </c>
      <c r="O8" s="21" t="s">
        <v>11</v>
      </c>
    </row>
    <row r="9" spans="1:30" ht="16.2" thickBot="1" x14ac:dyDescent="0.35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30" x14ac:dyDescent="0.3">
      <c r="B10" s="9" t="str">
        <f>'1ère J.'!O10</f>
        <v>A1</v>
      </c>
      <c r="C10" s="25">
        <v>5</v>
      </c>
      <c r="D10" s="38">
        <f>IF(C10+C14=0,0,IF(C10=C14,2,IF(C10&gt;C14,3,1)))</f>
        <v>1</v>
      </c>
      <c r="E10" s="10">
        <f>C10-C14</f>
        <v>-1</v>
      </c>
      <c r="F10" s="6"/>
      <c r="G10" s="9" t="str">
        <f>'1ère J.'!R10</f>
        <v>A2</v>
      </c>
      <c r="H10" s="107">
        <v>11</v>
      </c>
      <c r="I10" s="38">
        <f>IF(H10+H14=0,0,IF(H10=H14,2,IF(H10&gt;H14,3,1)))</f>
        <v>3</v>
      </c>
      <c r="J10" s="10">
        <f>H10-H14</f>
        <v>11</v>
      </c>
      <c r="K10" s="6"/>
      <c r="L10" s="9" t="str">
        <f>'1ère J.'!V10</f>
        <v>B5</v>
      </c>
      <c r="M10" s="28">
        <v>18</v>
      </c>
      <c r="N10" s="38">
        <f>IF(M10+M14=0,0,IF(M10=M14,2,IF(M10&gt;M14,3,1)))</f>
        <v>3</v>
      </c>
      <c r="O10" s="10">
        <f>M10-M14</f>
        <v>13</v>
      </c>
    </row>
    <row r="11" spans="1:30" ht="16.2" thickBot="1" x14ac:dyDescent="0.35">
      <c r="B11" s="11" t="str">
        <f>'1ère J.'!P10</f>
        <v>B1</v>
      </c>
      <c r="C11" s="48">
        <f>IF(ISTEXT(B11),C10,0)</f>
        <v>5</v>
      </c>
      <c r="D11" s="48">
        <f>IF(ISTEXT(B11),D10,0)</f>
        <v>1</v>
      </c>
      <c r="E11" s="49">
        <f>IF(ISTEXT(B11),E10,0)</f>
        <v>-1</v>
      </c>
      <c r="F11" s="6"/>
      <c r="G11" s="11" t="str">
        <f>'1ère J.'!S10</f>
        <v>B3</v>
      </c>
      <c r="H11" s="48">
        <f>IF(ISTEXT(G11),H10,0)</f>
        <v>11</v>
      </c>
      <c r="I11" s="48">
        <f>IF(ISTEXT(G11),I10,0)</f>
        <v>3</v>
      </c>
      <c r="J11" s="50">
        <f>IF(ISTEXT(G11),J10,0)</f>
        <v>11</v>
      </c>
      <c r="K11" s="6"/>
      <c r="L11" s="11" t="str">
        <f>'1ère J.'!W10</f>
        <v>C7</v>
      </c>
      <c r="M11" s="14">
        <f>IF(ISTEXT(L11),M10,0)</f>
        <v>18</v>
      </c>
      <c r="N11" s="48">
        <f>IF(ISTEXT(L11),N10,0)</f>
        <v>3</v>
      </c>
      <c r="O11" s="15">
        <f>IF(ISTEXT(L11),O10,0)</f>
        <v>13</v>
      </c>
    </row>
    <row r="12" spans="1:30" x14ac:dyDescent="0.3">
      <c r="B12" s="11" t="str">
        <f>'1ère J.'!Q10</f>
        <v>C1</v>
      </c>
      <c r="C12" s="51">
        <f>IF(ISTEXT(B12),C10,0)</f>
        <v>5</v>
      </c>
      <c r="D12" s="52">
        <f>IF(ISTEXT(B12),D10,0)</f>
        <v>1</v>
      </c>
      <c r="E12" s="53">
        <f>IF(ISTEXT(B12),E10,0)</f>
        <v>-1</v>
      </c>
      <c r="F12" s="6"/>
      <c r="G12" s="11" t="str">
        <f>'1ère J.'!T10</f>
        <v>C4</v>
      </c>
      <c r="H12" s="51">
        <f>IF(ISTEXT(G12),H10,0)</f>
        <v>11</v>
      </c>
      <c r="I12" s="52">
        <f>IF(ISTEXT(G12),I10,0)</f>
        <v>3</v>
      </c>
      <c r="J12" s="54">
        <f>IF(ISTEXT(G12),J10,0)</f>
        <v>11</v>
      </c>
      <c r="K12" s="6"/>
      <c r="L12" s="11" t="str">
        <f>'1ère J.'!U11</f>
        <v>A4</v>
      </c>
      <c r="M12" s="55">
        <f>IF(ISTEXT(L12),M10,0)</f>
        <v>18</v>
      </c>
      <c r="N12" s="52">
        <f>IF(ISTEXT(L12),N10,0)</f>
        <v>3</v>
      </c>
      <c r="O12" s="56">
        <f>IF(ISTEXT(L12),O10,0)</f>
        <v>13</v>
      </c>
    </row>
    <row r="13" spans="1:30" s="22" customFormat="1" x14ac:dyDescent="0.25">
      <c r="A13" s="20">
        <v>1</v>
      </c>
      <c r="B13" s="24"/>
      <c r="C13" s="16" t="s">
        <v>5</v>
      </c>
      <c r="D13" s="16"/>
      <c r="E13" s="17"/>
      <c r="F13" s="1"/>
      <c r="G13" s="24"/>
      <c r="H13" s="16" t="s">
        <v>5</v>
      </c>
      <c r="I13" s="16"/>
      <c r="J13" s="17"/>
      <c r="K13" s="1"/>
      <c r="L13" s="24"/>
      <c r="M13" s="16" t="s">
        <v>5</v>
      </c>
      <c r="N13" s="16"/>
      <c r="O13" s="17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</row>
    <row r="14" spans="1:30" x14ac:dyDescent="0.3">
      <c r="B14" s="11" t="str">
        <f>'1ère J.'!O11</f>
        <v>A2</v>
      </c>
      <c r="C14" s="26">
        <v>6</v>
      </c>
      <c r="D14" s="23">
        <f>IF(C10+C14=0,0,IF(C10=C14,2,IF(C10&lt;C14,3,1)))</f>
        <v>3</v>
      </c>
      <c r="E14" s="12">
        <f>C14-C10</f>
        <v>1</v>
      </c>
      <c r="F14" s="6"/>
      <c r="G14" s="11" t="str">
        <f>'1ère J.'!R11</f>
        <v>A3</v>
      </c>
      <c r="H14" s="108">
        <v>0</v>
      </c>
      <c r="I14" s="23">
        <f>IF(H10+H14=0,0,IF(H10=H14,2,IF(H10&lt;H14,3,1)))</f>
        <v>1</v>
      </c>
      <c r="J14" s="12">
        <f>H14-H10</f>
        <v>-11</v>
      </c>
      <c r="K14" s="6"/>
      <c r="L14" s="11" t="str">
        <f>'1ère J.'!V11</f>
        <v>B6</v>
      </c>
      <c r="M14" s="29">
        <v>5</v>
      </c>
      <c r="N14" s="23">
        <f>IF(M10+M14=0,0,IF(M10=M14,2,IF(M10&lt;M14,3,1)))</f>
        <v>1</v>
      </c>
      <c r="O14" s="12">
        <f>M14-M10</f>
        <v>-13</v>
      </c>
    </row>
    <row r="15" spans="1:30" ht="16.2" thickBot="1" x14ac:dyDescent="0.35">
      <c r="B15" s="11" t="str">
        <f>'1ère J.'!P11</f>
        <v>B2</v>
      </c>
      <c r="C15" s="57">
        <f>IF(ISTEXT(B15),C14,0)</f>
        <v>6</v>
      </c>
      <c r="D15" s="14">
        <f>IF(ISTEXT(B15),D14,0)</f>
        <v>3</v>
      </c>
      <c r="E15" s="15">
        <f>IF(ISTEXT(B15),E14,0)</f>
        <v>1</v>
      </c>
      <c r="F15" s="6"/>
      <c r="G15" s="11" t="str">
        <f>'1ère J.'!S11</f>
        <v>B4</v>
      </c>
      <c r="H15" s="14">
        <f>IF(ISTEXT(G15),H14,0)</f>
        <v>0</v>
      </c>
      <c r="I15" s="14">
        <f>IF(ISTEXT(G15),I14,0)</f>
        <v>1</v>
      </c>
      <c r="J15" s="15">
        <f>IF(ISTEXT(G15),J14,0)</f>
        <v>-11</v>
      </c>
      <c r="K15" s="6"/>
      <c r="L15" s="11" t="str">
        <f>'1ère J.'!W11</f>
        <v>C8</v>
      </c>
      <c r="M15" s="14">
        <f>IF(ISTEXT(L15),M14,0)</f>
        <v>5</v>
      </c>
      <c r="N15" s="14">
        <f>IF(ISTEXT(L15),N14,0)</f>
        <v>1</v>
      </c>
      <c r="O15" s="15">
        <f>IF(ISTEXT(L15),O14,0)</f>
        <v>-13</v>
      </c>
    </row>
    <row r="16" spans="1:30" ht="16.2" thickBot="1" x14ac:dyDescent="0.35">
      <c r="B16" s="13" t="str">
        <f>'1ère J.'!Q11</f>
        <v>C2</v>
      </c>
      <c r="C16" s="57">
        <f>IF(ISTEXT(B16),C14,0)</f>
        <v>6</v>
      </c>
      <c r="D16" s="14">
        <f>IF(ISTEXT(B16),D14,0)</f>
        <v>3</v>
      </c>
      <c r="E16" s="15">
        <f>IF(ISTEXT(B16),E14,0)</f>
        <v>1</v>
      </c>
      <c r="F16" s="6"/>
      <c r="G16" s="13" t="str">
        <f>'1ère J.'!T11</f>
        <v>C5</v>
      </c>
      <c r="H16" s="14">
        <f>IF(ISTEXT(G16),H14,0)</f>
        <v>0</v>
      </c>
      <c r="I16" s="14">
        <f>IF(ISTEXT(G16),I14,0)</f>
        <v>1</v>
      </c>
      <c r="J16" s="15">
        <f>IF(ISTEXT(G16),J14,0)</f>
        <v>-11</v>
      </c>
      <c r="K16" s="6"/>
      <c r="L16" s="13" t="str">
        <f>'1ère J.'!U12</f>
        <v>A5</v>
      </c>
      <c r="M16" s="14">
        <f>IF(ISTEXT(L16),M14,0)</f>
        <v>5</v>
      </c>
      <c r="N16" s="14">
        <f>IF(ISTEXT(L16),N14,0)</f>
        <v>1</v>
      </c>
      <c r="O16" s="15">
        <f>IF(ISTEXT(L16),O14,0)</f>
        <v>-13</v>
      </c>
    </row>
    <row r="17" spans="1:16" ht="16.2" thickBot="1" x14ac:dyDescent="0.3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6" x14ac:dyDescent="0.3">
      <c r="B18" s="9" t="str">
        <f>'1ère J.'!O12</f>
        <v>A3</v>
      </c>
      <c r="C18" s="25">
        <v>12</v>
      </c>
      <c r="D18" s="38">
        <f>IF(C18+C22=0,0,IF(C18=C22,2,IF(C18&gt;C22,3,1)))</f>
        <v>3</v>
      </c>
      <c r="E18" s="10">
        <f>C18-C22</f>
        <v>2</v>
      </c>
      <c r="F18" s="6"/>
      <c r="G18" s="9" t="str">
        <f>'1ère J.'!R12</f>
        <v>A4</v>
      </c>
      <c r="H18" s="107">
        <v>5</v>
      </c>
      <c r="I18" s="38">
        <f>IF(H18+H22=0,0,IF(H18=H22,2,IF(H18&gt;H22,3,1)))</f>
        <v>1</v>
      </c>
      <c r="J18" s="10">
        <f>H18-H22</f>
        <v>-7</v>
      </c>
      <c r="K18" s="6"/>
      <c r="L18" s="9" t="str">
        <f>'1ère J.'!V12</f>
        <v>B7</v>
      </c>
      <c r="M18" s="28">
        <v>14</v>
      </c>
      <c r="N18" s="38">
        <f>IF(M18+M22=0,0,IF(M18=M22,2,IF(M18&gt;M22,3,1)))</f>
        <v>3</v>
      </c>
      <c r="O18" s="10">
        <f>M18-M22</f>
        <v>5</v>
      </c>
    </row>
    <row r="19" spans="1:16" ht="16.2" thickBot="1" x14ac:dyDescent="0.35">
      <c r="B19" s="11" t="str">
        <f>'1ère J.'!P12</f>
        <v>B3</v>
      </c>
      <c r="C19" s="14">
        <f>IF(ISTEXT(B19),C18,0)</f>
        <v>12</v>
      </c>
      <c r="D19" s="14">
        <f>IF(ISTEXT(B19),D18,0)</f>
        <v>3</v>
      </c>
      <c r="E19" s="15">
        <f>IF(ISTEXT(B19),E18,0)</f>
        <v>2</v>
      </c>
      <c r="F19" s="6"/>
      <c r="G19" s="11" t="str">
        <f>'1ère J.'!S12</f>
        <v>B5</v>
      </c>
      <c r="H19" s="14">
        <f>IF(ISTEXT(G19),H18,0)</f>
        <v>5</v>
      </c>
      <c r="I19" s="48">
        <f>IF(ISTEXT(G19),I18,0)</f>
        <v>1</v>
      </c>
      <c r="J19" s="15">
        <f>IF(ISTEXT(G19),J18,0)</f>
        <v>-7</v>
      </c>
      <c r="K19" s="6"/>
      <c r="L19" s="11" t="str">
        <f>'1ère J.'!W12</f>
        <v>C9</v>
      </c>
      <c r="M19" s="14">
        <f>IF(ISTEXT(L19),M18,0)</f>
        <v>14</v>
      </c>
      <c r="N19" s="48">
        <f>IF(ISTEXT(L19),N18,0)</f>
        <v>3</v>
      </c>
      <c r="O19" s="15">
        <f>IF(ISTEXT(L19),O18,0)</f>
        <v>5</v>
      </c>
    </row>
    <row r="20" spans="1:16" x14ac:dyDescent="0.3">
      <c r="B20" s="11" t="str">
        <f>'1ère J.'!Q12</f>
        <v>C3</v>
      </c>
      <c r="C20" s="55">
        <f>IF(ISTEXT(B20),C18,0)</f>
        <v>12</v>
      </c>
      <c r="D20" s="55">
        <f>IF(ISTEXT(B20),D18,0)</f>
        <v>3</v>
      </c>
      <c r="E20" s="56">
        <f>IF(ISTEXT(B20),E18,0)</f>
        <v>2</v>
      </c>
      <c r="F20" s="6"/>
      <c r="G20" s="11" t="str">
        <f>'1ère J.'!T12</f>
        <v>C6</v>
      </c>
      <c r="H20" s="55">
        <f>IF(ISTEXT(G20),H18,0)</f>
        <v>5</v>
      </c>
      <c r="I20" s="52">
        <f>IF(ISTEXT(G20),I18,0)</f>
        <v>1</v>
      </c>
      <c r="J20" s="56">
        <f>IF(ISTEXT(G20),J18,0)</f>
        <v>-7</v>
      </c>
      <c r="K20" s="6"/>
      <c r="L20" s="11" t="str">
        <f>'1ère J.'!U13</f>
        <v>A6</v>
      </c>
      <c r="M20" s="55">
        <f>IF(ISTEXT(L20),M18,0)</f>
        <v>14</v>
      </c>
      <c r="N20" s="52">
        <f>IF(ISTEXT(L20),N18,0)</f>
        <v>3</v>
      </c>
      <c r="O20" s="56">
        <f>IF(ISTEXT(L20),O18,0)</f>
        <v>5</v>
      </c>
    </row>
    <row r="21" spans="1:16" x14ac:dyDescent="0.3">
      <c r="A21" s="20">
        <v>2</v>
      </c>
      <c r="B21" s="24"/>
      <c r="C21" s="16" t="s">
        <v>5</v>
      </c>
      <c r="D21" s="16"/>
      <c r="E21" s="17"/>
      <c r="F21" s="1"/>
      <c r="G21" s="24"/>
      <c r="H21" s="16" t="s">
        <v>5</v>
      </c>
      <c r="I21" s="16"/>
      <c r="J21" s="17"/>
      <c r="K21" s="1"/>
      <c r="L21" s="24"/>
      <c r="M21" s="16" t="s">
        <v>5</v>
      </c>
      <c r="N21" s="16"/>
      <c r="O21" s="17"/>
      <c r="P21" s="22"/>
    </row>
    <row r="22" spans="1:16" x14ac:dyDescent="0.3">
      <c r="B22" s="11" t="str">
        <f>'1ère J.'!O13</f>
        <v>A4</v>
      </c>
      <c r="C22" s="27">
        <v>10</v>
      </c>
      <c r="D22" s="23">
        <f>IF(C18+C22=0,0,IF(C18=C22,2,IF(C18&lt;C22,3,1)))</f>
        <v>1</v>
      </c>
      <c r="E22" s="12">
        <f>C22-C18</f>
        <v>-2</v>
      </c>
      <c r="F22" s="6"/>
      <c r="G22" s="11" t="str">
        <f>'1ère J.'!R13</f>
        <v>A5</v>
      </c>
      <c r="H22" s="108">
        <v>12</v>
      </c>
      <c r="I22" s="23">
        <f>IF(H18+H22=0,0,IF(H18=H22,2,IF(H18&lt;H22,3,1)))</f>
        <v>3</v>
      </c>
      <c r="J22" s="12">
        <f>H22-H18</f>
        <v>7</v>
      </c>
      <c r="K22" s="6"/>
      <c r="L22" s="11" t="str">
        <f>'1ère J.'!V13</f>
        <v>B8</v>
      </c>
      <c r="M22" s="29">
        <v>9</v>
      </c>
      <c r="N22" s="23">
        <f>IF(M18+M22=0,0,IF(M18=M22,2,IF(M18&lt;M22,3,1)))</f>
        <v>1</v>
      </c>
      <c r="O22" s="12">
        <f>M22-M18</f>
        <v>-5</v>
      </c>
    </row>
    <row r="23" spans="1:16" ht="16.2" thickBot="1" x14ac:dyDescent="0.35">
      <c r="B23" s="11" t="str">
        <f>'1ère J.'!P13</f>
        <v>B4</v>
      </c>
      <c r="C23" s="57">
        <f>IF(ISTEXT(B23),C22,0)</f>
        <v>10</v>
      </c>
      <c r="D23" s="14">
        <f>IF(ISTEXT(B23),D22,0)</f>
        <v>1</v>
      </c>
      <c r="E23" s="15">
        <f>IF(ISTEXT(B23),E22,0)</f>
        <v>-2</v>
      </c>
      <c r="F23" s="6"/>
      <c r="G23" s="11" t="str">
        <f>'1ère J.'!S13</f>
        <v>B6</v>
      </c>
      <c r="H23" s="14">
        <f>IF(ISTEXT(G23),H22,0)</f>
        <v>12</v>
      </c>
      <c r="I23" s="14">
        <f>IF(ISTEXT(G23),I22,0)</f>
        <v>3</v>
      </c>
      <c r="J23" s="15">
        <f>IF(ISTEXT(G23),J22,0)</f>
        <v>7</v>
      </c>
      <c r="K23" s="6"/>
      <c r="L23" s="11" t="str">
        <f>'1ère J.'!W13</f>
        <v>C10</v>
      </c>
      <c r="M23" s="14">
        <f>IF(ISTEXT(L23),M22,0)</f>
        <v>9</v>
      </c>
      <c r="N23" s="14">
        <f>IF(ISTEXT(L23),N22,0)</f>
        <v>1</v>
      </c>
      <c r="O23" s="15">
        <f>IF(ISTEXT(L23),O22,0)</f>
        <v>-5</v>
      </c>
    </row>
    <row r="24" spans="1:16" ht="16.2" thickBot="1" x14ac:dyDescent="0.35">
      <c r="B24" s="13" t="str">
        <f>'1ère J.'!Q13</f>
        <v>C4</v>
      </c>
      <c r="C24" s="57">
        <f>IF(ISTEXT(B24),C22,0)</f>
        <v>10</v>
      </c>
      <c r="D24" s="14">
        <f>IF(ISTEXT(B24),D22,0)</f>
        <v>1</v>
      </c>
      <c r="E24" s="15">
        <f>IF(ISTEXT(B24),E22,0)</f>
        <v>-2</v>
      </c>
      <c r="F24" s="6"/>
      <c r="G24" s="13" t="str">
        <f>'1ère J.'!T13</f>
        <v>C7</v>
      </c>
      <c r="H24" s="14">
        <f>IF(ISTEXT(G24),H22,0)</f>
        <v>12</v>
      </c>
      <c r="I24" s="14">
        <f>IF(ISTEXT(G24),I22,0)</f>
        <v>3</v>
      </c>
      <c r="J24" s="15">
        <f>IF(ISTEXT(G24),J22,0)</f>
        <v>7</v>
      </c>
      <c r="K24" s="6"/>
      <c r="L24" s="13" t="str">
        <f>'1ère J.'!U14</f>
        <v>A7</v>
      </c>
      <c r="M24" s="14">
        <f>IF(ISTEXT(L24),M22,0)</f>
        <v>9</v>
      </c>
      <c r="N24" s="14">
        <f>IF(ISTEXT(L24),N22,0)</f>
        <v>1</v>
      </c>
      <c r="O24" s="15">
        <f>IF(ISTEXT(L24),O22,0)</f>
        <v>-5</v>
      </c>
    </row>
    <row r="25" spans="1:16" ht="16.2" thickBot="1" x14ac:dyDescent="0.35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6" x14ac:dyDescent="0.3">
      <c r="B26" s="9" t="str">
        <f>'1ère J.'!O14</f>
        <v>A5</v>
      </c>
      <c r="C26" s="25">
        <v>0</v>
      </c>
      <c r="D26" s="38">
        <f>IF(C26+C30=0,0,IF(C26=C30,2,IF(C26&gt;C30,3,1)))</f>
        <v>0</v>
      </c>
      <c r="E26" s="10">
        <f>C26-C30</f>
        <v>0</v>
      </c>
      <c r="F26" s="6"/>
      <c r="G26" s="9" t="str">
        <f>'1ère J.'!R14</f>
        <v>A6</v>
      </c>
      <c r="H26" s="107">
        <v>0</v>
      </c>
      <c r="I26" s="38">
        <f>IF(H26+H30=0,0,IF(H26=H30,2,IF(H26&gt;H30,3,1)))</f>
        <v>0</v>
      </c>
      <c r="J26" s="10">
        <f>H26-H30</f>
        <v>0</v>
      </c>
      <c r="K26" s="6"/>
      <c r="L26" s="9" t="str">
        <f>'1ère J.'!V14</f>
        <v>B9</v>
      </c>
      <c r="M26" s="28">
        <v>0</v>
      </c>
      <c r="N26" s="38">
        <f>IF(M26+M30=0,0,IF(M26=M30,2,IF(M26&gt;M30,3,1)))</f>
        <v>0</v>
      </c>
      <c r="O26" s="10">
        <f>M26-M30</f>
        <v>0</v>
      </c>
    </row>
    <row r="27" spans="1:16" ht="16.2" thickBot="1" x14ac:dyDescent="0.35">
      <c r="B27" s="11" t="str">
        <f>'1ère J.'!P14</f>
        <v>B5</v>
      </c>
      <c r="C27" s="14">
        <f>IF(ISTEXT(B27),C26,0)</f>
        <v>0</v>
      </c>
      <c r="D27" s="14">
        <f>IF(ISTEXT(B27),D26,0)</f>
        <v>0</v>
      </c>
      <c r="E27" s="15">
        <f>IF(ISTEXT(B27),E26,0)</f>
        <v>0</v>
      </c>
      <c r="F27" s="6"/>
      <c r="G27" s="11" t="str">
        <f>'1ère J.'!S14</f>
        <v>B7</v>
      </c>
      <c r="H27" s="14">
        <f>IF(ISTEXT(G27),H26,0)</f>
        <v>0</v>
      </c>
      <c r="I27" s="48">
        <f>IF(ISTEXT(G27),I26,0)</f>
        <v>0</v>
      </c>
      <c r="J27" s="15">
        <f>IF(ISTEXT(G27),J26,0)</f>
        <v>0</v>
      </c>
      <c r="K27" s="6"/>
      <c r="L27" s="11" t="str">
        <f>'1ère J.'!W14</f>
        <v>C11</v>
      </c>
      <c r="M27" s="14">
        <f>IF(ISTEXT(L27),M26,0)</f>
        <v>0</v>
      </c>
      <c r="N27" s="48">
        <f>IF(ISTEXT(L27),N26,0)</f>
        <v>0</v>
      </c>
      <c r="O27" s="15">
        <f>IF(ISTEXT(L27),O26,0)</f>
        <v>0</v>
      </c>
    </row>
    <row r="28" spans="1:16" x14ac:dyDescent="0.3">
      <c r="B28" s="11" t="str">
        <f>'1ère J.'!Q14</f>
        <v>C5</v>
      </c>
      <c r="C28" s="55">
        <f>IF(ISTEXT(B28),C26,0)</f>
        <v>0</v>
      </c>
      <c r="D28" s="55">
        <f>IF(ISTEXT(B28),D26,0)</f>
        <v>0</v>
      </c>
      <c r="E28" s="56">
        <f>IF(ISTEXT(B28),E26,0)</f>
        <v>0</v>
      </c>
      <c r="F28" s="6"/>
      <c r="G28" s="11" t="str">
        <f>'1ère J.'!T14</f>
        <v>C8</v>
      </c>
      <c r="H28" s="55">
        <f>IF(ISTEXT(G28),H26,0)</f>
        <v>0</v>
      </c>
      <c r="I28" s="52">
        <f>IF(ISTEXT(G28),I26,0)</f>
        <v>0</v>
      </c>
      <c r="J28" s="56">
        <f>IF(ISTEXT(G28),J26,0)</f>
        <v>0</v>
      </c>
      <c r="K28" s="6"/>
      <c r="L28" s="11" t="str">
        <f>'1ère J.'!U15</f>
        <v>A8</v>
      </c>
      <c r="M28" s="55">
        <f>IF(ISTEXT(L28),M26,0)</f>
        <v>0</v>
      </c>
      <c r="N28" s="52">
        <f>IF(ISTEXT(L28),N26,0)</f>
        <v>0</v>
      </c>
      <c r="O28" s="56">
        <f>IF(ISTEXT(L28),O26,0)</f>
        <v>0</v>
      </c>
    </row>
    <row r="29" spans="1:16" x14ac:dyDescent="0.3">
      <c r="A29" s="20">
        <v>3</v>
      </c>
      <c r="B29" s="24"/>
      <c r="C29" s="16" t="s">
        <v>5</v>
      </c>
      <c r="D29" s="16"/>
      <c r="E29" s="17"/>
      <c r="F29" s="1"/>
      <c r="G29" s="24"/>
      <c r="H29" s="16" t="s">
        <v>5</v>
      </c>
      <c r="I29" s="16"/>
      <c r="J29" s="17"/>
      <c r="K29" s="1"/>
      <c r="L29" s="24"/>
      <c r="M29" s="16" t="s">
        <v>5</v>
      </c>
      <c r="N29" s="16"/>
      <c r="O29" s="17"/>
      <c r="P29" s="22"/>
    </row>
    <row r="30" spans="1:16" x14ac:dyDescent="0.3">
      <c r="B30" s="11" t="str">
        <f>'1ère J.'!O15</f>
        <v>A6</v>
      </c>
      <c r="C30" s="27">
        <v>0</v>
      </c>
      <c r="D30" s="23">
        <f>IF(C26+C30=0,0,IF(C26=C30,2,IF(C26&lt;C30,3,1)))</f>
        <v>0</v>
      </c>
      <c r="E30" s="12">
        <f>C30-C26</f>
        <v>0</v>
      </c>
      <c r="F30" s="6"/>
      <c r="G30" s="11" t="str">
        <f>'1ère J.'!R15</f>
        <v>A7</v>
      </c>
      <c r="H30" s="108">
        <v>0</v>
      </c>
      <c r="I30" s="23">
        <f>IF(H26+H30=0,0,IF(H26=H30,2,IF(H26&lt;H30,3,1)))</f>
        <v>0</v>
      </c>
      <c r="J30" s="12">
        <f>H30-H26</f>
        <v>0</v>
      </c>
      <c r="K30" s="6"/>
      <c r="L30" s="11" t="str">
        <f>'1ère J.'!V15</f>
        <v>B10</v>
      </c>
      <c r="M30" s="29">
        <v>0</v>
      </c>
      <c r="N30" s="23">
        <f>IF(M26+M30=0,0,IF(M26=M30,2,IF(M26&lt;M30,3,1)))</f>
        <v>0</v>
      </c>
      <c r="O30" s="12">
        <f>M30-M26</f>
        <v>0</v>
      </c>
    </row>
    <row r="31" spans="1:16" ht="16.2" thickBot="1" x14ac:dyDescent="0.35">
      <c r="B31" s="11" t="str">
        <f>'1ère J.'!P15</f>
        <v>B6</v>
      </c>
      <c r="C31" s="14">
        <f>IF(ISTEXT(B31),C30,0)</f>
        <v>0</v>
      </c>
      <c r="D31" s="14">
        <f>IF(ISTEXT(B31),D30,0)</f>
        <v>0</v>
      </c>
      <c r="E31" s="15">
        <f>IF(ISTEXT(B31),E30,0)</f>
        <v>0</v>
      </c>
      <c r="F31" s="6"/>
      <c r="G31" s="11" t="str">
        <f>'1ère J.'!S15</f>
        <v>B8</v>
      </c>
      <c r="H31" s="14">
        <f>IF(ISTEXT(G31),H30,0)</f>
        <v>0</v>
      </c>
      <c r="I31" s="14">
        <f>IF(ISTEXT(G31),I30,0)</f>
        <v>0</v>
      </c>
      <c r="J31" s="15">
        <f>IF(ISTEXT(G31),J30,0)</f>
        <v>0</v>
      </c>
      <c r="K31" s="6"/>
      <c r="L31" s="11" t="str">
        <f>'1ère J.'!W15</f>
        <v>C12</v>
      </c>
      <c r="M31" s="14">
        <f>IF(ISTEXT(L31),M30,0)</f>
        <v>0</v>
      </c>
      <c r="N31" s="14">
        <f>IF(ISTEXT(L31),N30,0)</f>
        <v>0</v>
      </c>
      <c r="O31" s="15">
        <f>IF(ISTEXT(L31),O30,0)</f>
        <v>0</v>
      </c>
    </row>
    <row r="32" spans="1:16" ht="16.2" thickBot="1" x14ac:dyDescent="0.35">
      <c r="B32" s="13" t="str">
        <f>'1ère J.'!Q15</f>
        <v>C6</v>
      </c>
      <c r="C32" s="14">
        <f>IF(ISTEXT(B32),C30,0)</f>
        <v>0</v>
      </c>
      <c r="D32" s="14">
        <f>IF(ISTEXT(B32),D30,0)</f>
        <v>0</v>
      </c>
      <c r="E32" s="15">
        <f>IF(ISTEXT(B32),E30,0)</f>
        <v>0</v>
      </c>
      <c r="F32" s="6"/>
      <c r="G32" s="13" t="str">
        <f>'1ère J.'!T15</f>
        <v>C9</v>
      </c>
      <c r="H32" s="14">
        <f>IF(ISTEXT(G32),H30,0)</f>
        <v>0</v>
      </c>
      <c r="I32" s="14">
        <f>IF(ISTEXT(G32),I30,0)</f>
        <v>0</v>
      </c>
      <c r="J32" s="15">
        <f>IF(ISTEXT(G32),J30,0)</f>
        <v>0</v>
      </c>
      <c r="K32" s="6"/>
      <c r="L32" s="13" t="str">
        <f>'1ère J.'!U16</f>
        <v>A9</v>
      </c>
      <c r="M32" s="14">
        <f>IF(ISTEXT(L32),M30,0)</f>
        <v>0</v>
      </c>
      <c r="N32" s="14">
        <f>IF(ISTEXT(L32),N30,0)</f>
        <v>0</v>
      </c>
      <c r="O32" s="15">
        <f>IF(ISTEXT(L32),O30,0)</f>
        <v>0</v>
      </c>
    </row>
    <row r="33" spans="1:16" ht="16.2" thickBot="1" x14ac:dyDescent="0.35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6" x14ac:dyDescent="0.3">
      <c r="B34" s="9" t="str">
        <f>'1ère J.'!O16</f>
        <v>A7</v>
      </c>
      <c r="C34" s="25">
        <v>0</v>
      </c>
      <c r="D34" s="38">
        <f>IF(C34+C38=0,0,IF(C34=C38,2,IF(C34&gt;C38,3,1)))</f>
        <v>0</v>
      </c>
      <c r="E34" s="10">
        <f>C34-C38</f>
        <v>0</v>
      </c>
      <c r="F34" s="6"/>
      <c r="G34" s="9" t="str">
        <f>'1ère J.'!R16</f>
        <v>A8</v>
      </c>
      <c r="H34" s="107">
        <v>0</v>
      </c>
      <c r="I34" s="38">
        <f>IF(H34+H38=0,0,IF(H34=H38,2,IF(H34&gt;H38,3,1)))</f>
        <v>0</v>
      </c>
      <c r="J34" s="10">
        <f>H34-H38</f>
        <v>0</v>
      </c>
      <c r="K34" s="6"/>
      <c r="L34" s="9" t="str">
        <f>'1ère J.'!V16</f>
        <v>B11</v>
      </c>
      <c r="M34" s="28">
        <v>0</v>
      </c>
      <c r="N34" s="38">
        <f>IF(M34+M38=0,0,IF(M34=M38,2,IF(M34&gt;M38,3,1)))</f>
        <v>0</v>
      </c>
      <c r="O34" s="10">
        <f>M34-M38</f>
        <v>0</v>
      </c>
    </row>
    <row r="35" spans="1:16" ht="16.2" thickBot="1" x14ac:dyDescent="0.35">
      <c r="B35" s="11" t="str">
        <f>'1ère J.'!P16</f>
        <v>B7</v>
      </c>
      <c r="C35" s="14">
        <f>IF(ISTEXT(B35),C34,0)</f>
        <v>0</v>
      </c>
      <c r="D35" s="14">
        <f>IF(ISTEXT(B35),D34,0)</f>
        <v>0</v>
      </c>
      <c r="E35" s="15">
        <f>IF(ISTEXT(B35),E34,0)</f>
        <v>0</v>
      </c>
      <c r="F35" s="6"/>
      <c r="G35" s="11" t="str">
        <f>'1ère J.'!S16</f>
        <v>B9</v>
      </c>
      <c r="H35" s="14">
        <f>IF(ISTEXT(G35),H34,0)</f>
        <v>0</v>
      </c>
      <c r="I35" s="48">
        <f>IF(ISTEXT(G35),I34,0)</f>
        <v>0</v>
      </c>
      <c r="J35" s="15">
        <f>IF(ISTEXT(G35),J34,0)</f>
        <v>0</v>
      </c>
      <c r="K35" s="6"/>
      <c r="L35" s="11" t="str">
        <f>'1ère J.'!W16</f>
        <v>C13</v>
      </c>
      <c r="M35" s="14">
        <f>IF(ISTEXT(L35),M34,0)</f>
        <v>0</v>
      </c>
      <c r="N35" s="48">
        <f>IF(ISTEXT(L35),N34,0)</f>
        <v>0</v>
      </c>
      <c r="O35" s="15">
        <f>IF(ISTEXT(L35),O34,0)</f>
        <v>0</v>
      </c>
    </row>
    <row r="36" spans="1:16" x14ac:dyDescent="0.3">
      <c r="B36" s="11" t="str">
        <f>'1ère J.'!Q16</f>
        <v>C7</v>
      </c>
      <c r="C36" s="55">
        <f>IF(ISTEXT(B36),C34,0)</f>
        <v>0</v>
      </c>
      <c r="D36" s="55">
        <f>IF(ISTEXT(B36),D34,0)</f>
        <v>0</v>
      </c>
      <c r="E36" s="56">
        <f>IF(ISTEXT(B36),E34,0)</f>
        <v>0</v>
      </c>
      <c r="F36" s="6"/>
      <c r="G36" s="11" t="str">
        <f>'1ère J.'!T16</f>
        <v>C10</v>
      </c>
      <c r="H36" s="55">
        <f>IF(ISTEXT(G36),H34,0)</f>
        <v>0</v>
      </c>
      <c r="I36" s="52">
        <f>IF(ISTEXT(G36),I34,0)</f>
        <v>0</v>
      </c>
      <c r="J36" s="56">
        <f>IF(ISTEXT(G36),J34,0)</f>
        <v>0</v>
      </c>
      <c r="K36" s="6"/>
      <c r="L36" s="11" t="str">
        <f>'1ère J.'!U17</f>
        <v>A10</v>
      </c>
      <c r="M36" s="55">
        <f>IF(ISTEXT(L36),M34,0)</f>
        <v>0</v>
      </c>
      <c r="N36" s="52">
        <f>IF(ISTEXT(L36),N34,0)</f>
        <v>0</v>
      </c>
      <c r="O36" s="56">
        <f>IF(ISTEXT(L36),O34,0)</f>
        <v>0</v>
      </c>
    </row>
    <row r="37" spans="1:16" x14ac:dyDescent="0.3">
      <c r="A37" s="20">
        <v>4</v>
      </c>
      <c r="B37" s="24"/>
      <c r="C37" s="16" t="s">
        <v>5</v>
      </c>
      <c r="D37" s="16"/>
      <c r="E37" s="17"/>
      <c r="F37" s="1"/>
      <c r="G37" s="24"/>
      <c r="H37" s="16" t="s">
        <v>5</v>
      </c>
      <c r="I37" s="16"/>
      <c r="J37" s="17"/>
      <c r="K37" s="1"/>
      <c r="L37" s="24"/>
      <c r="M37" s="16" t="s">
        <v>5</v>
      </c>
      <c r="N37" s="16"/>
      <c r="O37" s="17"/>
      <c r="P37" s="22"/>
    </row>
    <row r="38" spans="1:16" x14ac:dyDescent="0.3">
      <c r="B38" s="11" t="str">
        <f>'1ère J.'!O17</f>
        <v>A8</v>
      </c>
      <c r="C38" s="27">
        <v>0</v>
      </c>
      <c r="D38" s="23">
        <f>IF(C34+C38=0,0,IF(C34=C38,2,IF(C34&lt;C38,3,1)))</f>
        <v>0</v>
      </c>
      <c r="E38" s="12">
        <f>C38-C34</f>
        <v>0</v>
      </c>
      <c r="F38" s="6"/>
      <c r="G38" s="11" t="str">
        <f>'1ère J.'!R17</f>
        <v>A9</v>
      </c>
      <c r="H38" s="108">
        <v>0</v>
      </c>
      <c r="I38" s="23">
        <f>IF(H34+H38=0,0,IF(H34=H38,2,IF(H34&lt;H38,3,1)))</f>
        <v>0</v>
      </c>
      <c r="J38" s="12">
        <f>H38-H34</f>
        <v>0</v>
      </c>
      <c r="K38" s="6"/>
      <c r="L38" s="11" t="str">
        <f>'1ère J.'!V17</f>
        <v>B12</v>
      </c>
      <c r="M38" s="29">
        <v>0</v>
      </c>
      <c r="N38" s="23">
        <f>IF(M34+M38=0,0,IF(M34=M38,2,IF(M34&lt;M38,3,1)))</f>
        <v>0</v>
      </c>
      <c r="O38" s="12">
        <f>M38-M34</f>
        <v>0</v>
      </c>
    </row>
    <row r="39" spans="1:16" ht="16.2" thickBot="1" x14ac:dyDescent="0.35">
      <c r="B39" s="11" t="str">
        <f>'1ère J.'!P17</f>
        <v>B8</v>
      </c>
      <c r="C39" s="14">
        <f>IF(ISTEXT(B39),C38,0)</f>
        <v>0</v>
      </c>
      <c r="D39" s="14">
        <f>IF(ISTEXT(B39),D38,0)</f>
        <v>0</v>
      </c>
      <c r="E39" s="15">
        <f>IF(ISTEXT(B39),E38,0)</f>
        <v>0</v>
      </c>
      <c r="F39" s="6"/>
      <c r="G39" s="11" t="str">
        <f>'1ère J.'!S17</f>
        <v>B10</v>
      </c>
      <c r="H39" s="14">
        <f>IF(ISTEXT(G39),H38,0)</f>
        <v>0</v>
      </c>
      <c r="I39" s="14">
        <f>IF(ISTEXT(G39),I38,0)</f>
        <v>0</v>
      </c>
      <c r="J39" s="15">
        <f>IF(ISTEXT(G39),J38,0)</f>
        <v>0</v>
      </c>
      <c r="K39" s="6"/>
      <c r="L39" s="11" t="str">
        <f>'1ère J.'!W17</f>
        <v>C14</v>
      </c>
      <c r="M39" s="14">
        <f>IF(ISTEXT(L39),M38,0)</f>
        <v>0</v>
      </c>
      <c r="N39" s="14">
        <f>IF(ISTEXT(L39),N38,0)</f>
        <v>0</v>
      </c>
      <c r="O39" s="15">
        <f>IF(ISTEXT(L39),O38,0)</f>
        <v>0</v>
      </c>
    </row>
    <row r="40" spans="1:16" ht="16.2" thickBot="1" x14ac:dyDescent="0.35">
      <c r="B40" s="13" t="str">
        <f>'1ère J.'!Q17</f>
        <v>C8</v>
      </c>
      <c r="C40" s="14">
        <f>IF(ISTEXT(B40),C38,0)</f>
        <v>0</v>
      </c>
      <c r="D40" s="14">
        <f>IF(ISTEXT(B40),D38,0)</f>
        <v>0</v>
      </c>
      <c r="E40" s="15">
        <f>IF(ISTEXT(B40),E38,0)</f>
        <v>0</v>
      </c>
      <c r="F40" s="6"/>
      <c r="G40" s="13" t="str">
        <f>'1ère J.'!T17</f>
        <v>C11</v>
      </c>
      <c r="H40" s="14">
        <f>IF(ISTEXT(G40),H38,0)</f>
        <v>0</v>
      </c>
      <c r="I40" s="14">
        <f>IF(ISTEXT(G40),I38,0)</f>
        <v>0</v>
      </c>
      <c r="J40" s="15">
        <f>IF(ISTEXT(G40),J38,0)</f>
        <v>0</v>
      </c>
      <c r="K40" s="6"/>
      <c r="L40" s="13" t="str">
        <f>'1ère J.'!U18</f>
        <v>A11</v>
      </c>
      <c r="M40" s="14">
        <f>IF(ISTEXT(L40),M38,0)</f>
        <v>0</v>
      </c>
      <c r="N40" s="14">
        <f>IF(ISTEXT(L40),N38,0)</f>
        <v>0</v>
      </c>
      <c r="O40" s="15">
        <f>IF(ISTEXT(L40),O38,0)</f>
        <v>0</v>
      </c>
    </row>
    <row r="41" spans="1:16" ht="16.2" thickBot="1" x14ac:dyDescent="0.35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6" x14ac:dyDescent="0.3">
      <c r="B42" s="9" t="str">
        <f>'1ère J.'!O18</f>
        <v>A9</v>
      </c>
      <c r="C42" s="25">
        <v>0</v>
      </c>
      <c r="D42" s="38">
        <f>IF(C42+C46=0,0,IF(C42=C46,2,IF(C42&gt;C46,3,1)))</f>
        <v>0</v>
      </c>
      <c r="E42" s="10">
        <f>C42-C46</f>
        <v>0</v>
      </c>
      <c r="F42" s="6"/>
      <c r="G42" s="9" t="str">
        <f>'1ère J.'!R18</f>
        <v>A10</v>
      </c>
      <c r="H42" s="107">
        <v>0</v>
      </c>
      <c r="I42" s="38">
        <f>IF(H42+H46=0,0,IF(H42=H46,2,IF(H42&gt;H46,3,1)))</f>
        <v>0</v>
      </c>
      <c r="J42" s="10">
        <f>H42-H46</f>
        <v>0</v>
      </c>
      <c r="K42" s="6"/>
      <c r="L42" s="9" t="str">
        <f>'1ère J.'!V18</f>
        <v>B13</v>
      </c>
      <c r="M42" s="28">
        <v>0</v>
      </c>
      <c r="N42" s="38">
        <f>IF(M42+M46=0,0,IF(M42=M46,2,IF(M42&gt;M46,3,1)))</f>
        <v>0</v>
      </c>
      <c r="O42" s="10">
        <f>M42-M46</f>
        <v>0</v>
      </c>
    </row>
    <row r="43" spans="1:16" ht="16.2" thickBot="1" x14ac:dyDescent="0.35">
      <c r="B43" s="11" t="str">
        <f>'1ère J.'!P18</f>
        <v>B9</v>
      </c>
      <c r="C43" s="14">
        <f>IF(ISTEXT(B43),C42,0)</f>
        <v>0</v>
      </c>
      <c r="D43" s="14">
        <f>IF(ISTEXT(B43),D42,0)</f>
        <v>0</v>
      </c>
      <c r="E43" s="15">
        <f>IF(ISTEXT(B43),E42,0)</f>
        <v>0</v>
      </c>
      <c r="F43" s="6"/>
      <c r="G43" s="11" t="str">
        <f>'1ère J.'!S18</f>
        <v>B11</v>
      </c>
      <c r="H43" s="14">
        <f>IF(ISTEXT(G43),H42,0)</f>
        <v>0</v>
      </c>
      <c r="I43" s="48">
        <f>IF(ISTEXT(G43),I42,0)</f>
        <v>0</v>
      </c>
      <c r="J43" s="15">
        <f>IF(ISTEXT(G43),J42,0)</f>
        <v>0</v>
      </c>
      <c r="K43" s="6"/>
      <c r="L43" s="11" t="str">
        <f>'1ère J.'!W18</f>
        <v>C15</v>
      </c>
      <c r="M43" s="14">
        <f>IF(ISTEXT(L43),M42,0)</f>
        <v>0</v>
      </c>
      <c r="N43" s="48">
        <f>IF(ISTEXT(L43),N42,0)</f>
        <v>0</v>
      </c>
      <c r="O43" s="15">
        <f>IF(ISTEXT(L43),O42,0)</f>
        <v>0</v>
      </c>
    </row>
    <row r="44" spans="1:16" x14ac:dyDescent="0.3">
      <c r="B44" s="11" t="str">
        <f>'1ère J.'!Q18</f>
        <v>C9</v>
      </c>
      <c r="C44" s="55">
        <f>IF(ISTEXT(B44),C42,0)</f>
        <v>0</v>
      </c>
      <c r="D44" s="55">
        <f>IF(ISTEXT(B44),D42,0)</f>
        <v>0</v>
      </c>
      <c r="E44" s="56">
        <f>IF(ISTEXT(B44),E42,0)</f>
        <v>0</v>
      </c>
      <c r="F44" s="6"/>
      <c r="G44" s="11" t="str">
        <f>'1ère J.'!T18</f>
        <v>C12</v>
      </c>
      <c r="H44" s="55">
        <f>IF(ISTEXT(G44),H42,0)</f>
        <v>0</v>
      </c>
      <c r="I44" s="52">
        <f>IF(ISTEXT(G44),I42,0)</f>
        <v>0</v>
      </c>
      <c r="J44" s="56">
        <f>IF(ISTEXT(G44),J42,0)</f>
        <v>0</v>
      </c>
      <c r="K44" s="6"/>
      <c r="L44" s="11" t="str">
        <f>'1ère J.'!U19</f>
        <v>A12</v>
      </c>
      <c r="M44" s="55">
        <f>IF(ISTEXT(L44),M42,0)</f>
        <v>0</v>
      </c>
      <c r="N44" s="52">
        <f>IF(ISTEXT(L44),N42,0)</f>
        <v>0</v>
      </c>
      <c r="O44" s="56">
        <f>IF(ISTEXT(L44),O42,0)</f>
        <v>0</v>
      </c>
    </row>
    <row r="45" spans="1:16" x14ac:dyDescent="0.3">
      <c r="A45" s="20">
        <v>5</v>
      </c>
      <c r="B45" s="24"/>
      <c r="C45" s="16" t="s">
        <v>5</v>
      </c>
      <c r="D45" s="16"/>
      <c r="E45" s="17"/>
      <c r="F45" s="1"/>
      <c r="G45" s="24"/>
      <c r="H45" s="16" t="s">
        <v>5</v>
      </c>
      <c r="I45" s="16"/>
      <c r="J45" s="17"/>
      <c r="K45" s="1"/>
      <c r="L45" s="24"/>
      <c r="M45" s="16" t="s">
        <v>5</v>
      </c>
      <c r="N45" s="16"/>
      <c r="O45" s="17"/>
      <c r="P45" s="22"/>
    </row>
    <row r="46" spans="1:16" x14ac:dyDescent="0.3">
      <c r="B46" s="11" t="str">
        <f>'1ère J.'!O19</f>
        <v>A10</v>
      </c>
      <c r="C46" s="27">
        <v>0</v>
      </c>
      <c r="D46" s="23">
        <f>IF(C42+C46=0,0,IF(C42=C46,2,IF(C42&lt;C46,3,1)))</f>
        <v>0</v>
      </c>
      <c r="E46" s="12">
        <f>C46-C42</f>
        <v>0</v>
      </c>
      <c r="F46" s="6"/>
      <c r="G46" s="11" t="str">
        <f>'1ère J.'!R19</f>
        <v>A11</v>
      </c>
      <c r="H46" s="108">
        <v>0</v>
      </c>
      <c r="I46" s="23">
        <f>IF(H42+H46=0,0,IF(H42=H46,2,IF(H42&lt;H46,3,1)))</f>
        <v>0</v>
      </c>
      <c r="J46" s="12">
        <f>H46-H42</f>
        <v>0</v>
      </c>
      <c r="K46" s="6"/>
      <c r="L46" s="11" t="str">
        <f>'1ère J.'!V19</f>
        <v>B14</v>
      </c>
      <c r="M46" s="29">
        <v>0</v>
      </c>
      <c r="N46" s="23">
        <f>IF(M42+M46=0,0,IF(M42=M46,2,IF(M42&lt;M46,3,1)))</f>
        <v>0</v>
      </c>
      <c r="O46" s="12">
        <f>M46-M42</f>
        <v>0</v>
      </c>
    </row>
    <row r="47" spans="1:16" ht="16.2" thickBot="1" x14ac:dyDescent="0.35">
      <c r="B47" s="11" t="str">
        <f>'1ère J.'!P19</f>
        <v>B10</v>
      </c>
      <c r="C47" s="14">
        <f>IF(ISTEXT(B47),C46,0)</f>
        <v>0</v>
      </c>
      <c r="D47" s="14">
        <f>IF(ISTEXT(B47),D46,0)</f>
        <v>0</v>
      </c>
      <c r="E47" s="15">
        <f>IF(ISTEXT(B47),E46,0)</f>
        <v>0</v>
      </c>
      <c r="F47" s="6"/>
      <c r="G47" s="11" t="str">
        <f>'1ère J.'!S19</f>
        <v>B12</v>
      </c>
      <c r="H47" s="14">
        <f>IF(ISTEXT(G47),H46,0)</f>
        <v>0</v>
      </c>
      <c r="I47" s="14">
        <f>IF(ISTEXT(G47),I46,0)</f>
        <v>0</v>
      </c>
      <c r="J47" s="15">
        <f>IF(ISTEXT(G47),J46,0)</f>
        <v>0</v>
      </c>
      <c r="K47" s="6"/>
      <c r="L47" s="11" t="str">
        <f>'1ère J.'!W19</f>
        <v>C16</v>
      </c>
      <c r="M47" s="14">
        <f>IF(ISTEXT(L47),M46,0)</f>
        <v>0</v>
      </c>
      <c r="N47" s="14">
        <f>IF(ISTEXT(L47),N46,0)</f>
        <v>0</v>
      </c>
      <c r="O47" s="15">
        <f>IF(ISTEXT(L47),O46,0)</f>
        <v>0</v>
      </c>
    </row>
    <row r="48" spans="1:16" ht="16.2" thickBot="1" x14ac:dyDescent="0.35">
      <c r="B48" s="13" t="str">
        <f>'1ère J.'!Q19</f>
        <v>C10</v>
      </c>
      <c r="C48" s="14">
        <f>IF(ISTEXT(B48),C46,0)</f>
        <v>0</v>
      </c>
      <c r="D48" s="14">
        <f>IF(ISTEXT(B48),D46,0)</f>
        <v>0</v>
      </c>
      <c r="E48" s="15">
        <f>IF(ISTEXT(B48),E46,0)</f>
        <v>0</v>
      </c>
      <c r="F48" s="6"/>
      <c r="G48" s="13" t="str">
        <f>'1ère J.'!T19</f>
        <v>C13</v>
      </c>
      <c r="H48" s="14">
        <f>IF(ISTEXT(G48),H46,0)</f>
        <v>0</v>
      </c>
      <c r="I48" s="14">
        <f>IF(ISTEXT(G48),I46,0)</f>
        <v>0</v>
      </c>
      <c r="J48" s="15">
        <f>IF(ISTEXT(G48),J46,0)</f>
        <v>0</v>
      </c>
      <c r="K48" s="6"/>
      <c r="L48" s="13" t="str">
        <f>'1ère J.'!U20</f>
        <v>A13</v>
      </c>
      <c r="M48" s="14">
        <f>IF(ISTEXT(L48),M46,0)</f>
        <v>0</v>
      </c>
      <c r="N48" s="14">
        <f>IF(ISTEXT(L48),N46,0)</f>
        <v>0</v>
      </c>
      <c r="O48" s="15">
        <f>IF(ISTEXT(L48),O46,0)</f>
        <v>0</v>
      </c>
    </row>
    <row r="49" spans="1:16" ht="16.2" thickBot="1" x14ac:dyDescent="0.35"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6" ht="16.8" thickTop="1" thickBot="1" x14ac:dyDescent="0.35">
      <c r="B50" s="438" t="s">
        <v>1</v>
      </c>
      <c r="C50" s="439"/>
      <c r="D50" s="439"/>
      <c r="E50" s="440"/>
      <c r="F50" s="1"/>
      <c r="G50" s="441" t="s">
        <v>2</v>
      </c>
      <c r="H50" s="442"/>
      <c r="I50" s="442"/>
      <c r="J50" s="443"/>
      <c r="K50" s="1"/>
      <c r="L50" s="435" t="s">
        <v>3</v>
      </c>
      <c r="M50" s="436"/>
      <c r="N50" s="436"/>
      <c r="O50" s="437"/>
    </row>
    <row r="51" spans="1:16" ht="16.2" thickTop="1" x14ac:dyDescent="0.3">
      <c r="B51" s="6"/>
      <c r="C51" s="6"/>
      <c r="D51" s="6"/>
      <c r="E51" s="6"/>
      <c r="F51" s="1"/>
      <c r="G51" s="6"/>
      <c r="H51" s="6"/>
      <c r="I51" s="6"/>
      <c r="J51" s="4"/>
      <c r="K51" s="6"/>
      <c r="L51" s="6"/>
      <c r="M51" s="1"/>
      <c r="N51" s="1"/>
      <c r="O51" s="6"/>
    </row>
    <row r="52" spans="1:16" x14ac:dyDescent="0.3">
      <c r="B52" s="8" t="s">
        <v>4</v>
      </c>
      <c r="C52" s="8" t="s">
        <v>12</v>
      </c>
      <c r="D52" s="8" t="s">
        <v>10</v>
      </c>
      <c r="E52" s="8" t="s">
        <v>11</v>
      </c>
      <c r="F52" s="6"/>
      <c r="G52" s="8" t="s">
        <v>4</v>
      </c>
      <c r="H52" s="8" t="s">
        <v>12</v>
      </c>
      <c r="I52" s="8" t="s">
        <v>10</v>
      </c>
      <c r="J52" s="8" t="s">
        <v>11</v>
      </c>
      <c r="K52" s="6"/>
      <c r="L52" s="8" t="s">
        <v>4</v>
      </c>
      <c r="M52" s="8" t="s">
        <v>12</v>
      </c>
      <c r="N52" s="8" t="s">
        <v>10</v>
      </c>
      <c r="O52" s="8" t="s">
        <v>11</v>
      </c>
    </row>
    <row r="53" spans="1:16" ht="16.2" thickBot="1" x14ac:dyDescent="0.3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6" x14ac:dyDescent="0.3">
      <c r="B54" s="9" t="str">
        <f>'1ère J.'!O20</f>
        <v>A11</v>
      </c>
      <c r="C54" s="25">
        <v>0</v>
      </c>
      <c r="D54" s="38">
        <f>IF(C54+C58=0,0,IF(C54=C58,2,IF(C54&gt;C58,3,1)))</f>
        <v>0</v>
      </c>
      <c r="E54" s="10">
        <f>C54-C58</f>
        <v>0</v>
      </c>
      <c r="F54" s="6"/>
      <c r="G54" s="9" t="str">
        <f>'1ère J.'!R20</f>
        <v>A12</v>
      </c>
      <c r="H54" s="107">
        <v>0</v>
      </c>
      <c r="I54" s="38">
        <f>IF(H54+H58=0,0,IF(H54=H58,2,IF(H54&gt;H58,3,1)))</f>
        <v>0</v>
      </c>
      <c r="J54" s="10">
        <f>H54-H58</f>
        <v>0</v>
      </c>
      <c r="K54" s="6"/>
      <c r="L54" s="9" t="str">
        <f>'1ère J.'!V20</f>
        <v>B15</v>
      </c>
      <c r="M54" s="28">
        <v>0</v>
      </c>
      <c r="N54" s="38">
        <f>IF(M54+M58=0,0,IF(M54=M58,2,IF(M54&gt;M58,3,1)))</f>
        <v>0</v>
      </c>
      <c r="O54" s="10">
        <f>M54-M58</f>
        <v>0</v>
      </c>
    </row>
    <row r="55" spans="1:16" ht="16.2" thickBot="1" x14ac:dyDescent="0.35">
      <c r="B55" s="11" t="str">
        <f>'1ère J.'!P20</f>
        <v>B11</v>
      </c>
      <c r="C55" s="14">
        <f>IF(ISTEXT(B55),C54,0)</f>
        <v>0</v>
      </c>
      <c r="D55" s="14">
        <f>IF(ISTEXT(B55),D54,0)</f>
        <v>0</v>
      </c>
      <c r="E55" s="15">
        <f>IF(ISTEXT(B55),E54,0)</f>
        <v>0</v>
      </c>
      <c r="F55" s="6"/>
      <c r="G55" s="11" t="str">
        <f>'1ère J.'!S20</f>
        <v>B13</v>
      </c>
      <c r="H55" s="14">
        <f>IF(ISTEXT(G55),H54,0)</f>
        <v>0</v>
      </c>
      <c r="I55" s="48">
        <f>IF(ISTEXT(G55),I54,0)</f>
        <v>0</v>
      </c>
      <c r="J55" s="15">
        <f>IF(ISTEXT(G55),J54,0)</f>
        <v>0</v>
      </c>
      <c r="K55" s="6"/>
      <c r="L55" s="11" t="str">
        <f>'1ère J.'!W20</f>
        <v>C1</v>
      </c>
      <c r="M55" s="14">
        <f>IF(ISTEXT(L55),M54,0)</f>
        <v>0</v>
      </c>
      <c r="N55" s="48">
        <f>IF(ISTEXT(L55),N54,0)</f>
        <v>0</v>
      </c>
      <c r="O55" s="15">
        <f>IF(ISTEXT(L55),O54,0)</f>
        <v>0</v>
      </c>
    </row>
    <row r="56" spans="1:16" x14ac:dyDescent="0.3">
      <c r="B56" s="11" t="str">
        <f>'1ère J.'!Q20</f>
        <v>C11</v>
      </c>
      <c r="C56" s="55">
        <f>IF(ISTEXT(B56),C54,0)</f>
        <v>0</v>
      </c>
      <c r="D56" s="55">
        <f>IF(ISTEXT(B56),D54,0)</f>
        <v>0</v>
      </c>
      <c r="E56" s="56">
        <f>IF(ISTEXT(B56),E54,0)</f>
        <v>0</v>
      </c>
      <c r="F56" s="6"/>
      <c r="G56" s="11" t="str">
        <f>'1ère J.'!T20</f>
        <v>C14</v>
      </c>
      <c r="H56" s="55">
        <f>IF(ISTEXT(G56),H54,0)</f>
        <v>0</v>
      </c>
      <c r="I56" s="52">
        <f>IF(ISTEXT(G56),I54,0)</f>
        <v>0</v>
      </c>
      <c r="J56" s="56">
        <f>IF(ISTEXT(G56),J54,0)</f>
        <v>0</v>
      </c>
      <c r="K56" s="6"/>
      <c r="L56" s="11" t="str">
        <f>'1ère J.'!U21</f>
        <v>A14</v>
      </c>
      <c r="M56" s="55">
        <f>IF(ISTEXT(L56),M54,0)</f>
        <v>0</v>
      </c>
      <c r="N56" s="52">
        <f>IF(ISTEXT(L56),N54,0)</f>
        <v>0</v>
      </c>
      <c r="O56" s="56">
        <f>IF(ISTEXT(L56),O54,0)</f>
        <v>0</v>
      </c>
    </row>
    <row r="57" spans="1:16" x14ac:dyDescent="0.3">
      <c r="A57" s="20">
        <v>6</v>
      </c>
      <c r="B57" s="24"/>
      <c r="C57" s="16" t="s">
        <v>5</v>
      </c>
      <c r="D57" s="16"/>
      <c r="E57" s="17"/>
      <c r="F57" s="1"/>
      <c r="G57" s="24"/>
      <c r="H57" s="16" t="s">
        <v>5</v>
      </c>
      <c r="I57" s="16"/>
      <c r="J57" s="17"/>
      <c r="K57" s="1"/>
      <c r="L57" s="24"/>
      <c r="M57" s="16" t="s">
        <v>5</v>
      </c>
      <c r="N57" s="16"/>
      <c r="O57" s="17"/>
      <c r="P57" s="22"/>
    </row>
    <row r="58" spans="1:16" x14ac:dyDescent="0.3">
      <c r="B58" s="11" t="str">
        <f>'1ère J.'!O21</f>
        <v>A12</v>
      </c>
      <c r="C58" s="27">
        <v>0</v>
      </c>
      <c r="D58" s="23">
        <f>IF(C54+C58=0,0,IF(C54=C58,2,IF(C54&lt;C58,3,1)))</f>
        <v>0</v>
      </c>
      <c r="E58" s="12">
        <f>C58-C54</f>
        <v>0</v>
      </c>
      <c r="F58" s="6"/>
      <c r="G58" s="11" t="str">
        <f>'1ère J.'!R21</f>
        <v>A13</v>
      </c>
      <c r="H58" s="108">
        <v>0</v>
      </c>
      <c r="I58" s="23">
        <f>IF(H54+H58=0,0,IF(H54=H58,2,IF(H54&lt;H58,3,1)))</f>
        <v>0</v>
      </c>
      <c r="J58" s="12">
        <f>H58-H54</f>
        <v>0</v>
      </c>
      <c r="K58" s="6"/>
      <c r="L58" s="11" t="str">
        <f>'1ère J.'!V21</f>
        <v>B16</v>
      </c>
      <c r="M58" s="29">
        <v>0</v>
      </c>
      <c r="N58" s="23">
        <f>IF(M54+M58=0,0,IF(M54=M58,2,IF(M54&lt;M58,3,1)))</f>
        <v>0</v>
      </c>
      <c r="O58" s="12">
        <f>M58-M54</f>
        <v>0</v>
      </c>
    </row>
    <row r="59" spans="1:16" ht="16.2" thickBot="1" x14ac:dyDescent="0.35">
      <c r="B59" s="11" t="str">
        <f>'1ère J.'!P21</f>
        <v>B12</v>
      </c>
      <c r="C59" s="14">
        <f>IF(ISTEXT(B59),C58,0)</f>
        <v>0</v>
      </c>
      <c r="D59" s="14">
        <f>IF(ISTEXT(B59),D58,0)</f>
        <v>0</v>
      </c>
      <c r="E59" s="15">
        <f>IF(ISTEXT(B59),E58,0)</f>
        <v>0</v>
      </c>
      <c r="F59" s="6"/>
      <c r="G59" s="11" t="str">
        <f>'1ère J.'!S21</f>
        <v>B14</v>
      </c>
      <c r="H59" s="14">
        <f>IF(ISTEXT(G59),H58,0)</f>
        <v>0</v>
      </c>
      <c r="I59" s="14">
        <f>IF(ISTEXT(G59),I58,0)</f>
        <v>0</v>
      </c>
      <c r="J59" s="15">
        <f>IF(ISTEXT(G59),J58,0)</f>
        <v>0</v>
      </c>
      <c r="K59" s="6"/>
      <c r="L59" s="11" t="str">
        <f>'1ère J.'!W21</f>
        <v>C2</v>
      </c>
      <c r="M59" s="14">
        <f>IF(ISTEXT(L59),M58,0)</f>
        <v>0</v>
      </c>
      <c r="N59" s="14">
        <f>IF(ISTEXT(L59),N58,0)</f>
        <v>0</v>
      </c>
      <c r="O59" s="15">
        <f>IF(ISTEXT(L59),O58,0)</f>
        <v>0</v>
      </c>
    </row>
    <row r="60" spans="1:16" ht="16.2" thickBot="1" x14ac:dyDescent="0.35">
      <c r="B60" s="13" t="str">
        <f>'1ère J.'!Q21</f>
        <v>C12</v>
      </c>
      <c r="C60" s="14">
        <f>IF(ISTEXT(B60),C58,0)</f>
        <v>0</v>
      </c>
      <c r="D60" s="14">
        <f>IF(ISTEXT(B60),D58,0)</f>
        <v>0</v>
      </c>
      <c r="E60" s="15">
        <f>IF(ISTEXT(B60),E58,0)</f>
        <v>0</v>
      </c>
      <c r="F60" s="6"/>
      <c r="G60" s="13" t="str">
        <f>'1ère J.'!T21</f>
        <v>C15</v>
      </c>
      <c r="H60" s="14">
        <f>IF(ISTEXT(G60),H58,0)</f>
        <v>0</v>
      </c>
      <c r="I60" s="14">
        <f>IF(ISTEXT(G60),I58,0)</f>
        <v>0</v>
      </c>
      <c r="J60" s="15">
        <f>IF(ISTEXT(G60),J58,0)</f>
        <v>0</v>
      </c>
      <c r="K60" s="6"/>
      <c r="L60" s="13" t="str">
        <f>'1ère J.'!U22</f>
        <v>A15</v>
      </c>
      <c r="M60" s="14">
        <f>IF(ISTEXT(L60),M58,0)</f>
        <v>0</v>
      </c>
      <c r="N60" s="14">
        <f>IF(ISTEXT(L60),N58,0)</f>
        <v>0</v>
      </c>
      <c r="O60" s="15">
        <f>IF(ISTEXT(L60),O58,0)</f>
        <v>0</v>
      </c>
    </row>
    <row r="61" spans="1:16" ht="16.2" thickBot="1" x14ac:dyDescent="0.35">
      <c r="B61" s="58"/>
      <c r="C61" s="58"/>
      <c r="D61" s="58"/>
      <c r="E61" s="58"/>
      <c r="F61" s="59"/>
      <c r="G61" s="59"/>
      <c r="H61" s="59"/>
      <c r="I61" s="58"/>
      <c r="J61" s="58"/>
      <c r="K61" s="59"/>
      <c r="L61" s="59"/>
      <c r="M61" s="58"/>
      <c r="N61" s="58"/>
      <c r="O61" s="58"/>
    </row>
    <row r="62" spans="1:16" x14ac:dyDescent="0.3">
      <c r="B62" s="9" t="str">
        <f>'1ère J.'!O22</f>
        <v>A13</v>
      </c>
      <c r="C62" s="25">
        <v>0</v>
      </c>
      <c r="D62" s="38">
        <f>IF(C62+C66=0,0,IF(C62=C66,2,IF(C62&gt;C66,3,1)))</f>
        <v>0</v>
      </c>
      <c r="E62" s="10">
        <f>C62-C66</f>
        <v>0</v>
      </c>
      <c r="F62" s="6"/>
      <c r="G62" s="9" t="str">
        <f>'1ère J.'!R22</f>
        <v>A14</v>
      </c>
      <c r="H62" s="107">
        <v>0</v>
      </c>
      <c r="I62" s="38">
        <f>IF(H62+H66=0,0,IF(H62=H66,2,IF(H62&gt;H66,3,1)))</f>
        <v>0</v>
      </c>
      <c r="J62" s="10">
        <f>H62-H66</f>
        <v>0</v>
      </c>
      <c r="K62" s="6"/>
      <c r="L62" s="9" t="str">
        <f>'1ère J.'!V22</f>
        <v>B1</v>
      </c>
      <c r="M62" s="28">
        <v>0</v>
      </c>
      <c r="N62" s="38">
        <f>IF(M62+M66=0,0,IF(M62=M66,2,IF(M62&gt;M66,3,1)))</f>
        <v>0</v>
      </c>
      <c r="O62" s="10">
        <f>M62-M66</f>
        <v>0</v>
      </c>
    </row>
    <row r="63" spans="1:16" ht="16.2" thickBot="1" x14ac:dyDescent="0.35">
      <c r="B63" s="11" t="str">
        <f>'1ère J.'!P22</f>
        <v>B13</v>
      </c>
      <c r="C63" s="14">
        <f>IF(ISTEXT(B63),C62,0)</f>
        <v>0</v>
      </c>
      <c r="D63" s="14">
        <f>IF(ISTEXT(B63),D62,0)</f>
        <v>0</v>
      </c>
      <c r="E63" s="15">
        <f>IF(ISTEXT(B63),E62,0)</f>
        <v>0</v>
      </c>
      <c r="F63" s="6"/>
      <c r="G63" s="11" t="str">
        <f>'1ère J.'!S22</f>
        <v>B15</v>
      </c>
      <c r="H63" s="14">
        <f>IF(ISTEXT(G63),H62,0)</f>
        <v>0</v>
      </c>
      <c r="I63" s="48">
        <f>IF(ISTEXT(G63),I62,0)</f>
        <v>0</v>
      </c>
      <c r="J63" s="15">
        <f>IF(ISTEXT(G63),J62,0)</f>
        <v>0</v>
      </c>
      <c r="K63" s="6"/>
      <c r="L63" s="11" t="str">
        <f>'1ère J.'!W22</f>
        <v>C3</v>
      </c>
      <c r="M63" s="14">
        <f>IF(ISTEXT(L63),M62,0)</f>
        <v>0</v>
      </c>
      <c r="N63" s="48">
        <f>IF(ISTEXT(L63),N62,0)</f>
        <v>0</v>
      </c>
      <c r="O63" s="15">
        <f>IF(ISTEXT(L63),O62,0)</f>
        <v>0</v>
      </c>
    </row>
    <row r="64" spans="1:16" x14ac:dyDescent="0.3">
      <c r="B64" s="11" t="str">
        <f>'1ère J.'!Q22</f>
        <v>C13</v>
      </c>
      <c r="C64" s="55">
        <f>IF(ISTEXT(B64),C62,0)</f>
        <v>0</v>
      </c>
      <c r="D64" s="55">
        <f>IF(ISTEXT(B64),D62,0)</f>
        <v>0</v>
      </c>
      <c r="E64" s="56">
        <f>IF(ISTEXT(B64),E62,0)</f>
        <v>0</v>
      </c>
      <c r="F64" s="6"/>
      <c r="G64" s="11" t="str">
        <f>'1ère J.'!T22</f>
        <v>C16</v>
      </c>
      <c r="H64" s="55">
        <f>IF(ISTEXT(G64),H62,0)</f>
        <v>0</v>
      </c>
      <c r="I64" s="52">
        <f>IF(ISTEXT(G64),I62,0)</f>
        <v>0</v>
      </c>
      <c r="J64" s="56">
        <f>IF(ISTEXT(G64),J62,0)</f>
        <v>0</v>
      </c>
      <c r="K64" s="6"/>
      <c r="L64" s="11" t="str">
        <f>'1ère J.'!U23</f>
        <v>A16</v>
      </c>
      <c r="M64" s="55">
        <f>IF(ISTEXT(L64),M62,0)</f>
        <v>0</v>
      </c>
      <c r="N64" s="52">
        <f>IF(ISTEXT(L64),N62,0)</f>
        <v>0</v>
      </c>
      <c r="O64" s="56">
        <f>IF(ISTEXT(L64),O62,0)</f>
        <v>0</v>
      </c>
    </row>
    <row r="65" spans="1:16" x14ac:dyDescent="0.3">
      <c r="A65" s="20">
        <v>7</v>
      </c>
      <c r="B65" s="24"/>
      <c r="C65" s="16" t="s">
        <v>5</v>
      </c>
      <c r="D65" s="16"/>
      <c r="E65" s="17"/>
      <c r="F65" s="1"/>
      <c r="G65" s="24"/>
      <c r="H65" s="16" t="s">
        <v>5</v>
      </c>
      <c r="I65" s="16"/>
      <c r="J65" s="17"/>
      <c r="K65" s="1"/>
      <c r="L65" s="24"/>
      <c r="M65" s="16" t="s">
        <v>5</v>
      </c>
      <c r="N65" s="16"/>
      <c r="O65" s="17"/>
      <c r="P65" s="22"/>
    </row>
    <row r="66" spans="1:16" x14ac:dyDescent="0.3">
      <c r="B66" s="11" t="str">
        <f>'1ère J.'!O23</f>
        <v>A14</v>
      </c>
      <c r="C66" s="27">
        <v>0</v>
      </c>
      <c r="D66" s="23">
        <f>IF(C62+C66=0,0,IF(C62=C66,2,IF(C62&lt;C66,3,1)))</f>
        <v>0</v>
      </c>
      <c r="E66" s="12">
        <f>C66-C62</f>
        <v>0</v>
      </c>
      <c r="F66" s="6"/>
      <c r="G66" s="11" t="str">
        <f>'1ère J.'!R23</f>
        <v>A15</v>
      </c>
      <c r="H66" s="108">
        <v>0</v>
      </c>
      <c r="I66" s="23">
        <f>IF(H62+H66=0,0,IF(H62=H66,2,IF(H62&lt;H66,3,1)))</f>
        <v>0</v>
      </c>
      <c r="J66" s="12">
        <f>H66-H62</f>
        <v>0</v>
      </c>
      <c r="K66" s="6"/>
      <c r="L66" s="11" t="str">
        <f>'1ère J.'!V23</f>
        <v>B2</v>
      </c>
      <c r="M66" s="29">
        <v>0</v>
      </c>
      <c r="N66" s="23">
        <f>IF(M62+M66=0,0,IF(M62=M66,2,IF(M62&lt;M66,3,1)))</f>
        <v>0</v>
      </c>
      <c r="O66" s="12">
        <f>M66-M62</f>
        <v>0</v>
      </c>
    </row>
    <row r="67" spans="1:16" ht="16.2" thickBot="1" x14ac:dyDescent="0.35">
      <c r="B67" s="11" t="str">
        <f>'1ère J.'!P23</f>
        <v>B14</v>
      </c>
      <c r="C67" s="14">
        <f>IF(ISTEXT(B67),C66,0)</f>
        <v>0</v>
      </c>
      <c r="D67" s="14">
        <f>IF(ISTEXT(B67),D66,0)</f>
        <v>0</v>
      </c>
      <c r="E67" s="15">
        <f>IF(ISTEXT(B67),E66,0)</f>
        <v>0</v>
      </c>
      <c r="F67" s="6"/>
      <c r="G67" s="11" t="str">
        <f>'1ère J.'!S23</f>
        <v>B16</v>
      </c>
      <c r="H67" s="14">
        <f>IF(ISTEXT(G67),H66,0)</f>
        <v>0</v>
      </c>
      <c r="I67" s="14">
        <f>IF(ISTEXT(G67),I66,0)</f>
        <v>0</v>
      </c>
      <c r="J67" s="15">
        <f>IF(ISTEXT(G67),J66,0)</f>
        <v>0</v>
      </c>
      <c r="K67" s="6"/>
      <c r="L67" s="11" t="str">
        <f>'1ère J.'!W23</f>
        <v>C4</v>
      </c>
      <c r="M67" s="14">
        <f>IF(ISTEXT(L67),M66,0)</f>
        <v>0</v>
      </c>
      <c r="N67" s="14">
        <f>IF(ISTEXT(L67),N66,0)</f>
        <v>0</v>
      </c>
      <c r="O67" s="15">
        <f>IF(ISTEXT(L67),O66,0)</f>
        <v>0</v>
      </c>
    </row>
    <row r="68" spans="1:16" ht="16.2" thickBot="1" x14ac:dyDescent="0.35">
      <c r="B68" s="13" t="str">
        <f>'1ère J.'!Q23</f>
        <v>C14</v>
      </c>
      <c r="C68" s="14">
        <f>IF(ISTEXT(B68),C66,0)</f>
        <v>0</v>
      </c>
      <c r="D68" s="14">
        <f>IF(ISTEXT(B68),D66,0)</f>
        <v>0</v>
      </c>
      <c r="E68" s="15">
        <f>IF(ISTEXT(B68),E66,0)</f>
        <v>0</v>
      </c>
      <c r="F68" s="6"/>
      <c r="G68" s="13" t="str">
        <f>'1ère J.'!T23</f>
        <v>C1</v>
      </c>
      <c r="H68" s="14">
        <f>IF(ISTEXT(G68),H66,0)</f>
        <v>0</v>
      </c>
      <c r="I68" s="14">
        <f>IF(ISTEXT(G68),I66,0)</f>
        <v>0</v>
      </c>
      <c r="J68" s="15">
        <f>IF(ISTEXT(G68),J66,0)</f>
        <v>0</v>
      </c>
      <c r="K68" s="6"/>
      <c r="L68" s="13" t="str">
        <f>'1ère J.'!U24</f>
        <v>A1</v>
      </c>
      <c r="M68" s="14">
        <f>IF(ISTEXT(L68),M66,0)</f>
        <v>0</v>
      </c>
      <c r="N68" s="14">
        <f>IF(ISTEXT(L68),N66,0)</f>
        <v>0</v>
      </c>
      <c r="O68" s="15">
        <f>IF(ISTEXT(L68),O66,0)</f>
        <v>0</v>
      </c>
    </row>
    <row r="69" spans="1:16" ht="16.2" thickBot="1" x14ac:dyDescent="0.35"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6" x14ac:dyDescent="0.3">
      <c r="B70" s="9" t="str">
        <f>'1ère J.'!O24</f>
        <v>A15</v>
      </c>
      <c r="C70" s="25">
        <v>0</v>
      </c>
      <c r="D70" s="38">
        <f>IF(C70+C74=0,0,IF(C70=C74,2,IF(C70&gt;C74,3,1)))</f>
        <v>0</v>
      </c>
      <c r="E70" s="10">
        <f>C70-C74</f>
        <v>0</v>
      </c>
      <c r="F70" s="6"/>
      <c r="G70" s="9" t="str">
        <f>'1ère J.'!R24</f>
        <v>A16</v>
      </c>
      <c r="H70" s="107">
        <v>0</v>
      </c>
      <c r="I70" s="38">
        <f>IF(H70+H74=0,0,IF(H70=H74,2,IF(H70&gt;H74,3,1)))</f>
        <v>0</v>
      </c>
      <c r="J70" s="10">
        <f>H70-H74</f>
        <v>0</v>
      </c>
      <c r="K70" s="6"/>
      <c r="L70" s="9" t="str">
        <f>'1ère J.'!V24</f>
        <v>B3</v>
      </c>
      <c r="M70" s="28">
        <v>0</v>
      </c>
      <c r="N70" s="38">
        <f>IF(M70+M74=0,0,IF(M70=M74,2,IF(M70&gt;M74,3,1)))</f>
        <v>0</v>
      </c>
      <c r="O70" s="10">
        <f>M70-M74</f>
        <v>0</v>
      </c>
    </row>
    <row r="71" spans="1:16" ht="16.2" thickBot="1" x14ac:dyDescent="0.35">
      <c r="B71" s="11" t="str">
        <f>'1ère J.'!P24</f>
        <v>B15</v>
      </c>
      <c r="C71" s="14">
        <f>IF(ISTEXT(B71),C70,0)</f>
        <v>0</v>
      </c>
      <c r="D71" s="14">
        <f>IF(ISTEXT(B71),D70,0)</f>
        <v>0</v>
      </c>
      <c r="E71" s="15">
        <f>IF(ISTEXT(B71),E70,0)</f>
        <v>0</v>
      </c>
      <c r="F71" s="6"/>
      <c r="G71" s="11" t="str">
        <f>'1ère J.'!S24</f>
        <v>B1</v>
      </c>
      <c r="H71" s="14">
        <f>IF(ISTEXT(G71),H70,0)</f>
        <v>0</v>
      </c>
      <c r="I71" s="48">
        <f>IF(ISTEXT(G71),I70,0)</f>
        <v>0</v>
      </c>
      <c r="J71" s="15">
        <f>IF(ISTEXT(G71),J70,0)</f>
        <v>0</v>
      </c>
      <c r="K71" s="6"/>
      <c r="L71" s="11" t="str">
        <f>'1ère J.'!W24</f>
        <v>C5</v>
      </c>
      <c r="M71" s="14">
        <f>IF(ISTEXT(L71),M70,0)</f>
        <v>0</v>
      </c>
      <c r="N71" s="48">
        <f>IF(ISTEXT(L71),N70,0)</f>
        <v>0</v>
      </c>
      <c r="O71" s="15">
        <f>IF(ISTEXT(L71),O70,0)</f>
        <v>0</v>
      </c>
    </row>
    <row r="72" spans="1:16" x14ac:dyDescent="0.3">
      <c r="B72" s="11" t="str">
        <f>'1ère J.'!Q24</f>
        <v>C15</v>
      </c>
      <c r="C72" s="55">
        <f>IF(ISTEXT(B72),C70,0)</f>
        <v>0</v>
      </c>
      <c r="D72" s="55">
        <f>IF(ISTEXT(B72),D70,0)</f>
        <v>0</v>
      </c>
      <c r="E72" s="56">
        <f>IF(ISTEXT(B72),E70,0)</f>
        <v>0</v>
      </c>
      <c r="F72" s="6"/>
      <c r="G72" s="11" t="str">
        <f>'1ère J.'!T24</f>
        <v>C2</v>
      </c>
      <c r="H72" s="55">
        <f>IF(ISTEXT(G72),H70,0)</f>
        <v>0</v>
      </c>
      <c r="I72" s="52">
        <f>IF(ISTEXT(G72),I70,0)</f>
        <v>0</v>
      </c>
      <c r="J72" s="56">
        <f>IF(ISTEXT(G72),J70,0)</f>
        <v>0</v>
      </c>
      <c r="K72" s="6"/>
      <c r="L72" s="11" t="str">
        <f>'1ère J.'!U25</f>
        <v>A2</v>
      </c>
      <c r="M72" s="55">
        <f>IF(ISTEXT(L72),M70,0)</f>
        <v>0</v>
      </c>
      <c r="N72" s="52">
        <f>IF(ISTEXT(L72),N70,0)</f>
        <v>0</v>
      </c>
      <c r="O72" s="56">
        <f>IF(ISTEXT(L72),O70,0)</f>
        <v>0</v>
      </c>
    </row>
    <row r="73" spans="1:16" x14ac:dyDescent="0.3">
      <c r="A73" s="20">
        <v>8</v>
      </c>
      <c r="B73" s="24"/>
      <c r="C73" s="16" t="s">
        <v>5</v>
      </c>
      <c r="D73" s="16"/>
      <c r="E73" s="17"/>
      <c r="F73" s="1"/>
      <c r="G73" s="24"/>
      <c r="H73" s="16" t="s">
        <v>5</v>
      </c>
      <c r="I73" s="16"/>
      <c r="J73" s="17"/>
      <c r="K73" s="1"/>
      <c r="L73" s="24"/>
      <c r="M73" s="16" t="s">
        <v>5</v>
      </c>
      <c r="N73" s="16"/>
      <c r="O73" s="17"/>
      <c r="P73" s="22"/>
    </row>
    <row r="74" spans="1:16" x14ac:dyDescent="0.3">
      <c r="B74" s="11" t="str">
        <f>'1ère J.'!O25</f>
        <v>A16</v>
      </c>
      <c r="C74" s="27">
        <v>0</v>
      </c>
      <c r="D74" s="23">
        <f>IF(C70+C74=0,0,IF(C70=C74,2,IF(C70&lt;C74,3,1)))</f>
        <v>0</v>
      </c>
      <c r="E74" s="12">
        <f>C74-C70</f>
        <v>0</v>
      </c>
      <c r="F74" s="6"/>
      <c r="G74" s="11" t="str">
        <f>'1ère J.'!R25</f>
        <v>A1</v>
      </c>
      <c r="H74" s="108">
        <v>0</v>
      </c>
      <c r="I74" s="23">
        <f>IF(H70+H74=0,0,IF(H70=H74,2,IF(H70&lt;H74,3,1)))</f>
        <v>0</v>
      </c>
      <c r="J74" s="12">
        <f>H74-H70</f>
        <v>0</v>
      </c>
      <c r="K74" s="6"/>
      <c r="L74" s="11" t="str">
        <f>'1ère J.'!V25</f>
        <v>B4</v>
      </c>
      <c r="M74" s="29">
        <v>0</v>
      </c>
      <c r="N74" s="23">
        <f>IF(M70+M74=0,0,IF(M70=M74,2,IF(M70&lt;M74,3,1)))</f>
        <v>0</v>
      </c>
      <c r="O74" s="12">
        <f>M74-M70</f>
        <v>0</v>
      </c>
    </row>
    <row r="75" spans="1:16" ht="16.2" thickBot="1" x14ac:dyDescent="0.35">
      <c r="B75" s="11" t="str">
        <f>'1ère J.'!P25</f>
        <v>B16</v>
      </c>
      <c r="C75" s="14">
        <f>IF(ISTEXT(B75),C74,0)</f>
        <v>0</v>
      </c>
      <c r="D75" s="14">
        <f>IF(ISTEXT(B75),D74,0)</f>
        <v>0</v>
      </c>
      <c r="E75" s="15">
        <f>IF(ISTEXT(B75),E74,0)</f>
        <v>0</v>
      </c>
      <c r="F75" s="6"/>
      <c r="G75" s="11" t="str">
        <f>'1ère J.'!S25</f>
        <v>B2</v>
      </c>
      <c r="H75" s="14">
        <f>IF(ISTEXT(G75),H74,0)</f>
        <v>0</v>
      </c>
      <c r="I75" s="14">
        <f>IF(ISTEXT(G75),I74,0)</f>
        <v>0</v>
      </c>
      <c r="J75" s="15">
        <f>IF(ISTEXT(G75),J74,0)</f>
        <v>0</v>
      </c>
      <c r="K75" s="6"/>
      <c r="L75" s="11" t="str">
        <f>'1ère J.'!W25</f>
        <v>C6</v>
      </c>
      <c r="M75" s="14">
        <f>IF(ISTEXT(L75),M74,0)</f>
        <v>0</v>
      </c>
      <c r="N75" s="14">
        <f>IF(ISTEXT(L75),N74,0)</f>
        <v>0</v>
      </c>
      <c r="O75" s="15">
        <f>IF(ISTEXT(L75),O74,0)</f>
        <v>0</v>
      </c>
    </row>
    <row r="76" spans="1:16" ht="16.2" thickBot="1" x14ac:dyDescent="0.35">
      <c r="B76" s="13" t="str">
        <f>'1ère J.'!Q25</f>
        <v>C16</v>
      </c>
      <c r="C76" s="14">
        <f>IF(ISTEXT(B76),C74,0)</f>
        <v>0</v>
      </c>
      <c r="D76" s="14">
        <f>IF(ISTEXT(B76),D74,0)</f>
        <v>0</v>
      </c>
      <c r="E76" s="15">
        <f>IF(ISTEXT(B76),E74,0)</f>
        <v>0</v>
      </c>
      <c r="F76" s="6"/>
      <c r="G76" s="13" t="str">
        <f>'1ère J.'!T25</f>
        <v>C3</v>
      </c>
      <c r="H76" s="14">
        <f>IF(ISTEXT(G76),H74,0)</f>
        <v>0</v>
      </c>
      <c r="I76" s="14">
        <f>IF(ISTEXT(G76),I74,0)</f>
        <v>0</v>
      </c>
      <c r="J76" s="15">
        <f>IF(ISTEXT(G76),J74,0)</f>
        <v>0</v>
      </c>
      <c r="K76" s="6"/>
      <c r="L76" s="13" t="str">
        <f>'1ère J.'!U10</f>
        <v>A3</v>
      </c>
      <c r="M76" s="14">
        <f>IF(ISTEXT(L76),M74,0)</f>
        <v>0</v>
      </c>
      <c r="N76" s="14">
        <f>IF(ISTEXT(L76),N74,0)</f>
        <v>0</v>
      </c>
      <c r="O76" s="15">
        <f>IF(ISTEXT(L76),O74,0)</f>
        <v>0</v>
      </c>
    </row>
    <row r="77" spans="1:16" ht="16.2" thickBot="1" x14ac:dyDescent="0.3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</row>
    <row r="78" spans="1:16" x14ac:dyDescent="0.3">
      <c r="B78" s="9">
        <f>'1ère J.'!O32</f>
        <v>0</v>
      </c>
      <c r="C78" s="25">
        <v>0</v>
      </c>
      <c r="D78" s="38">
        <f>IF(C78+C82=0,0,IF(C78=C82,2,IF(C78&gt;C82,3,1)))</f>
        <v>0</v>
      </c>
      <c r="E78" s="10">
        <f>C78-C82</f>
        <v>0</v>
      </c>
      <c r="F78" s="6"/>
      <c r="G78" s="9">
        <f>'1ère J.'!R32</f>
        <v>0</v>
      </c>
      <c r="H78" s="107">
        <v>0</v>
      </c>
      <c r="I78" s="38">
        <f>IF(H78+H82=0,0,IF(H78=H82,2,IF(H78&gt;H82,3,1)))</f>
        <v>0</v>
      </c>
      <c r="J78" s="10">
        <f>H78-H82</f>
        <v>0</v>
      </c>
      <c r="K78" s="6"/>
      <c r="L78" s="9">
        <f>'1ère J.'!V32</f>
        <v>0</v>
      </c>
      <c r="M78" s="28">
        <v>0</v>
      </c>
      <c r="N78" s="38">
        <f>IF(M78+M82=0,0,IF(M78=M82,2,IF(M78&gt;M82,3,1)))</f>
        <v>0</v>
      </c>
      <c r="O78" s="10">
        <f>M78-M82</f>
        <v>0</v>
      </c>
    </row>
    <row r="79" spans="1:16" ht="16.2" thickBot="1" x14ac:dyDescent="0.35">
      <c r="B79" s="11">
        <f>'1ère J.'!P32</f>
        <v>0</v>
      </c>
      <c r="C79" s="14">
        <f>IF(ISTEXT(B79),C78,0)</f>
        <v>0</v>
      </c>
      <c r="D79" s="14">
        <f>IF(ISTEXT(B79),D78,0)</f>
        <v>0</v>
      </c>
      <c r="E79" s="15">
        <f>IF(ISTEXT(B79),E78,0)</f>
        <v>0</v>
      </c>
      <c r="F79" s="6"/>
      <c r="G79" s="11">
        <f>'1ère J.'!S32</f>
        <v>0</v>
      </c>
      <c r="H79" s="14">
        <f>IF(ISTEXT(G79),H78,0)</f>
        <v>0</v>
      </c>
      <c r="I79" s="48">
        <f>IF(ISTEXT(G79),I78,0)</f>
        <v>0</v>
      </c>
      <c r="J79" s="15">
        <f>IF(ISTEXT(G79),J78,0)</f>
        <v>0</v>
      </c>
      <c r="K79" s="6"/>
      <c r="L79" s="11">
        <f>'1ère J.'!W32</f>
        <v>0</v>
      </c>
      <c r="M79" s="14">
        <f>IF(ISTEXT(L79),M78,0)</f>
        <v>0</v>
      </c>
      <c r="N79" s="48">
        <f>IF(ISTEXT(L79),N78,0)</f>
        <v>0</v>
      </c>
      <c r="O79" s="15">
        <f>IF(ISTEXT(L79),O78,0)</f>
        <v>0</v>
      </c>
    </row>
    <row r="80" spans="1:16" x14ac:dyDescent="0.3">
      <c r="B80" s="11">
        <f>'1ère J.'!Q32</f>
        <v>0</v>
      </c>
      <c r="C80" s="55">
        <f>IF(ISTEXT(B80),C78,0)</f>
        <v>0</v>
      </c>
      <c r="D80" s="55">
        <f>IF(ISTEXT(B80),D78,0)</f>
        <v>0</v>
      </c>
      <c r="E80" s="56">
        <f>IF(ISTEXT(B80),E78,0)</f>
        <v>0</v>
      </c>
      <c r="F80" s="6"/>
      <c r="G80" s="11">
        <f>'1ère J.'!T32</f>
        <v>0</v>
      </c>
      <c r="H80" s="55">
        <f>IF(ISTEXT(G80),H78,0)</f>
        <v>0</v>
      </c>
      <c r="I80" s="52">
        <f>IF(ISTEXT(G80),I78,0)</f>
        <v>0</v>
      </c>
      <c r="J80" s="56">
        <f>IF(ISTEXT(G80),J78,0)</f>
        <v>0</v>
      </c>
      <c r="K80" s="6"/>
      <c r="L80" s="11">
        <f>'1ère J.'!U33</f>
        <v>0</v>
      </c>
      <c r="M80" s="55">
        <f>IF(ISTEXT(L80),M78,0)</f>
        <v>0</v>
      </c>
      <c r="N80" s="52">
        <f>IF(ISTEXT(L80),N78,0)</f>
        <v>0</v>
      </c>
      <c r="O80" s="56">
        <f>IF(ISTEXT(L80),O78,0)</f>
        <v>0</v>
      </c>
    </row>
    <row r="81" spans="1:15" x14ac:dyDescent="0.3">
      <c r="A81" s="20">
        <v>9</v>
      </c>
      <c r="B81" s="24"/>
      <c r="C81" s="16" t="s">
        <v>5</v>
      </c>
      <c r="D81" s="16"/>
      <c r="E81" s="17"/>
      <c r="F81" s="1"/>
      <c r="G81" s="24"/>
      <c r="H81" s="16" t="s">
        <v>5</v>
      </c>
      <c r="I81" s="16"/>
      <c r="J81" s="17"/>
      <c r="K81" s="1"/>
      <c r="L81" s="24"/>
      <c r="M81" s="16" t="s">
        <v>5</v>
      </c>
      <c r="N81" s="16"/>
      <c r="O81" s="17"/>
    </row>
    <row r="82" spans="1:15" x14ac:dyDescent="0.3">
      <c r="B82" s="11">
        <f>'1ère J.'!O33</f>
        <v>0</v>
      </c>
      <c r="C82" s="27">
        <v>0</v>
      </c>
      <c r="D82" s="23">
        <f>IF(C78+C82=0,0,IF(C78=C82,2,IF(C78&lt;C82,3,1)))</f>
        <v>0</v>
      </c>
      <c r="E82" s="12">
        <f>C82-C78</f>
        <v>0</v>
      </c>
      <c r="F82" s="6"/>
      <c r="G82" s="11">
        <f>'1ère J.'!R33</f>
        <v>0</v>
      </c>
      <c r="H82" s="108">
        <v>0</v>
      </c>
      <c r="I82" s="23">
        <f>IF(H78+H82=0,0,IF(H78=H82,2,IF(H78&lt;H82,3,1)))</f>
        <v>0</v>
      </c>
      <c r="J82" s="12">
        <f>H82-H78</f>
        <v>0</v>
      </c>
      <c r="K82" s="6"/>
      <c r="L82" s="11">
        <f>'1ère J.'!V33</f>
        <v>0</v>
      </c>
      <c r="M82" s="29">
        <v>0</v>
      </c>
      <c r="N82" s="23">
        <f>IF(M78+M82=0,0,IF(M78=M82,2,IF(M78&lt;M82,3,1)))</f>
        <v>0</v>
      </c>
      <c r="O82" s="12">
        <f>M82-M78</f>
        <v>0</v>
      </c>
    </row>
    <row r="83" spans="1:15" ht="16.2" thickBot="1" x14ac:dyDescent="0.35">
      <c r="B83" s="11">
        <f>'1ère J.'!P33</f>
        <v>0</v>
      </c>
      <c r="C83" s="14">
        <f>IF(ISTEXT(B83),C82,0)</f>
        <v>0</v>
      </c>
      <c r="D83" s="14">
        <f>IF(ISTEXT(B83),D82,0)</f>
        <v>0</v>
      </c>
      <c r="E83" s="15">
        <f>IF(ISTEXT(B83),E82,0)</f>
        <v>0</v>
      </c>
      <c r="F83" s="6"/>
      <c r="G83" s="11">
        <f>'1ère J.'!S33</f>
        <v>0</v>
      </c>
      <c r="H83" s="14">
        <f>IF(ISTEXT(G83),H82,0)</f>
        <v>0</v>
      </c>
      <c r="I83" s="14">
        <f>IF(ISTEXT(G83),I82,0)</f>
        <v>0</v>
      </c>
      <c r="J83" s="15">
        <f>IF(ISTEXT(G83),J82,0)</f>
        <v>0</v>
      </c>
      <c r="K83" s="6"/>
      <c r="L83" s="11">
        <f>'1ère J.'!W33</f>
        <v>0</v>
      </c>
      <c r="M83" s="14">
        <f>IF(ISTEXT(L83),M82,0)</f>
        <v>0</v>
      </c>
      <c r="N83" s="14">
        <f>IF(ISTEXT(L83),N82,0)</f>
        <v>0</v>
      </c>
      <c r="O83" s="15">
        <f>IF(ISTEXT(L83),O82,0)</f>
        <v>0</v>
      </c>
    </row>
    <row r="84" spans="1:15" ht="16.2" thickBot="1" x14ac:dyDescent="0.35">
      <c r="B84" s="13">
        <f>'1ère J.'!Q33</f>
        <v>0</v>
      </c>
      <c r="C84" s="14">
        <f>IF(ISTEXT(B84),C82,0)</f>
        <v>0</v>
      </c>
      <c r="D84" s="14">
        <f>IF(ISTEXT(B84),D82,0)</f>
        <v>0</v>
      </c>
      <c r="E84" s="15">
        <f>IF(ISTEXT(B84),E82,0)</f>
        <v>0</v>
      </c>
      <c r="F84" s="6"/>
      <c r="G84" s="13">
        <f>'1ère J.'!T33</f>
        <v>0</v>
      </c>
      <c r="H84" s="14">
        <f>IF(ISTEXT(G84),H82,0)</f>
        <v>0</v>
      </c>
      <c r="I84" s="14">
        <f>IF(ISTEXT(G84),I82,0)</f>
        <v>0</v>
      </c>
      <c r="J84" s="15">
        <f>IF(ISTEXT(G84),J82,0)</f>
        <v>0</v>
      </c>
      <c r="K84" s="6"/>
      <c r="L84" s="13" t="str">
        <f>'1ère J.'!U18</f>
        <v>A11</v>
      </c>
      <c r="M84" s="14">
        <f>IF(ISTEXT(L84),M82,0)</f>
        <v>0</v>
      </c>
      <c r="N84" s="14">
        <f>IF(ISTEXT(L84),N82,0)</f>
        <v>0</v>
      </c>
      <c r="O84" s="15">
        <f>IF(ISTEXT(L84),O82,0)</f>
        <v>0</v>
      </c>
    </row>
    <row r="85" spans="1:15" x14ac:dyDescent="0.3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</row>
    <row r="86" spans="1:15" x14ac:dyDescent="0.3">
      <c r="B86" s="4"/>
      <c r="C86" s="4"/>
      <c r="D86" s="1">
        <f>SUM(D10:D76)</f>
        <v>24</v>
      </c>
      <c r="E86" s="1">
        <f>SUM(E10:E76)</f>
        <v>0</v>
      </c>
      <c r="F86" s="4"/>
      <c r="G86" s="4"/>
      <c r="H86" s="4"/>
      <c r="I86" s="1">
        <f>SUM(I10:I76)</f>
        <v>24</v>
      </c>
      <c r="J86" s="1">
        <f>SUM(J10:J76)</f>
        <v>0</v>
      </c>
      <c r="K86" s="4"/>
      <c r="L86" s="4"/>
      <c r="M86" s="4"/>
      <c r="N86" s="1">
        <f>SUM(N10:N76)</f>
        <v>24</v>
      </c>
      <c r="O86" s="1">
        <f>SUM(O10:O76)</f>
        <v>0</v>
      </c>
    </row>
    <row r="87" spans="1:15" x14ac:dyDescent="0.3">
      <c r="B87" s="4"/>
      <c r="C87" s="4"/>
      <c r="D87" s="4"/>
      <c r="E87" s="1" t="str">
        <f>IF(E86=0,"OK","ERREUR")</f>
        <v>OK</v>
      </c>
      <c r="F87" s="4"/>
      <c r="G87" s="4"/>
      <c r="H87" s="4"/>
      <c r="I87" s="4"/>
      <c r="J87" s="1" t="str">
        <f>IF(J86=0,"OK","ERREUR")</f>
        <v>OK</v>
      </c>
      <c r="K87" s="4"/>
      <c r="L87" s="4"/>
      <c r="M87" s="4"/>
      <c r="N87" s="4"/>
      <c r="O87" s="1" t="str">
        <f>IF(O86=0,"OK","ERREUR")</f>
        <v>OK</v>
      </c>
    </row>
    <row r="88" spans="1:15" x14ac:dyDescent="0.3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</sheetData>
  <sheetProtection formatCells="0" formatColumns="0" formatRows="0" insertColumns="0" insertRows="0" insertHyperlinks="0" deleteColumns="0" deleteRows="0" sort="0"/>
  <mergeCells count="6">
    <mergeCell ref="L50:O50"/>
    <mergeCell ref="B6:E6"/>
    <mergeCell ref="G6:J6"/>
    <mergeCell ref="L6:O6"/>
    <mergeCell ref="B50:E50"/>
    <mergeCell ref="G50:J50"/>
  </mergeCells>
  <phoneticPr fontId="1" type="noConversion"/>
  <conditionalFormatting sqref="E10:E11 J10:J11 O10:O12 E14:E16 J14:J16 O14:O16 E18:E20 J18:J20 O18:O20 E22:E24 J22:J24 O22:O24 E26:E28 J26:J28 O26:O28 E30:E36 J30:J36 O30:O36 E38:E44 J38:J44 O38:O44 E46:E49 J46:J49 O46:O49 E53:E56 J53:J56 O53:O56 E58:E60 J58:J60 O58:O60 E62:E64 J62:J64 O62:O64 E66:E72 J66:J72 O66:O72 E74:E84 J74:J84 O74:O84">
    <cfRule type="cellIs" dxfId="5" priority="22" stopIfTrue="1" operator="lessThan">
      <formula>0</formula>
    </cfRule>
  </conditionalFormatting>
  <conditionalFormatting sqref="E86">
    <cfRule type="colorScale" priority="6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E87">
    <cfRule type="containsText" dxfId="4" priority="2" operator="containsText" text="OK">
      <formula>NOT(ISERROR(SEARCH("OK",E87)))</formula>
    </cfRule>
    <cfRule type="colorScale" priority="10">
      <colorScale>
        <cfvo type="num" val="-1"/>
        <cfvo type="percentile" val="0"/>
        <cfvo type="num" val="1"/>
        <color rgb="FFE20000"/>
        <color rgb="FF00FF00"/>
        <color rgb="FFFF0000"/>
      </colorScale>
    </cfRule>
  </conditionalFormatting>
  <conditionalFormatting sqref="J86">
    <cfRule type="colorScale" priority="7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J87">
    <cfRule type="containsText" dxfId="3" priority="3" operator="containsText" text="OK">
      <formula>NOT(ISERROR(SEARCH("OK",J87)))</formula>
    </cfRule>
    <cfRule type="colorScale" priority="12">
      <colorScale>
        <cfvo type="num" val="-1"/>
        <cfvo type="percentile" val="0"/>
        <cfvo type="num" val="1"/>
        <color rgb="FFE20000"/>
        <color rgb="FF00FF00"/>
        <color rgb="FFFF0000"/>
      </colorScale>
    </cfRule>
  </conditionalFormatting>
  <conditionalFormatting sqref="O86">
    <cfRule type="colorScale" priority="8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O87">
    <cfRule type="containsText" dxfId="2" priority="4" operator="containsText" text="ERREUR">
      <formula>NOT(ISERROR(SEARCH("ERREUR",O87)))</formula>
    </cfRule>
    <cfRule type="containsText" dxfId="1" priority="5" operator="containsText" text="OK">
      <formula>NOT(ISERROR(SEARCH("OK",O87)))</formula>
    </cfRule>
    <cfRule type="colorScale" priority="11">
      <colorScale>
        <cfvo type="num" val="-1"/>
        <cfvo type="percentile" val="0"/>
        <cfvo type="num" val="1"/>
        <color rgb="FFE20000"/>
        <color rgb="FF00FF00"/>
        <color rgb="FFFF0000"/>
      </colorScale>
    </cfRule>
  </conditionalFormatting>
  <pageMargins left="0.17" right="0.17" top="0.43307086614173229" bottom="0.54" header="0.23622047244094491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AO71"/>
  <sheetViews>
    <sheetView zoomScale="80" zoomScaleNormal="80" workbookViewId="0">
      <selection activeCell="AE1" sqref="AE1:AF1048576"/>
    </sheetView>
  </sheetViews>
  <sheetFormatPr baseColWidth="10" defaultColWidth="11.44140625" defaultRowHeight="18" x14ac:dyDescent="0.35"/>
  <cols>
    <col min="1" max="1" width="7.109375" style="69" customWidth="1"/>
    <col min="2" max="2" width="25.88671875" style="69" customWidth="1"/>
    <col min="3" max="3" width="7.5546875" style="69" customWidth="1"/>
    <col min="4" max="4" width="6.88671875" style="69" customWidth="1"/>
    <col min="5" max="5" width="7.33203125" style="69" customWidth="1"/>
    <col min="6" max="6" width="2.6640625" style="69" customWidth="1"/>
    <col min="7" max="7" width="7.5546875" style="69" customWidth="1"/>
    <col min="8" max="8" width="7.109375" style="69" customWidth="1"/>
    <col min="9" max="9" width="7.44140625" style="69" customWidth="1"/>
    <col min="10" max="10" width="2.6640625" style="69" customWidth="1"/>
    <col min="11" max="11" width="7" style="69" customWidth="1"/>
    <col min="12" max="12" width="6.33203125" style="69" customWidth="1"/>
    <col min="13" max="13" width="7.109375" style="69" customWidth="1"/>
    <col min="14" max="14" width="2.6640625" style="69" customWidth="1"/>
    <col min="15" max="15" width="7.6640625" style="69" customWidth="1"/>
    <col min="16" max="16" width="7.33203125" style="69" customWidth="1"/>
    <col min="17" max="17" width="7.109375" style="69" customWidth="1"/>
    <col min="18" max="18" width="2.5546875" style="69" customWidth="1"/>
    <col min="19" max="19" width="8.6640625" style="69" customWidth="1"/>
    <col min="20" max="20" width="7.33203125" style="69" customWidth="1"/>
    <col min="21" max="21" width="8.33203125" style="69" customWidth="1"/>
    <col min="22" max="22" width="2.5546875" style="69" customWidth="1"/>
    <col min="23" max="23" width="8.6640625" style="69" customWidth="1"/>
    <col min="24" max="24" width="7.109375" style="69" customWidth="1"/>
    <col min="25" max="25" width="9" style="69" customWidth="1"/>
    <col min="26" max="26" width="4.88671875" style="69" customWidth="1"/>
    <col min="27" max="27" width="25.44140625" style="69" customWidth="1"/>
    <col min="28" max="28" width="8.33203125" style="69" customWidth="1"/>
    <col min="29" max="29" width="9" style="69" customWidth="1"/>
    <col min="30" max="30" width="10.109375" style="69" customWidth="1"/>
    <col min="31" max="31" width="17.33203125" style="69" hidden="1" customWidth="1"/>
    <col min="32" max="32" width="7" style="69" hidden="1" customWidth="1"/>
    <col min="33" max="33" width="4" style="69" customWidth="1"/>
    <col min="34" max="34" width="10" style="69" customWidth="1"/>
    <col min="35" max="35" width="20.109375" style="69" customWidth="1"/>
    <col min="36" max="36" width="9.33203125" style="69" customWidth="1"/>
    <col min="37" max="37" width="10" style="69" customWidth="1"/>
    <col min="38" max="38" width="10.5546875" style="69" customWidth="1"/>
    <col min="39" max="39" width="7.33203125" customWidth="1"/>
    <col min="40" max="40" width="14.44140625" style="36" hidden="1" customWidth="1"/>
    <col min="41" max="16384" width="11.44140625" style="69"/>
  </cols>
  <sheetData>
    <row r="1" spans="1:41" s="258" customFormat="1" ht="21.75" customHeight="1" x14ac:dyDescent="0.45">
      <c r="K1" s="258" t="s">
        <v>65</v>
      </c>
      <c r="AM1" s="259"/>
    </row>
    <row r="2" spans="1:41" ht="21.75" customHeight="1" thickBot="1" x14ac:dyDescent="0.4"/>
    <row r="3" spans="1:41" ht="18.600000000000001" thickBot="1" x14ac:dyDescent="0.4">
      <c r="A3" s="202"/>
      <c r="C3" s="444" t="s">
        <v>48</v>
      </c>
      <c r="D3" s="445"/>
      <c r="E3" s="446"/>
      <c r="F3" s="203"/>
      <c r="G3" s="444" t="s">
        <v>49</v>
      </c>
      <c r="H3" s="445"/>
      <c r="I3" s="446"/>
      <c r="J3" s="203"/>
      <c r="K3" s="444" t="s">
        <v>50</v>
      </c>
      <c r="L3" s="445"/>
      <c r="M3" s="446"/>
      <c r="N3" s="203"/>
      <c r="O3" s="444" t="s">
        <v>51</v>
      </c>
      <c r="P3" s="445"/>
      <c r="Q3" s="446"/>
      <c r="R3" s="203"/>
      <c r="S3" s="444" t="s">
        <v>52</v>
      </c>
      <c r="T3" s="445"/>
      <c r="U3" s="446"/>
      <c r="V3" s="203"/>
      <c r="W3" s="444" t="s">
        <v>53</v>
      </c>
      <c r="X3" s="445"/>
      <c r="Y3" s="446"/>
      <c r="Z3" s="204"/>
      <c r="AA3" s="205" t="s">
        <v>40</v>
      </c>
      <c r="AB3" s="450" t="s">
        <v>54</v>
      </c>
      <c r="AC3" s="451"/>
      <c r="AD3" s="452"/>
      <c r="AE3" s="204"/>
      <c r="AF3" s="204"/>
      <c r="AG3" s="204"/>
      <c r="AH3" s="447" t="s">
        <v>21</v>
      </c>
      <c r="AI3" s="448"/>
      <c r="AJ3" s="448"/>
      <c r="AK3" s="448"/>
      <c r="AL3" s="449"/>
      <c r="AN3"/>
      <c r="AO3" s="204"/>
    </row>
    <row r="4" spans="1:41" ht="18.600000000000001" thickBot="1" x14ac:dyDescent="0.35">
      <c r="A4" s="203"/>
      <c r="B4" s="203"/>
      <c r="C4" s="203"/>
      <c r="D4" s="203"/>
      <c r="E4" s="203"/>
      <c r="F4" s="206"/>
      <c r="G4" s="203"/>
      <c r="H4" s="203"/>
      <c r="I4" s="203"/>
      <c r="J4" s="203"/>
      <c r="K4" s="203"/>
      <c r="L4" s="203"/>
      <c r="M4" s="203"/>
      <c r="N4" s="203"/>
      <c r="O4" s="206"/>
      <c r="P4" s="206"/>
      <c r="Q4" s="206"/>
      <c r="R4" s="203"/>
      <c r="S4" s="206"/>
      <c r="T4" s="206"/>
      <c r="U4" s="206"/>
      <c r="V4" s="206"/>
      <c r="W4" s="206"/>
      <c r="X4" s="206"/>
      <c r="Y4" s="206"/>
      <c r="AA4" s="206"/>
      <c r="AE4" s="206"/>
      <c r="AF4" s="206"/>
      <c r="AG4" s="206"/>
      <c r="AH4" s="206"/>
      <c r="AI4" s="206"/>
      <c r="AJ4" s="206"/>
      <c r="AK4" s="206"/>
      <c r="AL4" s="206"/>
      <c r="AN4" s="34"/>
    </row>
    <row r="5" spans="1:41" ht="31.8" thickBot="1" x14ac:dyDescent="0.35">
      <c r="A5" s="207"/>
      <c r="B5" s="300" t="s">
        <v>40</v>
      </c>
      <c r="C5" s="208" t="s">
        <v>10</v>
      </c>
      <c r="D5" s="209" t="s">
        <v>11</v>
      </c>
      <c r="E5" s="210" t="s">
        <v>12</v>
      </c>
      <c r="F5" s="270"/>
      <c r="G5" s="208" t="s">
        <v>10</v>
      </c>
      <c r="H5" s="209" t="s">
        <v>11</v>
      </c>
      <c r="I5" s="210" t="s">
        <v>12</v>
      </c>
      <c r="J5" s="271"/>
      <c r="K5" s="208" t="s">
        <v>10</v>
      </c>
      <c r="L5" s="209" t="s">
        <v>11</v>
      </c>
      <c r="M5" s="210" t="s">
        <v>12</v>
      </c>
      <c r="N5" s="271"/>
      <c r="O5" s="208" t="s">
        <v>10</v>
      </c>
      <c r="P5" s="209" t="s">
        <v>11</v>
      </c>
      <c r="Q5" s="210" t="s">
        <v>12</v>
      </c>
      <c r="R5" s="271"/>
      <c r="S5" s="208" t="s">
        <v>10</v>
      </c>
      <c r="T5" s="209" t="s">
        <v>11</v>
      </c>
      <c r="U5" s="210" t="s">
        <v>12</v>
      </c>
      <c r="V5" s="271"/>
      <c r="W5" s="208" t="s">
        <v>10</v>
      </c>
      <c r="X5" s="209" t="s">
        <v>11</v>
      </c>
      <c r="Y5" s="210" t="s">
        <v>12</v>
      </c>
      <c r="AA5" s="275" t="s">
        <v>40</v>
      </c>
      <c r="AB5" s="274" t="s">
        <v>10</v>
      </c>
      <c r="AC5" s="209" t="s">
        <v>11</v>
      </c>
      <c r="AD5" s="210" t="s">
        <v>12</v>
      </c>
      <c r="AE5" s="207" t="s">
        <v>14</v>
      </c>
      <c r="AF5" s="207" t="s">
        <v>55</v>
      </c>
      <c r="AG5" s="207"/>
      <c r="AH5" s="232" t="s">
        <v>18</v>
      </c>
      <c r="AI5" s="300" t="s">
        <v>40</v>
      </c>
      <c r="AJ5" s="230" t="s">
        <v>10</v>
      </c>
      <c r="AK5" s="211" t="s">
        <v>11</v>
      </c>
      <c r="AL5" s="229" t="s">
        <v>12</v>
      </c>
      <c r="AN5" s="223" t="s">
        <v>16</v>
      </c>
    </row>
    <row r="6" spans="1:41" x14ac:dyDescent="0.3">
      <c r="A6" s="295">
        <v>1</v>
      </c>
      <c r="B6" s="299" t="str">
        <f>+Inscrits!B3</f>
        <v>A1</v>
      </c>
      <c r="C6" s="212">
        <f>IF(ISNA(VLOOKUP(B6,'1ère J.'!$BH$9:$BK$62,2,0))," ",IF(VLOOKUP(B6,'1ère J.'!$BH$9:$BK$62,2,0)=0,"0",VLOOKUP(B6,'1ère J.'!$BH$9:$BK$62,2,0)))</f>
        <v>1</v>
      </c>
      <c r="D6" s="212">
        <f>IF(ISNA(VLOOKUP(B6,'1ère J.'!$BH$9:$BK$62,3,0))," ",IF(VLOOKUP(B6,'1ère J.'!$BH$9:$BK$62,3,0)=0,"0",VLOOKUP(B6,'1ère J.'!$BH$9:$BK$62,3,0)))</f>
        <v>-1</v>
      </c>
      <c r="E6" s="212">
        <f>IF(ISNA(VLOOKUP(B6,'1ère J.'!$BH$9:$BK$62,4,0))," ",IF(VLOOKUP(B6,'1ère J.'!$BH$9:$BK$62,4,0)=0,"0",VLOOKUP(B6,'1ère J.'!$BH$9:$BK$62,4,0)))</f>
        <v>5</v>
      </c>
      <c r="F6" s="257"/>
      <c r="G6" s="212">
        <f>IF(ISNA(VLOOKUP(B6,'2ème J.'!$BH$9:$BK$62,2,0))," ",IF(VLOOKUP(B6,'2ème J.'!$BH$9:$BK$62,2,0)=0,"0",VLOOKUP(B6,'2ème J.'!$BH$9:$BK$62,2,0)))</f>
        <v>4</v>
      </c>
      <c r="H6" s="212">
        <f>IF(ISNA(VLOOKUP(B6,'2ème J.'!$BH$9:$BK$62,3,0))," ",IF(VLOOKUP(B6,'2ème J.'!$BH$9:$BK$62,3,0)=0,"0",VLOOKUP(B6,'2ème J.'!$BH$9:$BK$62,3,0)))</f>
        <v>9</v>
      </c>
      <c r="I6" s="212">
        <f>IF(ISNA(VLOOKUP(B6,'2ème J.'!$BH$9:$BK$62,4,0))," ",IF(VLOOKUP(B6,'2ème J.'!$BH$9:$BK$62,4,0)=0,"0",VLOOKUP(B6,'2ème J.'!$BH$9:$BK$62,4,0)))</f>
        <v>21</v>
      </c>
      <c r="J6" s="272"/>
      <c r="K6" s="212">
        <f>IF(ISNA(VLOOKUP(B6,'3ème J.'!$BH$9:$BK$62,2,0))," ",IF(VLOOKUP(B6,'3ème J.'!$BH$9:$BK$62,2,0)=0,"0",VLOOKUP(B6,'3ème J.'!$BH$9:$BK$62,2,0)))</f>
        <v>5</v>
      </c>
      <c r="L6" s="212">
        <f>IF(ISNA(VLOOKUP(B6,'3ème J.'!$BH$9:$BK$62,3,0))," ",IF(VLOOKUP(B6,'3ème J.'!$BH$9:$BK$62,3,0)=0,"0",VLOOKUP(B6,'3ème J.'!$BH$9:$BK$62,3,0)))</f>
        <v>-7</v>
      </c>
      <c r="M6" s="212">
        <f>IF(ISNA(VLOOKUP(B6,'3ème J.'!$BH$9:$BK$62,4,0))," ",IF(VLOOKUP(B6,'3ème J.'!$BH$9:$BK$62,4,0)=0,"0",VLOOKUP(B6,'3ème J.'!$BH$9:$BK$62,4,0)))</f>
        <v>21</v>
      </c>
      <c r="N6" s="272"/>
      <c r="O6" s="212">
        <f>IF(ISNA(VLOOKUP(B6,'4ème J.'!$BH$9:$BK$62,2,0))," ",IF(VLOOKUP(B6,'4ème J.'!$BH$9:$BK$62,2,0)=0,"0",VLOOKUP(B6,'4ème J.'!$BH$9:$BK$62,2,0)))</f>
        <v>4</v>
      </c>
      <c r="P6" s="212">
        <f>IF(ISNA(VLOOKUP(B6,'4ème J.'!$BH$9:$BK$62,3,0))," ",IF(VLOOKUP(B6,'4ème J.'!$BH$9:$BK$62,3,0)=0,"0",VLOOKUP(B6,'4ème J.'!$BH$9:$BK$62,3,0)))</f>
        <v>-2</v>
      </c>
      <c r="Q6" s="212">
        <f>IF(ISNA(VLOOKUP(B6,'4ème J.'!$BH$9:$BK$62,4,0))," ",IF(VLOOKUP(B6,'4ème J.'!$BH$9:$BK$62,4,0)=0,"0",VLOOKUP(B6,'4ème J.'!$BH$9:$BK$62,4,0)))</f>
        <v>10</v>
      </c>
      <c r="R6" s="257"/>
      <c r="S6" s="212">
        <f>IF(ISNA(VLOOKUP(B6,'5ème J.'!$BH$9:$BK$62,2,0))," ",IF(VLOOKUP(B6,'5ème J.'!$BH$9:$BK$62,2,0)=0,"0",VLOOKUP(B6,'5ème J.'!$BH$9:$BK$62,2,0)))</f>
        <v>7</v>
      </c>
      <c r="T6" s="212">
        <f>IF(ISNA(VLOOKUP(B6,'5ème J.'!$BH$9:$BK$62,3,0))," ",IF(VLOOKUP(B6,'5ème J.'!$BH$9:$BK$62,3,0)=0,"0",VLOOKUP(B6,'5ème J.'!$BH$9:$BK$62,3,0)))</f>
        <v>-1</v>
      </c>
      <c r="U6" s="212">
        <f>IF(ISNA(VLOOKUP(B6,'5ème J.'!$BH$9:$BK$62,4,0))," ",IF(VLOOKUP(B6,'5ème J.'!$BH$9:$BK$62,4,0)=0,"0",VLOOKUP(B6,'5ème J.'!$BH$9:$BK$62,4,0)))</f>
        <v>19</v>
      </c>
      <c r="V6" s="257"/>
      <c r="W6" s="212">
        <f>IF(ISNA(VLOOKUP(B6,'6ème J.'!$BH$9:$BK$62,2,0))," ",IF(VLOOKUP(B6,'6ème J.'!$BH$9:$BK$62,2,0)=0,"0",VLOOKUP(B6,'6ème J.'!$BH$9:$BK$62,2,0)))</f>
        <v>7</v>
      </c>
      <c r="X6" s="212">
        <f>IF(ISNA(VLOOKUP(B6,'6ème J.'!$BH$9:$BK$62,3,0))," ",IF(VLOOKUP(B6,'6ème J.'!$BH$9:$BK$62,3,0)=0,"0",VLOOKUP(B6,'6ème J.'!$BH$9:$BK$62,3,0)))</f>
        <v>10</v>
      </c>
      <c r="Y6" s="212">
        <f>IF(ISNA(VLOOKUP(B6,'6ème J.'!$BH$9:$BK$62,4,0))," ",IF(VLOOKUP(B6,'6ème J.'!$BH$9:$BK$62,4,0)=0,"0",VLOOKUP(B6,'6ème J.'!$BH$9:$BK$62,4,0)))</f>
        <v>31</v>
      </c>
      <c r="Z6"/>
      <c r="AA6" s="286" t="str">
        <f t="shared" ref="AA6:AA37" si="0">VLOOKUP(A6,$A$6:$B$59,2,0)</f>
        <v>A1</v>
      </c>
      <c r="AB6" s="287">
        <f>SUMIFS(C6:W6,$C$5:$W$5,"Pts",C6:W6,"&lt;&gt;#N/A")</f>
        <v>28</v>
      </c>
      <c r="AC6" s="231">
        <f>SUMIFS(D6:X6,$D$5:$X$5,"GA",D6:X6,"&lt;&gt;#N/A")</f>
        <v>8</v>
      </c>
      <c r="AD6" s="288">
        <f>SUMIFS(E6:Y6,$E$5:$Y$5,"Score",E6:Y6,"&lt;&gt;#N/A")</f>
        <v>107</v>
      </c>
      <c r="AE6" s="214">
        <f>IF(OR(AA6="",AB6=""),"",RANK(AB6,$AB$6:$AB$59)+SUM(-AC6/100)-(+AD6/10000)+COUNTIF(AA$6:AA$59,"&lt;="&amp;AA6+1)/1000000+ROW()/100000000)</f>
        <v>19.909300060000003</v>
      </c>
      <c r="AF6" s="215">
        <f>IF(AB6="","",SMALL(AE$6:AE$59,ROWS(AB$6:AB6)))</f>
        <v>0.72470009999999996</v>
      </c>
      <c r="AG6" s="215"/>
      <c r="AH6" s="260">
        <f>IF(AF6="","",1)</f>
        <v>1</v>
      </c>
      <c r="AI6" s="213" t="str">
        <f t="shared" ref="AI6:AI37" si="1">IF(OR(AA6="",AB6=""),"",INDEX($AA$6:$AA$59,MATCH(AF6,$AE$6:$AE$59,0)))</f>
        <v>A5</v>
      </c>
      <c r="AJ6" s="231">
        <f t="shared" ref="AJ6:AJ37" si="2">IF(AA6="","",INDEX($AB$6:$AB$59,MATCH(AF6,$AE$6:$AE$59,0)))</f>
        <v>39</v>
      </c>
      <c r="AK6" s="281">
        <f t="shared" ref="AK6:AK37" si="3">IF(AA6="","",INDEX($AC$6:$AC$59,MATCH(AF6,$AE$6:$AE$59,0)))</f>
        <v>26</v>
      </c>
      <c r="AL6" s="265">
        <f t="shared" ref="AL6:AL37" si="4">IF(AA6="","",INDEX($AD$6:$AD$59,MATCH(AF6,$AE$6:$AE$59,0)))</f>
        <v>153</v>
      </c>
      <c r="AN6" s="217">
        <v>1</v>
      </c>
    </row>
    <row r="7" spans="1:41" x14ac:dyDescent="0.3">
      <c r="A7" s="296">
        <v>2</v>
      </c>
      <c r="B7" s="293" t="str">
        <f>+Inscrits!B4</f>
        <v>A2</v>
      </c>
      <c r="C7" s="212">
        <f>IF(ISNA(VLOOKUP(B7,'1ère J.'!$BH$9:$BK$62,2,0))," ",IF(VLOOKUP(B7,'1ère J.'!$BH$9:$BK$62,2,0)=0,"0",VLOOKUP(B7,'1ère J.'!$BH$9:$BK$62,2,0)))</f>
        <v>4</v>
      </c>
      <c r="D7" s="212">
        <f>IF(ISNA(VLOOKUP(B7,'1ère J.'!$BH$9:$BK$62,3,0))," ",IF(VLOOKUP(B7,'1ère J.'!$BH$9:$BK$62,3,0)=0,"0",VLOOKUP(B7,'1ère J.'!$BH$9:$BK$62,3,0)))</f>
        <v>-4</v>
      </c>
      <c r="E7" s="212">
        <f>IF(ISNA(VLOOKUP(B7,'1ère J.'!$BH$9:$BK$62,4,0))," ",IF(VLOOKUP(B7,'1ère J.'!$BH$9:$BK$62,4,0)=0,"0",VLOOKUP(B7,'1ère J.'!$BH$9:$BK$62,4,0)))</f>
        <v>11</v>
      </c>
      <c r="F7" s="257"/>
      <c r="G7" s="212">
        <f>IF(ISNA(VLOOKUP(B7,'2ème J.'!$BH$9:$BK$62,2,0))," ",IF(VLOOKUP(B7,'2ème J.'!$BH$9:$BK$62,2,0)=0,"0",VLOOKUP(B7,'2ème J.'!$BH$9:$BK$62,2,0)))</f>
        <v>5</v>
      </c>
      <c r="H7" s="212">
        <f>IF(ISNA(VLOOKUP(B7,'2ème J.'!$BH$9:$BK$62,3,0))," ",IF(VLOOKUP(B7,'2ème J.'!$BH$9:$BK$62,3,0)=0,"0",VLOOKUP(B7,'2ème J.'!$BH$9:$BK$62,3,0)))</f>
        <v>-5</v>
      </c>
      <c r="I7" s="212">
        <f>IF(ISNA(VLOOKUP(B7,'2ème J.'!$BH$9:$BK$62,4,0))," ",IF(VLOOKUP(B7,'2ème J.'!$BH$9:$BK$62,4,0)=0,"0",VLOOKUP(B7,'2ème J.'!$BH$9:$BK$62,4,0)))</f>
        <v>21</v>
      </c>
      <c r="J7" s="272"/>
      <c r="K7" s="212">
        <f>IF(ISNA(VLOOKUP(B7,'3ème J.'!$BH$9:$BK$62,2,0))," ",IF(VLOOKUP(B7,'3ème J.'!$BH$9:$BK$62,2,0)=0,"0",VLOOKUP(B7,'3ème J.'!$BH$9:$BK$62,2,0)))</f>
        <v>7</v>
      </c>
      <c r="L7" s="212">
        <f>IF(ISNA(VLOOKUP(B7,'3ème J.'!$BH$9:$BK$62,3,0))," ",IF(VLOOKUP(B7,'3ème J.'!$BH$9:$BK$62,3,0)=0,"0",VLOOKUP(B7,'3ème J.'!$BH$9:$BK$62,3,0)))</f>
        <v>4</v>
      </c>
      <c r="M7" s="212">
        <f>IF(ISNA(VLOOKUP(B7,'3ème J.'!$BH$9:$BK$62,4,0))," ",IF(VLOOKUP(B7,'3ème J.'!$BH$9:$BK$62,4,0)=0,"0",VLOOKUP(B7,'3ème J.'!$BH$9:$BK$62,4,0)))</f>
        <v>26</v>
      </c>
      <c r="N7" s="272"/>
      <c r="O7" s="212">
        <f>IF(ISNA(VLOOKUP(B7,'4ème J.'!$BH$9:$BK$62,2,0))," ",IF(VLOOKUP(B7,'4ème J.'!$BH$9:$BK$62,2,0)=0,"0",VLOOKUP(B7,'4ème J.'!$BH$9:$BK$62,2,0)))</f>
        <v>4</v>
      </c>
      <c r="P7" s="212">
        <f>IF(ISNA(VLOOKUP(B7,'4ème J.'!$BH$9:$BK$62,3,0))," ",IF(VLOOKUP(B7,'4ème J.'!$BH$9:$BK$62,3,0)=0,"0",VLOOKUP(B7,'4ème J.'!$BH$9:$BK$62,3,0)))</f>
        <v>-6</v>
      </c>
      <c r="Q7" s="212">
        <f>IF(ISNA(VLOOKUP(B7,'4ème J.'!$BH$9:$BK$62,4,0))," ",IF(VLOOKUP(B7,'4ème J.'!$BH$9:$BK$62,4,0)=0,"0",VLOOKUP(B7,'4ème J.'!$BH$9:$BK$62,4,0)))</f>
        <v>11</v>
      </c>
      <c r="R7" s="257"/>
      <c r="S7" s="212">
        <f>IF(ISNA(VLOOKUP(B7,'5ème J.'!$BH$9:$BK$62,2,0))," ",IF(VLOOKUP(B7,'5ème J.'!$BH$9:$BK$62,2,0)=0,"0",VLOOKUP(B7,'5ème J.'!$BH$9:$BK$62,2,0)))</f>
        <v>5</v>
      </c>
      <c r="T7" s="212">
        <f>IF(ISNA(VLOOKUP(B7,'5ème J.'!$BH$9:$BK$62,3,0))," ",IF(VLOOKUP(B7,'5ème J.'!$BH$9:$BK$62,3,0)=0,"0",VLOOKUP(B7,'5ème J.'!$BH$9:$BK$62,3,0)))</f>
        <v>3</v>
      </c>
      <c r="U7" s="212">
        <f>IF(ISNA(VLOOKUP(B7,'5ème J.'!$BH$9:$BK$62,4,0))," ",IF(VLOOKUP(B7,'5ème J.'!$BH$9:$BK$62,4,0)=0,"0",VLOOKUP(B7,'5ème J.'!$BH$9:$BK$62,4,0)))</f>
        <v>24</v>
      </c>
      <c r="V7" s="257"/>
      <c r="W7" s="212">
        <f>IF(ISNA(VLOOKUP(B7,'6ème J.'!$BH$9:$BK$62,2,0))," ",IF(VLOOKUP(B7,'6ème J.'!$BH$9:$BK$62,2,0)=0,"0",VLOOKUP(B7,'6ème J.'!$BH$9:$BK$62,2,0)))</f>
        <v>7</v>
      </c>
      <c r="X7" s="212" t="str">
        <f>IF(ISNA(VLOOKUP(B7,'6ème J.'!$BH$9:$BK$62,3,0))," ",IF(VLOOKUP(B7,'6ème J.'!$BH$9:$BK$62,3,0)=0,"0",VLOOKUP(B7,'6ème J.'!$BH$9:$BK$62,3,0)))</f>
        <v>0</v>
      </c>
      <c r="Y7" s="212">
        <f>IF(ISNA(VLOOKUP(B7,'6ème J.'!$BH$9:$BK$62,4,0))," ",IF(VLOOKUP(B7,'6ème J.'!$BH$9:$BK$62,4,0)=0,"0",VLOOKUP(B7,'6ème J.'!$BH$9:$BK$62,4,0)))</f>
        <v>28</v>
      </c>
      <c r="Z7"/>
      <c r="AA7" s="289" t="str">
        <f t="shared" si="0"/>
        <v>A2</v>
      </c>
      <c r="AB7" s="216">
        <f t="shared" ref="AB7:AB37" si="5">SUMIFS(C7:W7,$C$5:$W$5,"Pts",C7:W7,"&lt;&gt;#N/A")</f>
        <v>32</v>
      </c>
      <c r="AC7" s="213">
        <f t="shared" ref="AC7:AC59" si="6">SUMIFS(D7:X7,$D$5:$X$5,"GA",D7:X7,"&lt;&gt;#N/A")</f>
        <v>-8</v>
      </c>
      <c r="AD7" s="290">
        <f t="shared" ref="AD7:AD59" si="7">SUMIFS(E7:Y7,$E$5:$Y$5,"Score",E7:Y7,"&lt;&gt;#N/A")</f>
        <v>121</v>
      </c>
      <c r="AE7" s="214">
        <f t="shared" ref="AE7:AE59" si="8">IF(OR(AA7="",AB7=""),"",RANK(AB7,$AB$6:$AB$59)+SUM(-AC7/100)-(+AD7/10000)+COUNTIF(AA$6:AA$59,"&lt;="&amp;AA7+1)/1000000+ROW()/100000000)</f>
        <v>10.06790007</v>
      </c>
      <c r="AF7" s="215">
        <f>IF(AB7="","",SMALL(AE$6:AE$59,ROWS(AB$6:AB7)))</f>
        <v>0.76710029000000002</v>
      </c>
      <c r="AG7" s="215"/>
      <c r="AH7" s="261">
        <f>IF(AF7="","",IF(AND(AJ6=AJ7,AK6=AK7,AL6=AL7),AH6,$AH$6+1))</f>
        <v>2</v>
      </c>
      <c r="AI7" s="216" t="str">
        <f t="shared" si="1"/>
        <v>B6</v>
      </c>
      <c r="AJ7" s="216">
        <f t="shared" si="2"/>
        <v>39</v>
      </c>
      <c r="AK7" s="263">
        <f t="shared" si="3"/>
        <v>22</v>
      </c>
      <c r="AL7" s="266">
        <f t="shared" si="4"/>
        <v>129</v>
      </c>
      <c r="AN7" s="218">
        <v>2</v>
      </c>
    </row>
    <row r="8" spans="1:41" x14ac:dyDescent="0.3">
      <c r="A8" s="296">
        <v>3</v>
      </c>
      <c r="B8" s="293" t="str">
        <f>+Inscrits!B5</f>
        <v>A3</v>
      </c>
      <c r="C8" s="212">
        <f>IF(ISNA(VLOOKUP(B8,'1ère J.'!$BH$9:$BK$62,2,0))," ",IF(VLOOKUP(B8,'1ère J.'!$BH$9:$BK$62,2,0)=0,"0",VLOOKUP(B8,'1ère J.'!$BH$9:$BK$62,2,0)))</f>
        <v>7</v>
      </c>
      <c r="D8" s="212">
        <f>IF(ISNA(VLOOKUP(B8,'1ère J.'!$BH$9:$BK$62,3,0))," ",IF(VLOOKUP(B8,'1ère J.'!$BH$9:$BK$62,3,0)=0,"0",VLOOKUP(B8,'1ère J.'!$BH$9:$BK$62,3,0)))</f>
        <v>10</v>
      </c>
      <c r="E8" s="212">
        <f>IF(ISNA(VLOOKUP(B8,'1ère J.'!$BH$9:$BK$62,4,0))," ",IF(VLOOKUP(B8,'1ère J.'!$BH$9:$BK$62,4,0)=0,"0",VLOOKUP(B8,'1ère J.'!$BH$9:$BK$62,4,0)))</f>
        <v>26</v>
      </c>
      <c r="F8" s="257"/>
      <c r="G8" s="212">
        <f>IF(ISNA(VLOOKUP(B8,'2ème J.'!$BH$9:$BK$62,2,0))," ",IF(VLOOKUP(B8,'2ème J.'!$BH$9:$BK$62,2,0)=0,"0",VLOOKUP(B8,'2ème J.'!$BH$9:$BK$62,2,0)))</f>
        <v>7</v>
      </c>
      <c r="H8" s="212">
        <f>IF(ISNA(VLOOKUP(B8,'2ème J.'!$BH$9:$BK$62,3,0))," ",IF(VLOOKUP(B8,'2ème J.'!$BH$9:$BK$62,3,0)=0,"0",VLOOKUP(B8,'2ème J.'!$BH$9:$BK$62,3,0)))</f>
        <v>6</v>
      </c>
      <c r="I8" s="212">
        <f>IF(ISNA(VLOOKUP(B8,'2ème J.'!$BH$9:$BK$62,4,0))," ",IF(VLOOKUP(B8,'2ème J.'!$BH$9:$BK$62,4,0)=0,"0",VLOOKUP(B8,'2ème J.'!$BH$9:$BK$62,4,0)))</f>
        <v>27</v>
      </c>
      <c r="J8" s="272"/>
      <c r="K8" s="212">
        <f>IF(ISNA(VLOOKUP(B8,'3ème J.'!$BH$9:$BK$62,2,0))," ",IF(VLOOKUP(B8,'3ème J.'!$BH$9:$BK$62,2,0)=0,"0",VLOOKUP(B8,'3ème J.'!$BH$9:$BK$62,2,0)))</f>
        <v>7</v>
      </c>
      <c r="L8" s="212">
        <f>IF(ISNA(VLOOKUP(B8,'3ème J.'!$BH$9:$BK$62,3,0))," ",IF(VLOOKUP(B8,'3ème J.'!$BH$9:$BK$62,3,0)=0,"0",VLOOKUP(B8,'3ème J.'!$BH$9:$BK$62,3,0)))</f>
        <v>4</v>
      </c>
      <c r="M8" s="212">
        <f>IF(ISNA(VLOOKUP(B8,'3ème J.'!$BH$9:$BK$62,4,0))," ",IF(VLOOKUP(B8,'3ème J.'!$BH$9:$BK$62,4,0)=0,"0",VLOOKUP(B8,'3ème J.'!$BH$9:$BK$62,4,0)))</f>
        <v>26</v>
      </c>
      <c r="N8" s="272"/>
      <c r="O8" s="212">
        <f>IF(ISNA(VLOOKUP(B8,'4ème J.'!$BH$9:$BK$62,2,0))," ",IF(VLOOKUP(B8,'4ème J.'!$BH$9:$BK$62,2,0)=0,"0",VLOOKUP(B8,'4ème J.'!$BH$9:$BK$62,2,0)))</f>
        <v>7</v>
      </c>
      <c r="P8" s="212">
        <f>IF(ISNA(VLOOKUP(B8,'4ème J.'!$BH$9:$BK$62,3,0))," ",IF(VLOOKUP(B8,'4ème J.'!$BH$9:$BK$62,3,0)=0,"0",VLOOKUP(B8,'4ème J.'!$BH$9:$BK$62,3,0)))</f>
        <v>5</v>
      </c>
      <c r="Q8" s="212">
        <f>IF(ISNA(VLOOKUP(B8,'4ème J.'!$BH$9:$BK$62,4,0))," ",IF(VLOOKUP(B8,'4ème J.'!$BH$9:$BK$62,4,0)=0,"0",VLOOKUP(B8,'4ème J.'!$BH$9:$BK$62,4,0)))</f>
        <v>29</v>
      </c>
      <c r="R8" s="257"/>
      <c r="S8" s="212">
        <f>IF(ISNA(VLOOKUP(B8,'5ème J.'!$BH$9:$BK$62,2,0))," ",IF(VLOOKUP(B8,'5ème J.'!$BH$9:$BK$62,2,0)=0,"0",VLOOKUP(B8,'5ème J.'!$BH$9:$BK$62,2,0)))</f>
        <v>5</v>
      </c>
      <c r="T8" s="212">
        <f>IF(ISNA(VLOOKUP(B8,'5ème J.'!$BH$9:$BK$62,3,0))," ",IF(VLOOKUP(B8,'5ème J.'!$BH$9:$BK$62,3,0)=0,"0",VLOOKUP(B8,'5ème J.'!$BH$9:$BK$62,3,0)))</f>
        <v>-1</v>
      </c>
      <c r="U8" s="212">
        <f>IF(ISNA(VLOOKUP(B8,'5ème J.'!$BH$9:$BK$62,4,0))," ",IF(VLOOKUP(B8,'5ème J.'!$BH$9:$BK$62,4,0)=0,"0",VLOOKUP(B8,'5ème J.'!$BH$9:$BK$62,4,0)))</f>
        <v>19</v>
      </c>
      <c r="V8" s="257"/>
      <c r="W8" s="212">
        <f>IF(ISNA(VLOOKUP(B8,'6ème J.'!$BH$9:$BK$62,2,0))," ",IF(VLOOKUP(B8,'6ème J.'!$BH$9:$BK$62,2,0)=0,"0",VLOOKUP(B8,'6ème J.'!$BH$9:$BK$62,2,0)))</f>
        <v>5</v>
      </c>
      <c r="X8" s="212">
        <f>IF(ISNA(VLOOKUP(B8,'6ème J.'!$BH$9:$BK$62,3,0))," ",IF(VLOOKUP(B8,'6ème J.'!$BH$9:$BK$62,3,0)=0,"0",VLOOKUP(B8,'6ème J.'!$BH$9:$BK$62,3,0)))</f>
        <v>-6</v>
      </c>
      <c r="Y8" s="212">
        <f>IF(ISNA(VLOOKUP(B8,'6ème J.'!$BH$9:$BK$62,4,0))," ",IF(VLOOKUP(B8,'6ème J.'!$BH$9:$BK$62,4,0)=0,"0",VLOOKUP(B8,'6ème J.'!$BH$9:$BK$62,4,0)))</f>
        <v>22</v>
      </c>
      <c r="Z8"/>
      <c r="AA8" s="289" t="str">
        <f t="shared" si="0"/>
        <v>A3</v>
      </c>
      <c r="AB8" s="216">
        <f t="shared" si="5"/>
        <v>38</v>
      </c>
      <c r="AC8" s="213">
        <f t="shared" si="6"/>
        <v>18</v>
      </c>
      <c r="AD8" s="290">
        <f t="shared" si="7"/>
        <v>149</v>
      </c>
      <c r="AE8" s="214">
        <f t="shared" si="8"/>
        <v>2.8051000799999999</v>
      </c>
      <c r="AF8" s="215">
        <f>IF(AB8="","",SMALL(AE$6:AE$59,ROWS(AB$6:AB8)))</f>
        <v>2.6358004599999996</v>
      </c>
      <c r="AG8" s="215"/>
      <c r="AH8" s="261">
        <f>IF(AF8="","",IF(AND(AJ7=AJ8,AK7=AK8,AL7=AL8),AH7,$AH$6+2))</f>
        <v>3</v>
      </c>
      <c r="AI8" s="216" t="str">
        <f t="shared" si="1"/>
        <v>C5</v>
      </c>
      <c r="AJ8" s="216">
        <f t="shared" si="2"/>
        <v>38</v>
      </c>
      <c r="AK8" s="263">
        <f t="shared" si="3"/>
        <v>35</v>
      </c>
      <c r="AL8" s="266">
        <f t="shared" si="4"/>
        <v>142</v>
      </c>
      <c r="AN8" s="218">
        <v>3</v>
      </c>
    </row>
    <row r="9" spans="1:41" x14ac:dyDescent="0.3">
      <c r="A9" s="296">
        <v>4</v>
      </c>
      <c r="B9" s="293" t="str">
        <f>+Inscrits!B6</f>
        <v>A4</v>
      </c>
      <c r="C9" s="212">
        <f>IF(ISNA(VLOOKUP(B9,'1ère J.'!$BH$9:$BK$62,2,0))," ",IF(VLOOKUP(B9,'1ère J.'!$BH$9:$BK$62,2,0)=0,"0",VLOOKUP(B9,'1ère J.'!$BH$9:$BK$62,2,0)))</f>
        <v>5</v>
      </c>
      <c r="D9" s="212">
        <f>IF(ISNA(VLOOKUP(B9,'1ère J.'!$BH$9:$BK$62,3,0))," ",IF(VLOOKUP(B9,'1ère J.'!$BH$9:$BK$62,3,0)=0,"0",VLOOKUP(B9,'1ère J.'!$BH$9:$BK$62,3,0)))</f>
        <v>-12</v>
      </c>
      <c r="E9" s="212">
        <f>IF(ISNA(VLOOKUP(B9,'1ère J.'!$BH$9:$BK$62,4,0))," ",IF(VLOOKUP(B9,'1ère J.'!$BH$9:$BK$62,4,0)=0,"0",VLOOKUP(B9,'1ère J.'!$BH$9:$BK$62,4,0)))</f>
        <v>16</v>
      </c>
      <c r="F9" s="257"/>
      <c r="G9" s="212">
        <f>IF(ISNA(VLOOKUP(B9,'2ème J.'!$BH$9:$BK$62,2,0))," ",IF(VLOOKUP(B9,'2ème J.'!$BH$9:$BK$62,2,0)=0,"0",VLOOKUP(B9,'2ème J.'!$BH$9:$BK$62,2,0)))</f>
        <v>7</v>
      </c>
      <c r="H9" s="212">
        <f>IF(ISNA(VLOOKUP(B9,'2ème J.'!$BH$9:$BK$62,3,0))," ",IF(VLOOKUP(B9,'2ème J.'!$BH$9:$BK$62,3,0)=0,"0",VLOOKUP(B9,'2ème J.'!$BH$9:$BK$62,3,0)))</f>
        <v>-6</v>
      </c>
      <c r="I9" s="212">
        <f>IF(ISNA(VLOOKUP(B9,'2ème J.'!$BH$9:$BK$62,4,0))," ",IF(VLOOKUP(B9,'2ème J.'!$BH$9:$BK$62,4,0)=0,"0",VLOOKUP(B9,'2ème J.'!$BH$9:$BK$62,4,0)))</f>
        <v>19</v>
      </c>
      <c r="J9" s="272"/>
      <c r="K9" s="212">
        <f>IF(ISNA(VLOOKUP(B9,'3ème J.'!$BH$9:$BK$62,2,0))," ",IF(VLOOKUP(B9,'3ème J.'!$BH$9:$BK$62,2,0)=0,"0",VLOOKUP(B9,'3ème J.'!$BH$9:$BK$62,2,0)))</f>
        <v>3</v>
      </c>
      <c r="L9" s="212">
        <f>IF(ISNA(VLOOKUP(B9,'3ème J.'!$BH$9:$BK$62,3,0))," ",IF(VLOOKUP(B9,'3ème J.'!$BH$9:$BK$62,3,0)=0,"0",VLOOKUP(B9,'3ème J.'!$BH$9:$BK$62,3,0)))</f>
        <v>-15</v>
      </c>
      <c r="M9" s="212">
        <f>IF(ISNA(VLOOKUP(B9,'3ème J.'!$BH$9:$BK$62,4,0))," ",IF(VLOOKUP(B9,'3ème J.'!$BH$9:$BK$62,4,0)=0,"0",VLOOKUP(B9,'3ème J.'!$BH$9:$BK$62,4,0)))</f>
        <v>15</v>
      </c>
      <c r="N9" s="272"/>
      <c r="O9" s="212">
        <f>IF(ISNA(VLOOKUP(B9,'4ème J.'!$BH$9:$BK$62,2,0))," ",IF(VLOOKUP(B9,'4ème J.'!$BH$9:$BK$62,2,0)=0,"0",VLOOKUP(B9,'4ème J.'!$BH$9:$BK$62,2,0)))</f>
        <v>7</v>
      </c>
      <c r="P9" s="212">
        <f>IF(ISNA(VLOOKUP(B9,'4ème J.'!$BH$9:$BK$62,3,0))," ",IF(VLOOKUP(B9,'4ème J.'!$BH$9:$BK$62,3,0)=0,"0",VLOOKUP(B9,'4ème J.'!$BH$9:$BK$62,3,0)))</f>
        <v>-1</v>
      </c>
      <c r="Q9" s="212">
        <f>IF(ISNA(VLOOKUP(B9,'4ème J.'!$BH$9:$BK$62,4,0))," ",IF(VLOOKUP(B9,'4ème J.'!$BH$9:$BK$62,4,0)=0,"0",VLOOKUP(B9,'4ème J.'!$BH$9:$BK$62,4,0)))</f>
        <v>20</v>
      </c>
      <c r="R9" s="257"/>
      <c r="S9" s="212">
        <f>IF(ISNA(VLOOKUP(B9,'5ème J.'!$BH$9:$BK$62,2,0))," ",IF(VLOOKUP(B9,'5ème J.'!$BH$9:$BK$62,2,0)=0,"0",VLOOKUP(B9,'5ème J.'!$BH$9:$BK$62,2,0)))</f>
        <v>7</v>
      </c>
      <c r="T9" s="212">
        <f>IF(ISNA(VLOOKUP(B9,'5ème J.'!$BH$9:$BK$62,3,0))," ",IF(VLOOKUP(B9,'5ème J.'!$BH$9:$BK$62,3,0)=0,"0",VLOOKUP(B9,'5ème J.'!$BH$9:$BK$62,3,0)))</f>
        <v>-1</v>
      </c>
      <c r="U9" s="212">
        <f>IF(ISNA(VLOOKUP(B9,'5ème J.'!$BH$9:$BK$62,4,0))," ",IF(VLOOKUP(B9,'5ème J.'!$BH$9:$BK$62,4,0)=0,"0",VLOOKUP(B9,'5ème J.'!$BH$9:$BK$62,4,0)))</f>
        <v>20</v>
      </c>
      <c r="V9" s="257"/>
      <c r="W9" s="212">
        <f>IF(ISNA(VLOOKUP(B9,'6ème J.'!$BH$9:$BK$62,2,0))," ",IF(VLOOKUP(B9,'6ème J.'!$BH$9:$BK$62,2,0)=0,"0",VLOOKUP(B9,'6ème J.'!$BH$9:$BK$62,2,0)))</f>
        <v>5</v>
      </c>
      <c r="X9" s="212">
        <f>IF(ISNA(VLOOKUP(B9,'6ème J.'!$BH$9:$BK$62,3,0))," ",IF(VLOOKUP(B9,'6ème J.'!$BH$9:$BK$62,3,0)=0,"0",VLOOKUP(B9,'6ème J.'!$BH$9:$BK$62,3,0)))</f>
        <v>1</v>
      </c>
      <c r="Y9" s="212">
        <f>IF(ISNA(VLOOKUP(B9,'6ème J.'!$BH$9:$BK$62,4,0))," ",IF(VLOOKUP(B9,'6ème J.'!$BH$9:$BK$62,4,0)=0,"0",VLOOKUP(B9,'6ème J.'!$BH$9:$BK$62,4,0)))</f>
        <v>22</v>
      </c>
      <c r="Z9"/>
      <c r="AA9" s="289" t="str">
        <f t="shared" si="0"/>
        <v>A4</v>
      </c>
      <c r="AB9" s="216">
        <f t="shared" si="5"/>
        <v>34</v>
      </c>
      <c r="AC9" s="213">
        <f t="shared" si="6"/>
        <v>-34</v>
      </c>
      <c r="AD9" s="290">
        <f t="shared" si="7"/>
        <v>112</v>
      </c>
      <c r="AE9" s="214">
        <f t="shared" si="8"/>
        <v>7.3288000900000005</v>
      </c>
      <c r="AF9" s="215">
        <f>IF(AB9="","",SMALL(AE$6:AE$59,ROWS(AB$6:AB9)))</f>
        <v>2.8051000799999999</v>
      </c>
      <c r="AG9" s="215"/>
      <c r="AH9" s="261">
        <f>IF(AF9="","",IF(AND(AJ8=AJ9,AK8=AK9,AL9=AL8),AH8,$AH$6+3))</f>
        <v>4</v>
      </c>
      <c r="AI9" s="216" t="str">
        <f t="shared" si="1"/>
        <v>A3</v>
      </c>
      <c r="AJ9" s="216">
        <f t="shared" si="2"/>
        <v>38</v>
      </c>
      <c r="AK9" s="263">
        <f t="shared" si="3"/>
        <v>18</v>
      </c>
      <c r="AL9" s="266">
        <f t="shared" si="4"/>
        <v>149</v>
      </c>
      <c r="AN9" s="218">
        <v>4</v>
      </c>
    </row>
    <row r="10" spans="1:41" x14ac:dyDescent="0.3">
      <c r="A10" s="296">
        <v>5</v>
      </c>
      <c r="B10" s="293" t="str">
        <f>+Inscrits!B7</f>
        <v>A5</v>
      </c>
      <c r="C10" s="212">
        <f>IF(ISNA(VLOOKUP(B10,'1ère J.'!$BH$9:$BK$62,2,0))," ",IF(VLOOKUP(B10,'1ère J.'!$BH$9:$BK$62,2,0)=0,"0",VLOOKUP(B10,'1ère J.'!$BH$9:$BK$62,2,0)))</f>
        <v>6</v>
      </c>
      <c r="D10" s="212">
        <f>IF(ISNA(VLOOKUP(B10,'1ère J.'!$BH$9:$BK$62,3,0))," ",IF(VLOOKUP(B10,'1ère J.'!$BH$9:$BK$62,3,0)=0,"0",VLOOKUP(B10,'1ère J.'!$BH$9:$BK$62,3,0)))</f>
        <v>12</v>
      </c>
      <c r="E10" s="212">
        <f>IF(ISNA(VLOOKUP(B10,'1ère J.'!$BH$9:$BK$62,4,0))," ",IF(VLOOKUP(B10,'1ère J.'!$BH$9:$BK$62,4,0)=0,"0",VLOOKUP(B10,'1ère J.'!$BH$9:$BK$62,4,0)))</f>
        <v>26</v>
      </c>
      <c r="F10" s="257"/>
      <c r="G10" s="212">
        <f>IF(ISNA(VLOOKUP(B10,'2ème J.'!$BH$9:$BK$62,2,0))," ",IF(VLOOKUP(B10,'2ème J.'!$BH$9:$BK$62,2,0)=0,"0",VLOOKUP(B10,'2ème J.'!$BH$9:$BK$62,2,0)))</f>
        <v>5</v>
      </c>
      <c r="H10" s="212">
        <f>IF(ISNA(VLOOKUP(B10,'2ème J.'!$BH$9:$BK$62,3,0))," ",IF(VLOOKUP(B10,'2ème J.'!$BH$9:$BK$62,3,0)=0,"0",VLOOKUP(B10,'2ème J.'!$BH$9:$BK$62,3,0)))</f>
        <v>5</v>
      </c>
      <c r="I10" s="212">
        <f>IF(ISNA(VLOOKUP(B10,'2ème J.'!$BH$9:$BK$62,4,0))," ",IF(VLOOKUP(B10,'2ème J.'!$BH$9:$BK$62,4,0)=0,"0",VLOOKUP(B10,'2ème J.'!$BH$9:$BK$62,4,0)))</f>
        <v>22</v>
      </c>
      <c r="J10" s="272"/>
      <c r="K10" s="212">
        <f>IF(ISNA(VLOOKUP(B10,'3ème J.'!$BH$9:$BK$62,2,0))," ",IF(VLOOKUP(B10,'3ème J.'!$BH$9:$BK$62,2,0)=0,"0",VLOOKUP(B10,'3ème J.'!$BH$9:$BK$62,2,0)))</f>
        <v>7</v>
      </c>
      <c r="L10" s="212" t="str">
        <f>IF(ISNA(VLOOKUP(B10,'3ème J.'!$BH$9:$BK$62,3,0))," ",IF(VLOOKUP(B10,'3ème J.'!$BH$9:$BK$62,3,0)=0,"0",VLOOKUP(B10,'3ème J.'!$BH$9:$BK$62,3,0)))</f>
        <v>0</v>
      </c>
      <c r="M10" s="212">
        <f>IF(ISNA(VLOOKUP(B10,'3ème J.'!$BH$9:$BK$62,4,0))," ",IF(VLOOKUP(B10,'3ème J.'!$BH$9:$BK$62,4,0)=0,"0",VLOOKUP(B10,'3ème J.'!$BH$9:$BK$62,4,0)))</f>
        <v>29</v>
      </c>
      <c r="N10" s="272"/>
      <c r="O10" s="212">
        <f>IF(ISNA(VLOOKUP(B10,'4ème J.'!$BH$9:$BK$62,2,0))," ",IF(VLOOKUP(B10,'4ème J.'!$BH$9:$BK$62,2,0)=0,"0",VLOOKUP(B10,'4ème J.'!$BH$9:$BK$62,2,0)))</f>
        <v>7</v>
      </c>
      <c r="P10" s="212">
        <f>IF(ISNA(VLOOKUP(B10,'4ème J.'!$BH$9:$BK$62,3,0))," ",IF(VLOOKUP(B10,'4ème J.'!$BH$9:$BK$62,3,0)=0,"0",VLOOKUP(B10,'4ème J.'!$BH$9:$BK$62,3,0)))</f>
        <v>4</v>
      </c>
      <c r="Q10" s="212">
        <f>IF(ISNA(VLOOKUP(B10,'4ème J.'!$BH$9:$BK$62,4,0))," ",IF(VLOOKUP(B10,'4ème J.'!$BH$9:$BK$62,4,0)=0,"0",VLOOKUP(B10,'4ème J.'!$BH$9:$BK$62,4,0)))</f>
        <v>23</v>
      </c>
      <c r="R10" s="257"/>
      <c r="S10" s="212">
        <f>IF(ISNA(VLOOKUP(B10,'5ème J.'!$BH$9:$BK$62,2,0))," ",IF(VLOOKUP(B10,'5ème J.'!$BH$9:$BK$62,2,0)=0,"0",VLOOKUP(B10,'5ème J.'!$BH$9:$BK$62,2,0)))</f>
        <v>7</v>
      </c>
      <c r="T10" s="212">
        <f>IF(ISNA(VLOOKUP(B10,'5ème J.'!$BH$9:$BK$62,3,0))," ",IF(VLOOKUP(B10,'5ème J.'!$BH$9:$BK$62,3,0)=0,"0",VLOOKUP(B10,'5ème J.'!$BH$9:$BK$62,3,0)))</f>
        <v>4</v>
      </c>
      <c r="U10" s="212">
        <f>IF(ISNA(VLOOKUP(B10,'5ème J.'!$BH$9:$BK$62,4,0))," ",IF(VLOOKUP(B10,'5ème J.'!$BH$9:$BK$62,4,0)=0,"0",VLOOKUP(B10,'5ème J.'!$BH$9:$BK$62,4,0)))</f>
        <v>27</v>
      </c>
      <c r="V10" s="257"/>
      <c r="W10" s="212">
        <f>IF(ISNA(VLOOKUP(B10,'6ème J.'!$BH$9:$BK$62,2,0))," ",IF(VLOOKUP(B10,'6ème J.'!$BH$9:$BK$62,2,0)=0,"0",VLOOKUP(B10,'6ème J.'!$BH$9:$BK$62,2,0)))</f>
        <v>7</v>
      </c>
      <c r="X10" s="212">
        <f>IF(ISNA(VLOOKUP(B10,'6ème J.'!$BH$9:$BK$62,3,0))," ",IF(VLOOKUP(B10,'6ème J.'!$BH$9:$BK$62,3,0)=0,"0",VLOOKUP(B10,'6ème J.'!$BH$9:$BK$62,3,0)))</f>
        <v>1</v>
      </c>
      <c r="Y10" s="212">
        <f>IF(ISNA(VLOOKUP(B10,'6ème J.'!$BH$9:$BK$62,4,0))," ",IF(VLOOKUP(B10,'6ème J.'!$BH$9:$BK$62,4,0)=0,"0",VLOOKUP(B10,'6ème J.'!$BH$9:$BK$62,4,0)))</f>
        <v>26</v>
      </c>
      <c r="Z10"/>
      <c r="AA10" s="289" t="str">
        <f t="shared" si="0"/>
        <v>A5</v>
      </c>
      <c r="AB10" s="216">
        <f t="shared" si="5"/>
        <v>39</v>
      </c>
      <c r="AC10" s="213">
        <f t="shared" si="6"/>
        <v>26</v>
      </c>
      <c r="AD10" s="290">
        <f t="shared" si="7"/>
        <v>153</v>
      </c>
      <c r="AE10" s="214">
        <f t="shared" si="8"/>
        <v>0.72470009999999996</v>
      </c>
      <c r="AF10" s="215">
        <f>IF(AB10="","",SMALL(AE$6:AE$59,ROWS(AB$6:AB10)))</f>
        <v>4.75620026</v>
      </c>
      <c r="AG10" s="215"/>
      <c r="AH10" s="261">
        <f>IF(AF10="","",IF(AND(AJ9=AJ10,AK9=AK10,AL10=AL9),AH9,$AH$6+4))</f>
        <v>5</v>
      </c>
      <c r="AI10" s="216" t="str">
        <f t="shared" si="1"/>
        <v>B3</v>
      </c>
      <c r="AJ10" s="216">
        <f t="shared" si="2"/>
        <v>37</v>
      </c>
      <c r="AK10" s="263">
        <f t="shared" si="3"/>
        <v>23</v>
      </c>
      <c r="AL10" s="266">
        <f t="shared" si="4"/>
        <v>138</v>
      </c>
      <c r="AN10" s="218">
        <v>5</v>
      </c>
    </row>
    <row r="11" spans="1:41" x14ac:dyDescent="0.3">
      <c r="A11" s="296">
        <v>6</v>
      </c>
      <c r="B11" s="293" t="str">
        <f>+Inscrits!B8</f>
        <v>A6</v>
      </c>
      <c r="C11" s="212">
        <f>IF(ISNA(VLOOKUP(B11,'1ère J.'!$BH$9:$BK$62,2,0))," ",IF(VLOOKUP(B11,'1ère J.'!$BH$9:$BK$62,2,0)=0,"0",VLOOKUP(B11,'1ère J.'!$BH$9:$BK$62,2,0)))</f>
        <v>1</v>
      </c>
      <c r="D11" s="212">
        <f>IF(ISNA(VLOOKUP(B11,'1ère J.'!$BH$9:$BK$62,3,0))," ",IF(VLOOKUP(B11,'1ère J.'!$BH$9:$BK$62,3,0)=0,"0",VLOOKUP(B11,'1ère J.'!$BH$9:$BK$62,3,0)))</f>
        <v>-5</v>
      </c>
      <c r="E11" s="212">
        <f>IF(ISNA(VLOOKUP(B11,'1ère J.'!$BH$9:$BK$62,4,0))," ",IF(VLOOKUP(B11,'1ère J.'!$BH$9:$BK$62,4,0)=0,"0",VLOOKUP(B11,'1ère J.'!$BH$9:$BK$62,4,0)))</f>
        <v>9</v>
      </c>
      <c r="F11" s="257"/>
      <c r="G11" s="212">
        <f>IF(ISNA(VLOOKUP(B11,'2ème J.'!$BH$9:$BK$62,2,0))," ",IF(VLOOKUP(B11,'2ème J.'!$BH$9:$BK$62,2,0)=0,"0",VLOOKUP(B11,'2ème J.'!$BH$9:$BK$62,2,0)))</f>
        <v>2</v>
      </c>
      <c r="H11" s="212">
        <f>IF(ISNA(VLOOKUP(B11,'2ème J.'!$BH$9:$BK$62,3,0))," ",IF(VLOOKUP(B11,'2ème J.'!$BH$9:$BK$62,3,0)=0,"0",VLOOKUP(B11,'2ème J.'!$BH$9:$BK$62,3,0)))</f>
        <v>-13</v>
      </c>
      <c r="I11" s="212">
        <f>IF(ISNA(VLOOKUP(B11,'2ème J.'!$BH$9:$BK$62,4,0))," ",IF(VLOOKUP(B11,'2ème J.'!$BH$9:$BK$62,4,0)=0,"0",VLOOKUP(B11,'2ème J.'!$BH$9:$BK$62,4,0)))</f>
        <v>8</v>
      </c>
      <c r="J11" s="272"/>
      <c r="K11" s="212">
        <f>IF(ISNA(VLOOKUP(B11,'3ème J.'!$BH$9:$BK$62,2,0))," ",IF(VLOOKUP(B11,'3ème J.'!$BH$9:$BK$62,2,0)=0,"0",VLOOKUP(B11,'3ème J.'!$BH$9:$BK$62,2,0)))</f>
        <v>7</v>
      </c>
      <c r="L11" s="212">
        <f>IF(ISNA(VLOOKUP(B11,'3ème J.'!$BH$9:$BK$62,3,0))," ",IF(VLOOKUP(B11,'3ème J.'!$BH$9:$BK$62,3,0)=0,"0",VLOOKUP(B11,'3ème J.'!$BH$9:$BK$62,3,0)))</f>
        <v>9</v>
      </c>
      <c r="M11" s="212">
        <f>IF(ISNA(VLOOKUP(B11,'3ème J.'!$BH$9:$BK$62,4,0))," ",IF(VLOOKUP(B11,'3ème J.'!$BH$9:$BK$62,4,0)=0,"0",VLOOKUP(B11,'3ème J.'!$BH$9:$BK$62,4,0)))</f>
        <v>25</v>
      </c>
      <c r="N11" s="272"/>
      <c r="O11" s="212">
        <f>IF(ISNA(VLOOKUP(B11,'4ème J.'!$BH$9:$BK$62,2,0))," ",IF(VLOOKUP(B11,'4ème J.'!$BH$9:$BK$62,2,0)=0,"0",VLOOKUP(B11,'4ème J.'!$BH$9:$BK$62,2,0)))</f>
        <v>7</v>
      </c>
      <c r="P11" s="212">
        <f>IF(ISNA(VLOOKUP(B11,'4ème J.'!$BH$9:$BK$62,3,0))," ",IF(VLOOKUP(B11,'4ème J.'!$BH$9:$BK$62,3,0)=0,"0",VLOOKUP(B11,'4ème J.'!$BH$9:$BK$62,3,0)))</f>
        <v>8</v>
      </c>
      <c r="Q11" s="212">
        <f>IF(ISNA(VLOOKUP(B11,'4ème J.'!$BH$9:$BK$62,4,0))," ",IF(VLOOKUP(B11,'4ème J.'!$BH$9:$BK$62,4,0)=0,"0",VLOOKUP(B11,'4ème J.'!$BH$9:$BK$62,4,0)))</f>
        <v>10</v>
      </c>
      <c r="R11" s="257"/>
      <c r="S11" s="212">
        <f>IF(ISNA(VLOOKUP(B11,'5ème J.'!$BH$9:$BK$62,2,0))," ",IF(VLOOKUP(B11,'5ème J.'!$BH$9:$BK$62,2,0)=0,"0",VLOOKUP(B11,'5ème J.'!$BH$9:$BK$62,2,0)))</f>
        <v>7</v>
      </c>
      <c r="T11" s="212">
        <f>IF(ISNA(VLOOKUP(B11,'5ème J.'!$BH$9:$BK$62,3,0))," ",IF(VLOOKUP(B11,'5ème J.'!$BH$9:$BK$62,3,0)=0,"0",VLOOKUP(B11,'5ème J.'!$BH$9:$BK$62,3,0)))</f>
        <v>11</v>
      </c>
      <c r="U11" s="212">
        <f>IF(ISNA(VLOOKUP(B11,'5ème J.'!$BH$9:$BK$62,4,0))," ",IF(VLOOKUP(B11,'5ème J.'!$BH$9:$BK$62,4,0)=0,"0",VLOOKUP(B11,'5ème J.'!$BH$9:$BK$62,4,0)))</f>
        <v>27</v>
      </c>
      <c r="V11" s="257"/>
      <c r="W11" s="212">
        <f>IF(ISNA(VLOOKUP(B11,'6ème J.'!$BH$9:$BK$62,2,0))," ",IF(VLOOKUP(B11,'6ème J.'!$BH$9:$BK$62,2,0)=0,"0",VLOOKUP(B11,'6ème J.'!$BH$9:$BK$62,2,0)))</f>
        <v>7</v>
      </c>
      <c r="X11" s="212">
        <f>IF(ISNA(VLOOKUP(B11,'6ème J.'!$BH$9:$BK$62,3,0))," ",IF(VLOOKUP(B11,'6ème J.'!$BH$9:$BK$62,3,0)=0,"0",VLOOKUP(B11,'6ème J.'!$BH$9:$BK$62,3,0)))</f>
        <v>13</v>
      </c>
      <c r="Y11" s="212">
        <f>IF(ISNA(VLOOKUP(B11,'6ème J.'!$BH$9:$BK$62,4,0))," ",IF(VLOOKUP(B11,'6ème J.'!$BH$9:$BK$62,4,0)=0,"0",VLOOKUP(B11,'6ème J.'!$BH$9:$BK$62,4,0)))</f>
        <v>32</v>
      </c>
      <c r="Z11"/>
      <c r="AA11" s="289" t="str">
        <f t="shared" si="0"/>
        <v>A6</v>
      </c>
      <c r="AB11" s="216">
        <f t="shared" si="5"/>
        <v>31</v>
      </c>
      <c r="AC11" s="213">
        <f t="shared" si="6"/>
        <v>23</v>
      </c>
      <c r="AD11" s="290">
        <f t="shared" si="7"/>
        <v>111</v>
      </c>
      <c r="AE11" s="214">
        <f t="shared" si="8"/>
        <v>10.758900109999999</v>
      </c>
      <c r="AF11" s="215">
        <f>IF(AB11="","",SMALL(AE$6:AE$59,ROWS(AB$6:AB11)))</f>
        <v>5.8381004799999996</v>
      </c>
      <c r="AG11" s="215"/>
      <c r="AH11" s="261">
        <f>IF(AF11="","",IF(AND(AJ10=AJ11,AK10=AK11,AL11=AL10),AH10,$AH$6+5))</f>
        <v>6</v>
      </c>
      <c r="AI11" s="216" t="str">
        <f t="shared" si="1"/>
        <v>C7</v>
      </c>
      <c r="AJ11" s="216">
        <f t="shared" si="2"/>
        <v>36</v>
      </c>
      <c r="AK11" s="263">
        <f t="shared" si="3"/>
        <v>15</v>
      </c>
      <c r="AL11" s="266">
        <f t="shared" si="4"/>
        <v>119</v>
      </c>
      <c r="AN11" s="218">
        <v>6</v>
      </c>
    </row>
    <row r="12" spans="1:41" x14ac:dyDescent="0.3">
      <c r="A12" s="296">
        <v>7</v>
      </c>
      <c r="B12" s="293" t="str">
        <f>+Inscrits!B9</f>
        <v>A7</v>
      </c>
      <c r="C12" s="212" t="str">
        <f>IF(ISNA(VLOOKUP(B12,'1ère J.'!$BH$9:$BK$62,2,0))," ",IF(VLOOKUP(B12,'1ère J.'!$BH$9:$BK$62,2,0)=0,"0",VLOOKUP(B12,'1ère J.'!$BH$9:$BK$62,2,0)))</f>
        <v>0</v>
      </c>
      <c r="D12" s="212" t="str">
        <f>IF(ISNA(VLOOKUP(B12,'1ère J.'!$BH$9:$BK$62,3,0))," ",IF(VLOOKUP(B12,'1ère J.'!$BH$9:$BK$62,3,0)=0,"0",VLOOKUP(B12,'1ère J.'!$BH$9:$BK$62,3,0)))</f>
        <v>0</v>
      </c>
      <c r="E12" s="212" t="str">
        <f>IF(ISNA(VLOOKUP(B12,'1ère J.'!$BH$9:$BK$62,4,0))," ",IF(VLOOKUP(B12,'1ère J.'!$BH$9:$BK$62,4,0)=0,"0",VLOOKUP(B12,'1ère J.'!$BH$9:$BK$62,4,0)))</f>
        <v>0</v>
      </c>
      <c r="F12" s="257"/>
      <c r="G12" s="212">
        <f>IF(ISNA(VLOOKUP(B12,'2ème J.'!$BH$9:$BK$62,2,0))," ",IF(VLOOKUP(B12,'2ème J.'!$BH$9:$BK$62,2,0)=0,"0",VLOOKUP(B12,'2ème J.'!$BH$9:$BK$62,2,0)))</f>
        <v>6</v>
      </c>
      <c r="H12" s="212">
        <f>IF(ISNA(VLOOKUP(B12,'2ème J.'!$BH$9:$BK$62,3,0))," ",IF(VLOOKUP(B12,'2ème J.'!$BH$9:$BK$62,3,0)=0,"0",VLOOKUP(B12,'2ème J.'!$BH$9:$BK$62,3,0)))</f>
        <v>4</v>
      </c>
      <c r="I12" s="212">
        <f>IF(ISNA(VLOOKUP(B12,'2ème J.'!$BH$9:$BK$62,4,0))," ",IF(VLOOKUP(B12,'2ème J.'!$BH$9:$BK$62,4,0)=0,"0",VLOOKUP(B12,'2ème J.'!$BH$9:$BK$62,4,0)))</f>
        <v>17</v>
      </c>
      <c r="J12" s="272"/>
      <c r="K12" s="212">
        <f>IF(ISNA(VLOOKUP(B12,'3ème J.'!$BH$9:$BK$62,2,0))," ",IF(VLOOKUP(B12,'3ème J.'!$BH$9:$BK$62,2,0)=0,"0",VLOOKUP(B12,'3ème J.'!$BH$9:$BK$62,2,0)))</f>
        <v>5</v>
      </c>
      <c r="L12" s="212">
        <f>IF(ISNA(VLOOKUP(B12,'3ème J.'!$BH$9:$BK$62,3,0))," ",IF(VLOOKUP(B12,'3ème J.'!$BH$9:$BK$62,3,0)=0,"0",VLOOKUP(B12,'3ème J.'!$BH$9:$BK$62,3,0)))</f>
        <v>-3</v>
      </c>
      <c r="M12" s="212">
        <f>IF(ISNA(VLOOKUP(B12,'3ème J.'!$BH$9:$BK$62,4,0))," ",IF(VLOOKUP(B12,'3ème J.'!$BH$9:$BK$62,4,0)=0,"0",VLOOKUP(B12,'3ème J.'!$BH$9:$BK$62,4,0)))</f>
        <v>24</v>
      </c>
      <c r="N12" s="272"/>
      <c r="O12" s="212">
        <f>IF(ISNA(VLOOKUP(B12,'4ème J.'!$BH$9:$BK$62,2,0))," ",IF(VLOOKUP(B12,'4ème J.'!$BH$9:$BK$62,2,0)=0,"0",VLOOKUP(B12,'4ème J.'!$BH$9:$BK$62,2,0)))</f>
        <v>7</v>
      </c>
      <c r="P12" s="212">
        <f>IF(ISNA(VLOOKUP(B12,'4ème J.'!$BH$9:$BK$62,3,0))," ",IF(VLOOKUP(B12,'4ème J.'!$BH$9:$BK$62,3,0)=0,"0",VLOOKUP(B12,'4ème J.'!$BH$9:$BK$62,3,0)))</f>
        <v>-3</v>
      </c>
      <c r="Q12" s="212">
        <f>IF(ISNA(VLOOKUP(B12,'4ème J.'!$BH$9:$BK$62,4,0))," ",IF(VLOOKUP(B12,'4ème J.'!$BH$9:$BK$62,4,0)=0,"0",VLOOKUP(B12,'4ème J.'!$BH$9:$BK$62,4,0)))</f>
        <v>2</v>
      </c>
      <c r="R12" s="257"/>
      <c r="S12" s="212">
        <f>IF(ISNA(VLOOKUP(B12,'5ème J.'!$BH$9:$BK$62,2,0))," ",IF(VLOOKUP(B12,'5ème J.'!$BH$9:$BK$62,2,0)=0,"0",VLOOKUP(B12,'5ème J.'!$BH$9:$BK$62,2,0)))</f>
        <v>3</v>
      </c>
      <c r="T12" s="212">
        <f>IF(ISNA(VLOOKUP(B12,'5ème J.'!$BH$9:$BK$62,3,0))," ",IF(VLOOKUP(B12,'5ème J.'!$BH$9:$BK$62,3,0)=0,"0",VLOOKUP(B12,'5ème J.'!$BH$9:$BK$62,3,0)))</f>
        <v>-20</v>
      </c>
      <c r="U12" s="212">
        <f>IF(ISNA(VLOOKUP(B12,'5ème J.'!$BH$9:$BK$62,4,0))," ",IF(VLOOKUP(B12,'5ème J.'!$BH$9:$BK$62,4,0)=0,"0",VLOOKUP(B12,'5ème J.'!$BH$9:$BK$62,4,0)))</f>
        <v>7</v>
      </c>
      <c r="V12" s="257"/>
      <c r="W12" s="212">
        <f>IF(ISNA(VLOOKUP(B12,'6ème J.'!$BH$9:$BK$62,2,0))," ",IF(VLOOKUP(B12,'6ème J.'!$BH$9:$BK$62,2,0)=0,"0",VLOOKUP(B12,'6ème J.'!$BH$9:$BK$62,2,0)))</f>
        <v>7</v>
      </c>
      <c r="X12" s="212">
        <f>IF(ISNA(VLOOKUP(B12,'6ème J.'!$BH$9:$BK$62,3,0))," ",IF(VLOOKUP(B12,'6ème J.'!$BH$9:$BK$62,3,0)=0,"0",VLOOKUP(B12,'6ème J.'!$BH$9:$BK$62,3,0)))</f>
        <v>3</v>
      </c>
      <c r="Y12" s="212">
        <f>IF(ISNA(VLOOKUP(B12,'6ème J.'!$BH$9:$BK$62,4,0))," ",IF(VLOOKUP(B12,'6ème J.'!$BH$9:$BK$62,4,0)=0,"0",VLOOKUP(B12,'6ème J.'!$BH$9:$BK$62,4,0)))</f>
        <v>26</v>
      </c>
      <c r="Z12"/>
      <c r="AA12" s="289" t="str">
        <f t="shared" si="0"/>
        <v>A7</v>
      </c>
      <c r="AB12" s="216">
        <f t="shared" si="5"/>
        <v>28</v>
      </c>
      <c r="AC12" s="213">
        <f t="shared" si="6"/>
        <v>-19</v>
      </c>
      <c r="AD12" s="290">
        <f t="shared" si="7"/>
        <v>76</v>
      </c>
      <c r="AE12" s="214">
        <f t="shared" si="8"/>
        <v>20.18240012</v>
      </c>
      <c r="AF12" s="215">
        <f>IF(AB12="","",SMALL(AE$6:AE$59,ROWS(AB$6:AB12)))</f>
        <v>7.3288000900000005</v>
      </c>
      <c r="AG12" s="215"/>
      <c r="AH12" s="261">
        <f>IF(AF12="","",IF(AND(AJ11=AJ12,AK11=AK12,AL12=AL11),AH11,$AH$6+6))</f>
        <v>7</v>
      </c>
      <c r="AI12" s="216" t="str">
        <f t="shared" si="1"/>
        <v>A4</v>
      </c>
      <c r="AJ12" s="216">
        <f t="shared" si="2"/>
        <v>34</v>
      </c>
      <c r="AK12" s="263">
        <f t="shared" si="3"/>
        <v>-34</v>
      </c>
      <c r="AL12" s="266">
        <f t="shared" si="4"/>
        <v>112</v>
      </c>
      <c r="AN12" s="218">
        <v>7</v>
      </c>
    </row>
    <row r="13" spans="1:41" x14ac:dyDescent="0.3">
      <c r="A13" s="296">
        <v>8</v>
      </c>
      <c r="B13" s="293" t="str">
        <f>+Inscrits!B10</f>
        <v>A8</v>
      </c>
      <c r="C13" s="212" t="str">
        <f>IF(ISNA(VLOOKUP(B13,'1ère J.'!$BH$9:$BK$62,2,0))," ",IF(VLOOKUP(B13,'1ère J.'!$BH$9:$BK$62,2,0)=0,"0",VLOOKUP(B13,'1ère J.'!$BH$9:$BK$62,2,0)))</f>
        <v>0</v>
      </c>
      <c r="D13" s="212" t="str">
        <f>IF(ISNA(VLOOKUP(B13,'1ère J.'!$BH$9:$BK$62,3,0))," ",IF(VLOOKUP(B13,'1ère J.'!$BH$9:$BK$62,3,0)=0,"0",VLOOKUP(B13,'1ère J.'!$BH$9:$BK$62,3,0)))</f>
        <v>0</v>
      </c>
      <c r="E13" s="212" t="str">
        <f>IF(ISNA(VLOOKUP(B13,'1ère J.'!$BH$9:$BK$62,4,0))," ",IF(VLOOKUP(B13,'1ère J.'!$BH$9:$BK$62,4,0)=0,"0",VLOOKUP(B13,'1ère J.'!$BH$9:$BK$62,4,0)))</f>
        <v>0</v>
      </c>
      <c r="F13" s="257"/>
      <c r="G13" s="212" t="str">
        <f>IF(ISNA(VLOOKUP(B13,'2ème J.'!$BH$9:$BK$62,2,0))," ",IF(VLOOKUP(B13,'2ème J.'!$BH$9:$BK$62,2,0)=0,"0",VLOOKUP(B13,'2ème J.'!$BH$9:$BK$62,2,0)))</f>
        <v>0</v>
      </c>
      <c r="H13" s="212" t="str">
        <f>IF(ISNA(VLOOKUP(B13,'2ème J.'!$BH$9:$BK$62,3,0))," ",IF(VLOOKUP(B13,'2ème J.'!$BH$9:$BK$62,3,0)=0,"0",VLOOKUP(B13,'2ème J.'!$BH$9:$BK$62,3,0)))</f>
        <v>0</v>
      </c>
      <c r="I13" s="212" t="str">
        <f>IF(ISNA(VLOOKUP(B13,'2ème J.'!$BH$9:$BK$62,4,0))," ",IF(VLOOKUP(B13,'2ème J.'!$BH$9:$BK$62,4,0)=0,"0",VLOOKUP(B13,'2ème J.'!$BH$9:$BK$62,4,0)))</f>
        <v>0</v>
      </c>
      <c r="J13" s="272"/>
      <c r="K13" s="212">
        <f>IF(ISNA(VLOOKUP(B13,'3ème J.'!$BH$9:$BK$62,2,0))," ",IF(VLOOKUP(B13,'3ème J.'!$BH$9:$BK$62,2,0)=0,"0",VLOOKUP(B13,'3ème J.'!$BH$9:$BK$62,2,0)))</f>
        <v>3</v>
      </c>
      <c r="L13" s="212">
        <f>IF(ISNA(VLOOKUP(B13,'3ème J.'!$BH$9:$BK$62,3,0))," ",IF(VLOOKUP(B13,'3ème J.'!$BH$9:$BK$62,3,0)=0,"0",VLOOKUP(B13,'3ème J.'!$BH$9:$BK$62,3,0)))</f>
        <v>-18</v>
      </c>
      <c r="M13" s="212">
        <f>IF(ISNA(VLOOKUP(B13,'3ème J.'!$BH$9:$BK$62,4,0))," ",IF(VLOOKUP(B13,'3ème J.'!$BH$9:$BK$62,4,0)=0,"0",VLOOKUP(B13,'3ème J.'!$BH$9:$BK$62,4,0)))</f>
        <v>13</v>
      </c>
      <c r="N13" s="272"/>
      <c r="O13" s="212">
        <f>IF(ISNA(VLOOKUP(B13,'4ème J.'!$BH$9:$BK$62,2,0))," ",IF(VLOOKUP(B13,'4ème J.'!$BH$9:$BK$62,2,0)=0,"0",VLOOKUP(B13,'4ème J.'!$BH$9:$BK$62,2,0)))</f>
        <v>5</v>
      </c>
      <c r="P13" s="212">
        <f>IF(ISNA(VLOOKUP(B13,'4ème J.'!$BH$9:$BK$62,3,0))," ",IF(VLOOKUP(B13,'4ème J.'!$BH$9:$BK$62,3,0)=0,"0",VLOOKUP(B13,'4ème J.'!$BH$9:$BK$62,3,0)))</f>
        <v>-5</v>
      </c>
      <c r="Q13" s="212">
        <f>IF(ISNA(VLOOKUP(B13,'4ème J.'!$BH$9:$BK$62,4,0))," ",IF(VLOOKUP(B13,'4ème J.'!$BH$9:$BK$62,4,0)=0,"0",VLOOKUP(B13,'4ème J.'!$BH$9:$BK$62,4,0)))</f>
        <v>1</v>
      </c>
      <c r="R13" s="257"/>
      <c r="S13" s="212">
        <f>IF(ISNA(VLOOKUP(B13,'5ème J.'!$BH$9:$BK$62,2,0))," ",IF(VLOOKUP(B13,'5ème J.'!$BH$9:$BK$62,2,0)=0,"0",VLOOKUP(B13,'5ème J.'!$BH$9:$BK$62,2,0)))</f>
        <v>9</v>
      </c>
      <c r="T13" s="212">
        <f>IF(ISNA(VLOOKUP(B13,'5ème J.'!$BH$9:$BK$62,3,0))," ",IF(VLOOKUP(B13,'5ème J.'!$BH$9:$BK$62,3,0)=0,"0",VLOOKUP(B13,'5ème J.'!$BH$9:$BK$62,3,0)))</f>
        <v>21</v>
      </c>
      <c r="U13" s="212">
        <f>IF(ISNA(VLOOKUP(B13,'5ème J.'!$BH$9:$BK$62,4,0))," ",IF(VLOOKUP(B13,'5ème J.'!$BH$9:$BK$62,4,0)=0,"0",VLOOKUP(B13,'5ème J.'!$BH$9:$BK$62,4,0)))</f>
        <v>31</v>
      </c>
      <c r="V13" s="257"/>
      <c r="W13" s="212">
        <f>IF(ISNA(VLOOKUP(B13,'6ème J.'!$BH$9:$BK$62,2,0))," ",IF(VLOOKUP(B13,'6ème J.'!$BH$9:$BK$62,2,0)=0,"0",VLOOKUP(B13,'6ème J.'!$BH$9:$BK$62,2,0)))</f>
        <v>3</v>
      </c>
      <c r="X13" s="212">
        <f>IF(ISNA(VLOOKUP(B13,'6ème J.'!$BH$9:$BK$62,3,0))," ",IF(VLOOKUP(B13,'6ème J.'!$BH$9:$BK$62,3,0)=0,"0",VLOOKUP(B13,'6ème J.'!$BH$9:$BK$62,3,0)))</f>
        <v>-18</v>
      </c>
      <c r="Y13" s="212">
        <f>IF(ISNA(VLOOKUP(B13,'6ème J.'!$BH$9:$BK$62,4,0))," ",IF(VLOOKUP(B13,'6ème J.'!$BH$9:$BK$62,4,0)=0,"0",VLOOKUP(B13,'6ème J.'!$BH$9:$BK$62,4,0)))</f>
        <v>15</v>
      </c>
      <c r="Z13"/>
      <c r="AA13" s="289" t="str">
        <f t="shared" si="0"/>
        <v>A8</v>
      </c>
      <c r="AB13" s="216">
        <f t="shared" si="5"/>
        <v>20</v>
      </c>
      <c r="AC13" s="213">
        <f t="shared" si="6"/>
        <v>-20</v>
      </c>
      <c r="AD13" s="290">
        <f t="shared" si="7"/>
        <v>60</v>
      </c>
      <c r="AE13" s="214">
        <f t="shared" si="8"/>
        <v>28.194000129999999</v>
      </c>
      <c r="AF13" s="215">
        <f>IF(AB13="","",SMALL(AE$6:AE$59,ROWS(AB$6:AB13)))</f>
        <v>7.8683002999999996</v>
      </c>
      <c r="AG13" s="215"/>
      <c r="AH13" s="261">
        <f>IF(AF13="","",IF(AND(AJ12=AJ13,AK12=AK13,AL13=AL12),AH12,$AH$6+7))</f>
        <v>8</v>
      </c>
      <c r="AI13" s="216" t="str">
        <f t="shared" si="1"/>
        <v>B7</v>
      </c>
      <c r="AJ13" s="216">
        <f t="shared" si="2"/>
        <v>33</v>
      </c>
      <c r="AK13" s="263">
        <f t="shared" si="3"/>
        <v>12</v>
      </c>
      <c r="AL13" s="266">
        <f t="shared" si="4"/>
        <v>117</v>
      </c>
      <c r="AN13" s="218">
        <v>8</v>
      </c>
    </row>
    <row r="14" spans="1:41" x14ac:dyDescent="0.3">
      <c r="A14" s="296">
        <v>9</v>
      </c>
      <c r="B14" s="293" t="str">
        <f>+Inscrits!B11</f>
        <v>A9</v>
      </c>
      <c r="C14" s="212" t="str">
        <f>IF(ISNA(VLOOKUP(B14,'1ère J.'!$BH$9:$BK$62,2,0))," ",IF(VLOOKUP(B14,'1ère J.'!$BH$9:$BK$62,2,0)=0,"0",VLOOKUP(B14,'1ère J.'!$BH$9:$BK$62,2,0)))</f>
        <v>0</v>
      </c>
      <c r="D14" s="212" t="str">
        <f>IF(ISNA(VLOOKUP(B14,'1ère J.'!$BH$9:$BK$62,3,0))," ",IF(VLOOKUP(B14,'1ère J.'!$BH$9:$BK$62,3,0)=0,"0",VLOOKUP(B14,'1ère J.'!$BH$9:$BK$62,3,0)))</f>
        <v>0</v>
      </c>
      <c r="E14" s="212" t="str">
        <f>IF(ISNA(VLOOKUP(B14,'1ère J.'!$BH$9:$BK$62,4,0))," ",IF(VLOOKUP(B14,'1ère J.'!$BH$9:$BK$62,4,0)=0,"0",VLOOKUP(B14,'1ère J.'!$BH$9:$BK$62,4,0)))</f>
        <v>0</v>
      </c>
      <c r="F14" s="257"/>
      <c r="G14" s="212" t="str">
        <f>IF(ISNA(VLOOKUP(B14,'2ème J.'!$BH$9:$BK$62,2,0))," ",IF(VLOOKUP(B14,'2ème J.'!$BH$9:$BK$62,2,0)=0,"0",VLOOKUP(B14,'2ème J.'!$BH$9:$BK$62,2,0)))</f>
        <v>0</v>
      </c>
      <c r="H14" s="212" t="str">
        <f>IF(ISNA(VLOOKUP(B14,'2ème J.'!$BH$9:$BK$62,3,0))," ",IF(VLOOKUP(B14,'2ème J.'!$BH$9:$BK$62,3,0)=0,"0",VLOOKUP(B14,'2ème J.'!$BH$9:$BK$62,3,0)))</f>
        <v>0</v>
      </c>
      <c r="I14" s="212" t="str">
        <f>IF(ISNA(VLOOKUP(B14,'2ème J.'!$BH$9:$BK$62,4,0))," ",IF(VLOOKUP(B14,'2ème J.'!$BH$9:$BK$62,4,0)=0,"0",VLOOKUP(B14,'2ème J.'!$BH$9:$BK$62,4,0)))</f>
        <v>0</v>
      </c>
      <c r="J14" s="272"/>
      <c r="K14" s="212">
        <f>IF(ISNA(VLOOKUP(B14,'3ème J.'!$BH$9:$BK$62,2,0))," ",IF(VLOOKUP(B14,'3ème J.'!$BH$9:$BK$62,2,0)=0,"0",VLOOKUP(B14,'3ème J.'!$BH$9:$BK$62,2,0)))</f>
        <v>9</v>
      </c>
      <c r="L14" s="212">
        <f>IF(ISNA(VLOOKUP(B14,'3ème J.'!$BH$9:$BK$62,3,0))," ",IF(VLOOKUP(B14,'3ème J.'!$BH$9:$BK$62,3,0)=0,"0",VLOOKUP(B14,'3ème J.'!$BH$9:$BK$62,3,0)))</f>
        <v>17</v>
      </c>
      <c r="M14" s="212">
        <f>IF(ISNA(VLOOKUP(B14,'3ème J.'!$BH$9:$BK$62,4,0))," ",IF(VLOOKUP(B14,'3ème J.'!$BH$9:$BK$62,4,0)=0,"0",VLOOKUP(B14,'3ème J.'!$BH$9:$BK$62,4,0)))</f>
        <v>19</v>
      </c>
      <c r="N14" s="272"/>
      <c r="O14" s="212">
        <f>IF(ISNA(VLOOKUP(B14,'4ème J.'!$BH$9:$BK$62,2,0))," ",IF(VLOOKUP(B14,'4ème J.'!$BH$9:$BK$62,2,0)=0,"0",VLOOKUP(B14,'4ème J.'!$BH$9:$BK$62,2,0)))</f>
        <v>5</v>
      </c>
      <c r="P14" s="212">
        <f>IF(ISNA(VLOOKUP(B14,'4ème J.'!$BH$9:$BK$62,3,0))," ",IF(VLOOKUP(B14,'4ème J.'!$BH$9:$BK$62,3,0)=0,"0",VLOOKUP(B14,'4ème J.'!$BH$9:$BK$62,3,0)))</f>
        <v>-1</v>
      </c>
      <c r="Q14" s="212">
        <f>IF(ISNA(VLOOKUP(B14,'4ème J.'!$BH$9:$BK$62,4,0))," ",IF(VLOOKUP(B14,'4ème J.'!$BH$9:$BK$62,4,0)=0,"0",VLOOKUP(B14,'4ème J.'!$BH$9:$BK$62,4,0)))</f>
        <v>1</v>
      </c>
      <c r="R14" s="257"/>
      <c r="S14" s="212">
        <f>IF(ISNA(VLOOKUP(B14,'5ème J.'!$BH$9:$BK$62,2,0))," ",IF(VLOOKUP(B14,'5ème J.'!$BH$9:$BK$62,2,0)=0,"0",VLOOKUP(B14,'5ème J.'!$BH$9:$BK$62,2,0)))</f>
        <v>5</v>
      </c>
      <c r="T14" s="212">
        <f>IF(ISNA(VLOOKUP(B14,'5ème J.'!$BH$9:$BK$62,3,0))," ",IF(VLOOKUP(B14,'5ème J.'!$BH$9:$BK$62,3,0)=0,"0",VLOOKUP(B14,'5ème J.'!$BH$9:$BK$62,3,0)))</f>
        <v>-15</v>
      </c>
      <c r="U14" s="212">
        <f>IF(ISNA(VLOOKUP(B14,'5ème J.'!$BH$9:$BK$62,4,0))," ",IF(VLOOKUP(B14,'5ème J.'!$BH$9:$BK$62,4,0)=0,"0",VLOOKUP(B14,'5ème J.'!$BH$9:$BK$62,4,0)))</f>
        <v>15</v>
      </c>
      <c r="V14" s="257"/>
      <c r="W14" s="212">
        <f>IF(ISNA(VLOOKUP(B14,'6ème J.'!$BH$9:$BK$62,2,0))," ",IF(VLOOKUP(B14,'6ème J.'!$BH$9:$BK$62,2,0)=0,"0",VLOOKUP(B14,'6ème J.'!$BH$9:$BK$62,2,0)))</f>
        <v>7</v>
      </c>
      <c r="X14" s="212">
        <f>IF(ISNA(VLOOKUP(B14,'6ème J.'!$BH$9:$BK$62,3,0))," ",IF(VLOOKUP(B14,'6ème J.'!$BH$9:$BK$62,3,0)=0,"0",VLOOKUP(B14,'6ème J.'!$BH$9:$BK$62,3,0)))</f>
        <v>14</v>
      </c>
      <c r="Y14" s="212">
        <f>IF(ISNA(VLOOKUP(B14,'6ème J.'!$BH$9:$BK$62,4,0))," ",IF(VLOOKUP(B14,'6ème J.'!$BH$9:$BK$62,4,0)=0,"0",VLOOKUP(B14,'6ème J.'!$BH$9:$BK$62,4,0)))</f>
        <v>28</v>
      </c>
      <c r="Z14"/>
      <c r="AA14" s="289" t="str">
        <f t="shared" si="0"/>
        <v>A9</v>
      </c>
      <c r="AB14" s="216">
        <f t="shared" si="5"/>
        <v>26</v>
      </c>
      <c r="AC14" s="213">
        <f t="shared" si="6"/>
        <v>15</v>
      </c>
      <c r="AD14" s="290">
        <f t="shared" si="7"/>
        <v>63</v>
      </c>
      <c r="AE14" s="214">
        <f t="shared" si="8"/>
        <v>21.843700140000003</v>
      </c>
      <c r="AF14" s="215">
        <f>IF(AB14="","",SMALL(AE$6:AE$59,ROWS(AB$6:AB14)))</f>
        <v>8.1396002799999998</v>
      </c>
      <c r="AG14" s="215"/>
      <c r="AH14" s="261">
        <f>IF(AF14="","",IF(AND(AJ13=AJ14,AK13=AK14,AL14=AL13),AH13,$AH$6+8))</f>
        <v>9</v>
      </c>
      <c r="AI14" s="216" t="str">
        <f t="shared" si="1"/>
        <v>B5</v>
      </c>
      <c r="AJ14" s="216">
        <f t="shared" si="2"/>
        <v>33</v>
      </c>
      <c r="AK14" s="263">
        <f t="shared" si="3"/>
        <v>-15</v>
      </c>
      <c r="AL14" s="266">
        <f t="shared" si="4"/>
        <v>104</v>
      </c>
      <c r="AN14" s="218">
        <v>9</v>
      </c>
    </row>
    <row r="15" spans="1:41" x14ac:dyDescent="0.3">
      <c r="A15" s="296">
        <v>10</v>
      </c>
      <c r="B15" s="293" t="str">
        <f>+Inscrits!B12</f>
        <v>A10</v>
      </c>
      <c r="C15" s="212" t="str">
        <f>IF(ISNA(VLOOKUP(B15,'1ère J.'!$BH$9:$BK$62,2,0))," ",IF(VLOOKUP(B15,'1ère J.'!$BH$9:$BK$62,2,0)=0,"0",VLOOKUP(B15,'1ère J.'!$BH$9:$BK$62,2,0)))</f>
        <v>0</v>
      </c>
      <c r="D15" s="212" t="str">
        <f>IF(ISNA(VLOOKUP(B15,'1ère J.'!$BH$9:$BK$62,3,0))," ",IF(VLOOKUP(B15,'1ère J.'!$BH$9:$BK$62,3,0)=0,"0",VLOOKUP(B15,'1ère J.'!$BH$9:$BK$62,3,0)))</f>
        <v>0</v>
      </c>
      <c r="E15" s="212" t="str">
        <f>IF(ISNA(VLOOKUP(B15,'1ère J.'!$BH$9:$BK$62,4,0))," ",IF(VLOOKUP(B15,'1ère J.'!$BH$9:$BK$62,4,0)=0,"0",VLOOKUP(B15,'1ère J.'!$BH$9:$BK$62,4,0)))</f>
        <v>0</v>
      </c>
      <c r="F15" s="257"/>
      <c r="G15" s="212" t="str">
        <f>IF(ISNA(VLOOKUP(B15,'2ème J.'!$BH$9:$BK$62,2,0))," ",IF(VLOOKUP(B15,'2ème J.'!$BH$9:$BK$62,2,0)=0,"0",VLOOKUP(B15,'2ème J.'!$BH$9:$BK$62,2,0)))</f>
        <v>0</v>
      </c>
      <c r="H15" s="212" t="str">
        <f>IF(ISNA(VLOOKUP(B15,'2ème J.'!$BH$9:$BK$62,3,0))," ",IF(VLOOKUP(B15,'2ème J.'!$BH$9:$BK$62,3,0)=0,"0",VLOOKUP(B15,'2ème J.'!$BH$9:$BK$62,3,0)))</f>
        <v>0</v>
      </c>
      <c r="I15" s="212" t="str">
        <f>IF(ISNA(VLOOKUP(B15,'2ème J.'!$BH$9:$BK$62,4,0))," ",IF(VLOOKUP(B15,'2ème J.'!$BH$9:$BK$62,4,0)=0,"0",VLOOKUP(B15,'2ème J.'!$BH$9:$BK$62,4,0)))</f>
        <v>0</v>
      </c>
      <c r="J15" s="272"/>
      <c r="K15" s="212">
        <f>IF(ISNA(VLOOKUP(B15,'3ème J.'!$BH$9:$BK$62,2,0))," ",IF(VLOOKUP(B15,'3ème J.'!$BH$9:$BK$62,2,0)=0,"0",VLOOKUP(B15,'3ème J.'!$BH$9:$BK$62,2,0)))</f>
        <v>7</v>
      </c>
      <c r="L15" s="212">
        <f>IF(ISNA(VLOOKUP(B15,'3ème J.'!$BH$9:$BK$62,3,0))," ",IF(VLOOKUP(B15,'3ème J.'!$BH$9:$BK$62,3,0)=0,"0",VLOOKUP(B15,'3ème J.'!$BH$9:$BK$62,3,0)))</f>
        <v>9</v>
      </c>
      <c r="M15" s="212">
        <f>IF(ISNA(VLOOKUP(B15,'3ème J.'!$BH$9:$BK$62,4,0))," ",IF(VLOOKUP(B15,'3ème J.'!$BH$9:$BK$62,4,0)=0,"0",VLOOKUP(B15,'3ème J.'!$BH$9:$BK$62,4,0)))</f>
        <v>24</v>
      </c>
      <c r="N15" s="272"/>
      <c r="O15" s="212">
        <f>IF(ISNA(VLOOKUP(B15,'4ème J.'!$BH$9:$BK$62,2,0))," ",IF(VLOOKUP(B15,'4ème J.'!$BH$9:$BK$62,2,0)=0,"0",VLOOKUP(B15,'4ème J.'!$BH$9:$BK$62,2,0)))</f>
        <v>7</v>
      </c>
      <c r="P15" s="212">
        <f>IF(ISNA(VLOOKUP(B15,'4ème J.'!$BH$9:$BK$62,3,0))," ",IF(VLOOKUP(B15,'4ème J.'!$BH$9:$BK$62,3,0)=0,"0",VLOOKUP(B15,'4ème J.'!$BH$9:$BK$62,3,0)))</f>
        <v>1</v>
      </c>
      <c r="Q15" s="212">
        <f>IF(ISNA(VLOOKUP(B15,'4ème J.'!$BH$9:$BK$62,4,0))," ",IF(VLOOKUP(B15,'4ème J.'!$BH$9:$BK$62,4,0)=0,"0",VLOOKUP(B15,'4ème J.'!$BH$9:$BK$62,4,0)))</f>
        <v>2</v>
      </c>
      <c r="R15" s="257"/>
      <c r="S15" s="212">
        <f>IF(ISNA(VLOOKUP(B15,'5ème J.'!$BH$9:$BK$62,2,0))," ",IF(VLOOKUP(B15,'5ème J.'!$BH$9:$BK$62,2,0)=0,"0",VLOOKUP(B15,'5ème J.'!$BH$9:$BK$62,2,0)))</f>
        <v>5</v>
      </c>
      <c r="T15" s="212">
        <f>IF(ISNA(VLOOKUP(B15,'5ème J.'!$BH$9:$BK$62,3,0))," ",IF(VLOOKUP(B15,'5ème J.'!$BH$9:$BK$62,3,0)=0,"0",VLOOKUP(B15,'5ème J.'!$BH$9:$BK$62,3,0)))</f>
        <v>2</v>
      </c>
      <c r="U15" s="212">
        <f>IF(ISNA(VLOOKUP(B15,'5ème J.'!$BH$9:$BK$62,4,0))," ",IF(VLOOKUP(B15,'5ème J.'!$BH$9:$BK$62,4,0)=0,"0",VLOOKUP(B15,'5ème J.'!$BH$9:$BK$62,4,0)))</f>
        <v>23</v>
      </c>
      <c r="V15" s="257"/>
      <c r="W15" s="212">
        <f>IF(ISNA(VLOOKUP(B15,'6ème J.'!$BH$9:$BK$62,2,0))," ",IF(VLOOKUP(B15,'6ème J.'!$BH$9:$BK$62,2,0)=0,"0",VLOOKUP(B15,'6ème J.'!$BH$9:$BK$62,2,0)))</f>
        <v>5</v>
      </c>
      <c r="X15" s="212">
        <f>IF(ISNA(VLOOKUP(B15,'6ème J.'!$BH$9:$BK$62,3,0))," ",IF(VLOOKUP(B15,'6ème J.'!$BH$9:$BK$62,3,0)=0,"0",VLOOKUP(B15,'6ème J.'!$BH$9:$BK$62,3,0)))</f>
        <v>-13</v>
      </c>
      <c r="Y15" s="212">
        <f>IF(ISNA(VLOOKUP(B15,'6ème J.'!$BH$9:$BK$62,4,0))," ",IF(VLOOKUP(B15,'6ème J.'!$BH$9:$BK$62,4,0)=0,"0",VLOOKUP(B15,'6ème J.'!$BH$9:$BK$62,4,0)))</f>
        <v>14</v>
      </c>
      <c r="Z15"/>
      <c r="AA15" s="289" t="str">
        <f t="shared" si="0"/>
        <v>A10</v>
      </c>
      <c r="AB15" s="216">
        <f t="shared" si="5"/>
        <v>24</v>
      </c>
      <c r="AC15" s="213">
        <f t="shared" si="6"/>
        <v>-1</v>
      </c>
      <c r="AD15" s="290">
        <f t="shared" si="7"/>
        <v>63</v>
      </c>
      <c r="AE15" s="214">
        <f t="shared" si="8"/>
        <v>25.003700150000004</v>
      </c>
      <c r="AF15" s="215">
        <f>IF(AB15="","",SMALL(AE$6:AE$59,ROWS(AB$6:AB15)))</f>
        <v>10.06790007</v>
      </c>
      <c r="AG15" s="215"/>
      <c r="AH15" s="261">
        <f>IF(AF15="","",IF(AND(AJ14=AJ15,AK14=AK15,AL15=AL14),AH14,$AH$6+9))</f>
        <v>10</v>
      </c>
      <c r="AI15" s="216" t="str">
        <f t="shared" si="1"/>
        <v>A2</v>
      </c>
      <c r="AJ15" s="216">
        <f t="shared" si="2"/>
        <v>32</v>
      </c>
      <c r="AK15" s="263">
        <f t="shared" si="3"/>
        <v>-8</v>
      </c>
      <c r="AL15" s="266">
        <f t="shared" si="4"/>
        <v>121</v>
      </c>
      <c r="AN15" s="218">
        <v>10</v>
      </c>
    </row>
    <row r="16" spans="1:41" x14ac:dyDescent="0.3">
      <c r="A16" s="296">
        <v>11</v>
      </c>
      <c r="B16" s="293" t="str">
        <f>+Inscrits!B13</f>
        <v>A11</v>
      </c>
      <c r="C16" s="212" t="str">
        <f>IF(ISNA(VLOOKUP(B16,'1ère J.'!$BH$9:$BK$62,2,0))," ",IF(VLOOKUP(B16,'1ère J.'!$BH$9:$BK$62,2,0)=0,"0",VLOOKUP(B16,'1ère J.'!$BH$9:$BK$62,2,0)))</f>
        <v>0</v>
      </c>
      <c r="D16" s="212" t="str">
        <f>IF(ISNA(VLOOKUP(B16,'1ère J.'!$BH$9:$BK$62,3,0))," ",IF(VLOOKUP(B16,'1ère J.'!$BH$9:$BK$62,3,0)=0,"0",VLOOKUP(B16,'1ère J.'!$BH$9:$BK$62,3,0)))</f>
        <v>0</v>
      </c>
      <c r="E16" s="212" t="str">
        <f>IF(ISNA(VLOOKUP(B16,'1ère J.'!$BH$9:$BK$62,4,0))," ",IF(VLOOKUP(B16,'1ère J.'!$BH$9:$BK$62,4,0)=0,"0",VLOOKUP(B16,'1ère J.'!$BH$9:$BK$62,4,0)))</f>
        <v>0</v>
      </c>
      <c r="F16" s="257"/>
      <c r="G16" s="212" t="str">
        <f>IF(ISNA(VLOOKUP(B16,'2ème J.'!$BH$9:$BK$62,2,0))," ",IF(VLOOKUP(B16,'2ème J.'!$BH$9:$BK$62,2,0)=0,"0",VLOOKUP(B16,'2ème J.'!$BH$9:$BK$62,2,0)))</f>
        <v>0</v>
      </c>
      <c r="H16" s="212" t="str">
        <f>IF(ISNA(VLOOKUP(B16,'2ème J.'!$BH$9:$BK$62,3,0))," ",IF(VLOOKUP(B16,'2ème J.'!$BH$9:$BK$62,3,0)=0,"0",VLOOKUP(B16,'2ème J.'!$BH$9:$BK$62,3,0)))</f>
        <v>0</v>
      </c>
      <c r="I16" s="212" t="str">
        <f>IF(ISNA(VLOOKUP(B16,'2ème J.'!$BH$9:$BK$62,4,0))," ",IF(VLOOKUP(B16,'2ème J.'!$BH$9:$BK$62,4,0)=0,"0",VLOOKUP(B16,'2ème J.'!$BH$9:$BK$62,4,0)))</f>
        <v>0</v>
      </c>
      <c r="J16" s="272"/>
      <c r="K16" s="212" t="str">
        <f>IF(ISNA(VLOOKUP(B16,'3ème J.'!$BH$9:$BK$62,2,0))," ",IF(VLOOKUP(B16,'3ème J.'!$BH$9:$BK$62,2,0)=0,"0",VLOOKUP(B16,'3ème J.'!$BH$9:$BK$62,2,0)))</f>
        <v>0</v>
      </c>
      <c r="L16" s="212" t="str">
        <f>IF(ISNA(VLOOKUP(B16,'3ème J.'!$BH$9:$BK$62,3,0))," ",IF(VLOOKUP(B16,'3ème J.'!$BH$9:$BK$62,3,0)=0,"0",VLOOKUP(B16,'3ème J.'!$BH$9:$BK$62,3,0)))</f>
        <v>0</v>
      </c>
      <c r="M16" s="212" t="str">
        <f>IF(ISNA(VLOOKUP(B16,'3ème J.'!$BH$9:$BK$62,4,0))," ",IF(VLOOKUP(B16,'3ème J.'!$BH$9:$BK$62,4,0)=0,"0",VLOOKUP(B16,'3ème J.'!$BH$9:$BK$62,4,0)))</f>
        <v>0</v>
      </c>
      <c r="N16" s="272"/>
      <c r="O16" s="212">
        <f>IF(ISNA(VLOOKUP(B16,'4ème J.'!$BH$9:$BK$62,2,0))," ",IF(VLOOKUP(B16,'4ème J.'!$BH$9:$BK$62,2,0)=0,"0",VLOOKUP(B16,'4ème J.'!$BH$9:$BK$62,2,0)))</f>
        <v>7</v>
      </c>
      <c r="P16" s="212">
        <f>IF(ISNA(VLOOKUP(B16,'4ème J.'!$BH$9:$BK$62,3,0))," ",IF(VLOOKUP(B16,'4ème J.'!$BH$9:$BK$62,3,0)=0,"0",VLOOKUP(B16,'4ème J.'!$BH$9:$BK$62,3,0)))</f>
        <v>1</v>
      </c>
      <c r="Q16" s="212">
        <f>IF(ISNA(VLOOKUP(B16,'4ème J.'!$BH$9:$BK$62,4,0))," ",IF(VLOOKUP(B16,'4ème J.'!$BH$9:$BK$62,4,0)=0,"0",VLOOKUP(B16,'4ème J.'!$BH$9:$BK$62,4,0)))</f>
        <v>2</v>
      </c>
      <c r="R16" s="257"/>
      <c r="S16" s="212">
        <f>IF(ISNA(VLOOKUP(B16,'5ème J.'!$BH$9:$BK$62,2,0))," ",IF(VLOOKUP(B16,'5ème J.'!$BH$9:$BK$62,2,0)=0,"0",VLOOKUP(B16,'5ème J.'!$BH$9:$BK$62,2,0)))</f>
        <v>5</v>
      </c>
      <c r="T16" s="212">
        <f>IF(ISNA(VLOOKUP(B16,'5ème J.'!$BH$9:$BK$62,3,0))," ",IF(VLOOKUP(B16,'5ème J.'!$BH$9:$BK$62,3,0)=0,"0",VLOOKUP(B16,'5ème J.'!$BH$9:$BK$62,3,0)))</f>
        <v>-9</v>
      </c>
      <c r="U16" s="212">
        <f>IF(ISNA(VLOOKUP(B16,'5ème J.'!$BH$9:$BK$62,4,0))," ",IF(VLOOKUP(B16,'5ème J.'!$BH$9:$BK$62,4,0)=0,"0",VLOOKUP(B16,'5ème J.'!$BH$9:$BK$62,4,0)))</f>
        <v>16</v>
      </c>
      <c r="V16" s="257"/>
      <c r="W16" s="212">
        <f>IF(ISNA(VLOOKUP(B16,'6ème J.'!$BH$9:$BK$62,2,0))," ",IF(VLOOKUP(B16,'6ème J.'!$BH$9:$BK$62,2,0)=0,"0",VLOOKUP(B16,'6ème J.'!$BH$9:$BK$62,2,0)))</f>
        <v>7</v>
      </c>
      <c r="X16" s="212">
        <f>IF(ISNA(VLOOKUP(B16,'6ème J.'!$BH$9:$BK$62,3,0))," ",IF(VLOOKUP(B16,'6ème J.'!$BH$9:$BK$62,3,0)=0,"0",VLOOKUP(B16,'6ème J.'!$BH$9:$BK$62,3,0)))</f>
        <v>5</v>
      </c>
      <c r="Y16" s="212">
        <f>IF(ISNA(VLOOKUP(B16,'6ème J.'!$BH$9:$BK$62,4,0))," ",IF(VLOOKUP(B16,'6ème J.'!$BH$9:$BK$62,4,0)=0,"0",VLOOKUP(B16,'6ème J.'!$BH$9:$BK$62,4,0)))</f>
        <v>27</v>
      </c>
      <c r="Z16"/>
      <c r="AA16" s="289" t="str">
        <f t="shared" si="0"/>
        <v>A11</v>
      </c>
      <c r="AB16" s="216">
        <f t="shared" si="5"/>
        <v>19</v>
      </c>
      <c r="AC16" s="213">
        <f t="shared" si="6"/>
        <v>-3</v>
      </c>
      <c r="AD16" s="290">
        <f t="shared" si="7"/>
        <v>45</v>
      </c>
      <c r="AE16" s="214">
        <f t="shared" si="8"/>
        <v>30.02550016</v>
      </c>
      <c r="AF16" s="215">
        <f>IF(AB16="","",SMALL(AE$6:AE$59,ROWS(AB$6:AB16)))</f>
        <v>10.758900109999999</v>
      </c>
      <c r="AG16" s="215"/>
      <c r="AH16" s="261">
        <f>IF(AF16="","",IF(AND(AJ15=AJ16,AK15=AK16,AL16=AL15),AH15,$AH$6+10))</f>
        <v>11</v>
      </c>
      <c r="AI16" s="216" t="str">
        <f t="shared" si="1"/>
        <v>A6</v>
      </c>
      <c r="AJ16" s="216">
        <f t="shared" si="2"/>
        <v>31</v>
      </c>
      <c r="AK16" s="263">
        <f t="shared" si="3"/>
        <v>23</v>
      </c>
      <c r="AL16" s="266">
        <f t="shared" si="4"/>
        <v>111</v>
      </c>
      <c r="AN16" s="218">
        <v>11</v>
      </c>
    </row>
    <row r="17" spans="1:40" x14ac:dyDescent="0.3">
      <c r="A17" s="296">
        <v>12</v>
      </c>
      <c r="B17" s="293" t="str">
        <f>+Inscrits!B14</f>
        <v>A12</v>
      </c>
      <c r="C17" s="212" t="str">
        <f>IF(ISNA(VLOOKUP(B17,'1ère J.'!$BH$9:$BK$62,2,0))," ",IF(VLOOKUP(B17,'1ère J.'!$BH$9:$BK$62,2,0)=0,"0",VLOOKUP(B17,'1ère J.'!$BH$9:$BK$62,2,0)))</f>
        <v>0</v>
      </c>
      <c r="D17" s="212" t="str">
        <f>IF(ISNA(VLOOKUP(B17,'1ère J.'!$BH$9:$BK$62,3,0))," ",IF(VLOOKUP(B17,'1ère J.'!$BH$9:$BK$62,3,0)=0,"0",VLOOKUP(B17,'1ère J.'!$BH$9:$BK$62,3,0)))</f>
        <v>0</v>
      </c>
      <c r="E17" s="212" t="str">
        <f>IF(ISNA(VLOOKUP(B17,'1ère J.'!$BH$9:$BK$62,4,0))," ",IF(VLOOKUP(B17,'1ère J.'!$BH$9:$BK$62,4,0)=0,"0",VLOOKUP(B17,'1ère J.'!$BH$9:$BK$62,4,0)))</f>
        <v>0</v>
      </c>
      <c r="F17" s="257"/>
      <c r="G17" s="212" t="str">
        <f>IF(ISNA(VLOOKUP(B17,'2ème J.'!$BH$9:$BK$62,2,0))," ",IF(VLOOKUP(B17,'2ème J.'!$BH$9:$BK$62,2,0)=0,"0",VLOOKUP(B17,'2ème J.'!$BH$9:$BK$62,2,0)))</f>
        <v>0</v>
      </c>
      <c r="H17" s="212" t="str">
        <f>IF(ISNA(VLOOKUP(B17,'2ème J.'!$BH$9:$BK$62,3,0))," ",IF(VLOOKUP(B17,'2ème J.'!$BH$9:$BK$62,3,0)=0,"0",VLOOKUP(B17,'2ème J.'!$BH$9:$BK$62,3,0)))</f>
        <v>0</v>
      </c>
      <c r="I17" s="212" t="str">
        <f>IF(ISNA(VLOOKUP(B17,'2ème J.'!$BH$9:$BK$62,4,0))," ",IF(VLOOKUP(B17,'2ème J.'!$BH$9:$BK$62,4,0)=0,"0",VLOOKUP(B17,'2ème J.'!$BH$9:$BK$62,4,0)))</f>
        <v>0</v>
      </c>
      <c r="J17" s="272"/>
      <c r="K17" s="212" t="str">
        <f>IF(ISNA(VLOOKUP(B17,'3ème J.'!$BH$9:$BK$62,2,0))," ",IF(VLOOKUP(B17,'3ème J.'!$BH$9:$BK$62,2,0)=0,"0",VLOOKUP(B17,'3ème J.'!$BH$9:$BK$62,2,0)))</f>
        <v>0</v>
      </c>
      <c r="L17" s="212" t="str">
        <f>IF(ISNA(VLOOKUP(B17,'3ème J.'!$BH$9:$BK$62,3,0))," ",IF(VLOOKUP(B17,'3ème J.'!$BH$9:$BK$62,3,0)=0,"0",VLOOKUP(B17,'3ème J.'!$BH$9:$BK$62,3,0)))</f>
        <v>0</v>
      </c>
      <c r="M17" s="212" t="str">
        <f>IF(ISNA(VLOOKUP(B17,'3ème J.'!$BH$9:$BK$62,4,0))," ",IF(VLOOKUP(B17,'3ème J.'!$BH$9:$BK$62,4,0)=0,"0",VLOOKUP(B17,'3ème J.'!$BH$9:$BK$62,4,0)))</f>
        <v>0</v>
      </c>
      <c r="N17" s="272"/>
      <c r="O17" s="212">
        <f>IF(ISNA(VLOOKUP(B17,'4ème J.'!$BH$9:$BK$62,2,0))," ",IF(VLOOKUP(B17,'4ème J.'!$BH$9:$BK$62,2,0)=0,"0",VLOOKUP(B17,'4ème J.'!$BH$9:$BK$62,2,0)))</f>
        <v>5</v>
      </c>
      <c r="P17" s="212">
        <f>IF(ISNA(VLOOKUP(B17,'4ème J.'!$BH$9:$BK$62,3,0))," ",IF(VLOOKUP(B17,'4ème J.'!$BH$9:$BK$62,3,0)=0,"0",VLOOKUP(B17,'4ème J.'!$BH$9:$BK$62,3,0)))</f>
        <v>-1</v>
      </c>
      <c r="Q17" s="212">
        <f>IF(ISNA(VLOOKUP(B17,'4ème J.'!$BH$9:$BK$62,4,0))," ",IF(VLOOKUP(B17,'4ème J.'!$BH$9:$BK$62,4,0)=0,"0",VLOOKUP(B17,'4ème J.'!$BH$9:$BK$62,4,0)))</f>
        <v>1</v>
      </c>
      <c r="R17" s="257"/>
      <c r="S17" s="212">
        <f>IF(ISNA(VLOOKUP(B17,'5ème J.'!$BH$9:$BK$62,2,0))," ",IF(VLOOKUP(B17,'5ème J.'!$BH$9:$BK$62,2,0)=0,"0",VLOOKUP(B17,'5ème J.'!$BH$9:$BK$62,2,0)))</f>
        <v>7</v>
      </c>
      <c r="T17" s="212">
        <f>IF(ISNA(VLOOKUP(B17,'5ème J.'!$BH$9:$BK$62,3,0))," ",IF(VLOOKUP(B17,'5ème J.'!$BH$9:$BK$62,3,0)=0,"0",VLOOKUP(B17,'5ème J.'!$BH$9:$BK$62,3,0)))</f>
        <v>7</v>
      </c>
      <c r="U17" s="212">
        <f>IF(ISNA(VLOOKUP(B17,'5ème J.'!$BH$9:$BK$62,4,0))," ",IF(VLOOKUP(B17,'5ème J.'!$BH$9:$BK$62,4,0)=0,"0",VLOOKUP(B17,'5ème J.'!$BH$9:$BK$62,4,0)))</f>
        <v>20</v>
      </c>
      <c r="V17" s="257"/>
      <c r="W17" s="212">
        <f>IF(ISNA(VLOOKUP(B17,'6ème J.'!$BH$9:$BK$62,2,0))," ",IF(VLOOKUP(B17,'6ème J.'!$BH$9:$BK$62,2,0)=0,"0",VLOOKUP(B17,'6ème J.'!$BH$9:$BK$62,2,0)))</f>
        <v>7</v>
      </c>
      <c r="X17" s="212">
        <f>IF(ISNA(VLOOKUP(B17,'6ème J.'!$BH$9:$BK$62,3,0))," ",IF(VLOOKUP(B17,'6ème J.'!$BH$9:$BK$62,3,0)=0,"0",VLOOKUP(B17,'6ème J.'!$BH$9:$BK$62,3,0)))</f>
        <v>3</v>
      </c>
      <c r="Y17" s="212">
        <f>IF(ISNA(VLOOKUP(B17,'6ème J.'!$BH$9:$BK$62,4,0))," ",IF(VLOOKUP(B17,'6ème J.'!$BH$9:$BK$62,4,0)=0,"0",VLOOKUP(B17,'6ème J.'!$BH$9:$BK$62,4,0)))</f>
        <v>27</v>
      </c>
      <c r="Z17"/>
      <c r="AA17" s="289" t="str">
        <f t="shared" si="0"/>
        <v>A12</v>
      </c>
      <c r="AB17" s="216">
        <f t="shared" si="5"/>
        <v>19</v>
      </c>
      <c r="AC17" s="213">
        <f t="shared" si="6"/>
        <v>9</v>
      </c>
      <c r="AD17" s="290">
        <f t="shared" si="7"/>
        <v>48</v>
      </c>
      <c r="AE17" s="214">
        <f t="shared" si="8"/>
        <v>29.905200170000001</v>
      </c>
      <c r="AF17" s="215">
        <f>IF(AB17="","",SMALL(AE$6:AE$59,ROWS(AB$6:AB17)))</f>
        <v>10.808000440000001</v>
      </c>
      <c r="AG17" s="215"/>
      <c r="AH17" s="261">
        <f>IF(AF17="","",IF(AND(AJ16=AJ17,AK16=AK17,AL17=AL16),AH16,$AH$6+11))</f>
        <v>12</v>
      </c>
      <c r="AI17" s="216" t="str">
        <f t="shared" si="1"/>
        <v>C3</v>
      </c>
      <c r="AJ17" s="216">
        <f t="shared" si="2"/>
        <v>31</v>
      </c>
      <c r="AK17" s="263">
        <f t="shared" si="3"/>
        <v>18</v>
      </c>
      <c r="AL17" s="266">
        <f t="shared" si="4"/>
        <v>120</v>
      </c>
      <c r="AN17" s="218">
        <v>12</v>
      </c>
    </row>
    <row r="18" spans="1:40" x14ac:dyDescent="0.3">
      <c r="A18" s="296">
        <v>13</v>
      </c>
      <c r="B18" s="293" t="str">
        <f>+Inscrits!B15</f>
        <v>A13</v>
      </c>
      <c r="C18" s="212" t="str">
        <f>IF(ISNA(VLOOKUP(B18,'1ère J.'!$BH$9:$BK$62,2,0))," ",IF(VLOOKUP(B18,'1ère J.'!$BH$9:$BK$62,2,0)=0,"0",VLOOKUP(B18,'1ère J.'!$BH$9:$BK$62,2,0)))</f>
        <v>0</v>
      </c>
      <c r="D18" s="212" t="str">
        <f>IF(ISNA(VLOOKUP(B18,'1ère J.'!$BH$9:$BK$62,3,0))," ",IF(VLOOKUP(B18,'1ère J.'!$BH$9:$BK$62,3,0)=0,"0",VLOOKUP(B18,'1ère J.'!$BH$9:$BK$62,3,0)))</f>
        <v>0</v>
      </c>
      <c r="E18" s="212" t="str">
        <f>IF(ISNA(VLOOKUP(B18,'1ère J.'!$BH$9:$BK$62,4,0))," ",IF(VLOOKUP(B18,'1ère J.'!$BH$9:$BK$62,4,0)=0,"0",VLOOKUP(B18,'1ère J.'!$BH$9:$BK$62,4,0)))</f>
        <v>0</v>
      </c>
      <c r="F18" s="257"/>
      <c r="G18" s="212" t="str">
        <f>IF(ISNA(VLOOKUP(B18,'2ème J.'!$BH$9:$BK$62,2,0))," ",IF(VLOOKUP(B18,'2ème J.'!$BH$9:$BK$62,2,0)=0,"0",VLOOKUP(B18,'2ème J.'!$BH$9:$BK$62,2,0)))</f>
        <v>0</v>
      </c>
      <c r="H18" s="212" t="str">
        <f>IF(ISNA(VLOOKUP(B18,'2ème J.'!$BH$9:$BK$62,3,0))," ",IF(VLOOKUP(B18,'2ème J.'!$BH$9:$BK$62,3,0)=0,"0",VLOOKUP(B18,'2ème J.'!$BH$9:$BK$62,3,0)))</f>
        <v>0</v>
      </c>
      <c r="I18" s="212" t="str">
        <f>IF(ISNA(VLOOKUP(B18,'2ème J.'!$BH$9:$BK$62,4,0))," ",IF(VLOOKUP(B18,'2ème J.'!$BH$9:$BK$62,4,0)=0,"0",VLOOKUP(B18,'2ème J.'!$BH$9:$BK$62,4,0)))</f>
        <v>0</v>
      </c>
      <c r="J18" s="272"/>
      <c r="K18" s="212" t="str">
        <f>IF(ISNA(VLOOKUP(B18,'3ème J.'!$BH$9:$BK$62,2,0))," ",IF(VLOOKUP(B18,'3ème J.'!$BH$9:$BK$62,2,0)=0,"0",VLOOKUP(B18,'3ème J.'!$BH$9:$BK$62,2,0)))</f>
        <v>0</v>
      </c>
      <c r="L18" s="212" t="str">
        <f>IF(ISNA(VLOOKUP(B18,'3ème J.'!$BH$9:$BK$62,3,0))," ",IF(VLOOKUP(B18,'3ème J.'!$BH$9:$BK$62,3,0)=0,"0",VLOOKUP(B18,'3ème J.'!$BH$9:$BK$62,3,0)))</f>
        <v>0</v>
      </c>
      <c r="M18" s="212" t="str">
        <f>IF(ISNA(VLOOKUP(B18,'3ème J.'!$BH$9:$BK$62,4,0))," ",IF(VLOOKUP(B18,'3ème J.'!$BH$9:$BK$62,4,0)=0,"0",VLOOKUP(B18,'3ème J.'!$BH$9:$BK$62,4,0)))</f>
        <v>0</v>
      </c>
      <c r="N18" s="272"/>
      <c r="O18" s="212" t="str">
        <f>IF(ISNA(VLOOKUP(B18,'4ème J.'!$BH$9:$BK$62,2,0))," ",IF(VLOOKUP(B18,'4ème J.'!$BH$9:$BK$62,2,0)=0,"0",VLOOKUP(B18,'4ème J.'!$BH$9:$BK$62,2,0)))</f>
        <v>0</v>
      </c>
      <c r="P18" s="212" t="str">
        <f>IF(ISNA(VLOOKUP(B18,'4ème J.'!$BH$9:$BK$62,3,0))," ",IF(VLOOKUP(B18,'4ème J.'!$BH$9:$BK$62,3,0)=0,"0",VLOOKUP(B18,'4ème J.'!$BH$9:$BK$62,3,0)))</f>
        <v>0</v>
      </c>
      <c r="Q18" s="212" t="str">
        <f>IF(ISNA(VLOOKUP(B18,'4ème J.'!$BH$9:$BK$62,4,0))," ",IF(VLOOKUP(B18,'4ème J.'!$BH$9:$BK$62,4,0)=0,"0",VLOOKUP(B18,'4ème J.'!$BH$9:$BK$62,4,0)))</f>
        <v>0</v>
      </c>
      <c r="R18" s="257"/>
      <c r="S18" s="212">
        <f>IF(ISNA(VLOOKUP(B18,'5ème J.'!$BH$9:$BK$62,2,0))," ",IF(VLOOKUP(B18,'5ème J.'!$BH$9:$BK$62,2,0)=0,"0",VLOOKUP(B18,'5ème J.'!$BH$9:$BK$62,2,0)))</f>
        <v>5</v>
      </c>
      <c r="T18" s="212">
        <f>IF(ISNA(VLOOKUP(B18,'5ème J.'!$BH$9:$BK$62,3,0))," ",IF(VLOOKUP(B18,'5ème J.'!$BH$9:$BK$62,3,0)=0,"0",VLOOKUP(B18,'5ème J.'!$BH$9:$BK$62,3,0)))</f>
        <v>-6</v>
      </c>
      <c r="U18" s="212">
        <f>IF(ISNA(VLOOKUP(B18,'5ème J.'!$BH$9:$BK$62,4,0))," ",IF(VLOOKUP(B18,'5ème J.'!$BH$9:$BK$62,4,0)=0,"0",VLOOKUP(B18,'5ème J.'!$BH$9:$BK$62,4,0)))</f>
        <v>13</v>
      </c>
      <c r="V18" s="257"/>
      <c r="W18" s="212">
        <f>IF(ISNA(VLOOKUP(B18,'6ème J.'!$BH$9:$BK$62,2,0))," ",IF(VLOOKUP(B18,'6ème J.'!$BH$9:$BK$62,2,0)=0,"0",VLOOKUP(B18,'6ème J.'!$BH$9:$BK$62,2,0)))</f>
        <v>3</v>
      </c>
      <c r="X18" s="212">
        <f>IF(ISNA(VLOOKUP(B18,'6ème J.'!$BH$9:$BK$62,3,0))," ",IF(VLOOKUP(B18,'6ème J.'!$BH$9:$BK$62,3,0)=0,"0",VLOOKUP(B18,'6ème J.'!$BH$9:$BK$62,3,0)))</f>
        <v>-19</v>
      </c>
      <c r="Y18" s="212">
        <f>IF(ISNA(VLOOKUP(B18,'6ème J.'!$BH$9:$BK$62,4,0))," ",IF(VLOOKUP(B18,'6ème J.'!$BH$9:$BK$62,4,0)=0,"0",VLOOKUP(B18,'6ème J.'!$BH$9:$BK$62,4,0)))</f>
        <v>15</v>
      </c>
      <c r="Z18"/>
      <c r="AA18" s="289" t="str">
        <f t="shared" si="0"/>
        <v>A13</v>
      </c>
      <c r="AB18" s="216">
        <f t="shared" si="5"/>
        <v>8</v>
      </c>
      <c r="AC18" s="213">
        <f t="shared" si="6"/>
        <v>-25</v>
      </c>
      <c r="AD18" s="290">
        <f t="shared" si="7"/>
        <v>28</v>
      </c>
      <c r="AE18" s="214">
        <f t="shared" si="8"/>
        <v>47.24720018</v>
      </c>
      <c r="AF18" s="215">
        <f>IF(AB18="","",SMALL(AE$6:AE$59,ROWS(AB$6:AB18)))</f>
        <v>11.01910045</v>
      </c>
      <c r="AG18" s="215"/>
      <c r="AH18" s="261">
        <f>IF(AF18="","",IF(AND(AJ17=AJ18,AK17=AK18,AL18=AL17),AH17,$AH$6+12))</f>
        <v>13</v>
      </c>
      <c r="AI18" s="216" t="str">
        <f t="shared" si="1"/>
        <v>C4</v>
      </c>
      <c r="AJ18" s="216">
        <f t="shared" si="2"/>
        <v>31</v>
      </c>
      <c r="AK18" s="263">
        <f t="shared" si="3"/>
        <v>-3</v>
      </c>
      <c r="AL18" s="266">
        <f t="shared" si="4"/>
        <v>109</v>
      </c>
      <c r="AN18" s="218">
        <v>13</v>
      </c>
    </row>
    <row r="19" spans="1:40" x14ac:dyDescent="0.3">
      <c r="A19" s="296">
        <v>14</v>
      </c>
      <c r="B19" s="293" t="str">
        <f>+Inscrits!B16</f>
        <v>A14</v>
      </c>
      <c r="C19" s="212" t="str">
        <f>IF(ISNA(VLOOKUP(B19,'1ère J.'!$BH$9:$BK$62,2,0))," ",IF(VLOOKUP(B19,'1ère J.'!$BH$9:$BK$62,2,0)=0,"0",VLOOKUP(B19,'1ère J.'!$BH$9:$BK$62,2,0)))</f>
        <v>0</v>
      </c>
      <c r="D19" s="212" t="str">
        <f>IF(ISNA(VLOOKUP(B19,'1ère J.'!$BH$9:$BK$62,3,0))," ",IF(VLOOKUP(B19,'1ère J.'!$BH$9:$BK$62,3,0)=0,"0",VLOOKUP(B19,'1ère J.'!$BH$9:$BK$62,3,0)))</f>
        <v>0</v>
      </c>
      <c r="E19" s="212" t="str">
        <f>IF(ISNA(VLOOKUP(B19,'1ère J.'!$BH$9:$BK$62,4,0))," ",IF(VLOOKUP(B19,'1ère J.'!$BH$9:$BK$62,4,0)=0,"0",VLOOKUP(B19,'1ère J.'!$BH$9:$BK$62,4,0)))</f>
        <v>0</v>
      </c>
      <c r="F19" s="257"/>
      <c r="G19" s="212" t="str">
        <f>IF(ISNA(VLOOKUP(B19,'2ème J.'!$BH$9:$BK$62,2,0))," ",IF(VLOOKUP(B19,'2ème J.'!$BH$9:$BK$62,2,0)=0,"0",VLOOKUP(B19,'2ème J.'!$BH$9:$BK$62,2,0)))</f>
        <v>0</v>
      </c>
      <c r="H19" s="212" t="str">
        <f>IF(ISNA(VLOOKUP(B19,'2ème J.'!$BH$9:$BK$62,3,0))," ",IF(VLOOKUP(B19,'2ème J.'!$BH$9:$BK$62,3,0)=0,"0",VLOOKUP(B19,'2ème J.'!$BH$9:$BK$62,3,0)))</f>
        <v>0</v>
      </c>
      <c r="I19" s="212" t="str">
        <f>IF(ISNA(VLOOKUP(B19,'2ème J.'!$BH$9:$BK$62,4,0))," ",IF(VLOOKUP(B19,'2ème J.'!$BH$9:$BK$62,4,0)=0,"0",VLOOKUP(B19,'2ème J.'!$BH$9:$BK$62,4,0)))</f>
        <v>0</v>
      </c>
      <c r="J19" s="272"/>
      <c r="K19" s="212" t="str">
        <f>IF(ISNA(VLOOKUP(B19,'3ème J.'!$BH$9:$BK$62,2,0))," ",IF(VLOOKUP(B19,'3ème J.'!$BH$9:$BK$62,2,0)=0,"0",VLOOKUP(B19,'3ème J.'!$BH$9:$BK$62,2,0)))</f>
        <v>0</v>
      </c>
      <c r="L19" s="212" t="str">
        <f>IF(ISNA(VLOOKUP(B19,'3ème J.'!$BH$9:$BK$62,3,0))," ",IF(VLOOKUP(B19,'3ème J.'!$BH$9:$BK$62,3,0)=0,"0",VLOOKUP(B19,'3ème J.'!$BH$9:$BK$62,3,0)))</f>
        <v>0</v>
      </c>
      <c r="M19" s="212" t="str">
        <f>IF(ISNA(VLOOKUP(B19,'3ème J.'!$BH$9:$BK$62,4,0))," ",IF(VLOOKUP(B19,'3ème J.'!$BH$9:$BK$62,4,0)=0,"0",VLOOKUP(B19,'3ème J.'!$BH$9:$BK$62,4,0)))</f>
        <v>0</v>
      </c>
      <c r="N19" s="272"/>
      <c r="O19" s="212" t="str">
        <f>IF(ISNA(VLOOKUP(B19,'4ème J.'!$BH$9:$BK$62,2,0))," ",IF(VLOOKUP(B19,'4ème J.'!$BH$9:$BK$62,2,0)=0,"0",VLOOKUP(B19,'4ème J.'!$BH$9:$BK$62,2,0)))</f>
        <v>0</v>
      </c>
      <c r="P19" s="212" t="str">
        <f>IF(ISNA(VLOOKUP(B19,'4ème J.'!$BH$9:$BK$62,3,0))," ",IF(VLOOKUP(B19,'4ème J.'!$BH$9:$BK$62,3,0)=0,"0",VLOOKUP(B19,'4ème J.'!$BH$9:$BK$62,3,0)))</f>
        <v>0</v>
      </c>
      <c r="Q19" s="212" t="str">
        <f>IF(ISNA(VLOOKUP(B19,'4ème J.'!$BH$9:$BK$62,4,0))," ",IF(VLOOKUP(B19,'4ème J.'!$BH$9:$BK$62,4,0)=0,"0",VLOOKUP(B19,'4ème J.'!$BH$9:$BK$62,4,0)))</f>
        <v>0</v>
      </c>
      <c r="R19" s="257"/>
      <c r="S19" s="212">
        <f>IF(ISNA(VLOOKUP(B19,'5ème J.'!$BH$9:$BK$62,2,0))," ",IF(VLOOKUP(B19,'5ème J.'!$BH$9:$BK$62,2,0)=0,"0",VLOOKUP(B19,'5ème J.'!$BH$9:$BK$62,2,0)))</f>
        <v>7</v>
      </c>
      <c r="T19" s="212">
        <f>IF(ISNA(VLOOKUP(B19,'5ème J.'!$BH$9:$BK$62,3,0))," ",IF(VLOOKUP(B19,'5ème J.'!$BH$9:$BK$62,3,0)=0,"0",VLOOKUP(B19,'5ème J.'!$BH$9:$BK$62,3,0)))</f>
        <v>1</v>
      </c>
      <c r="U19" s="212">
        <f>IF(ISNA(VLOOKUP(B19,'5ème J.'!$BH$9:$BK$62,4,0))," ",IF(VLOOKUP(B19,'5ème J.'!$BH$9:$BK$62,4,0)=0,"0",VLOOKUP(B19,'5ème J.'!$BH$9:$BK$62,4,0)))</f>
        <v>19</v>
      </c>
      <c r="V19" s="257"/>
      <c r="W19" s="212">
        <f>IF(ISNA(VLOOKUP(B19,'6ème J.'!$BH$9:$BK$62,2,0))," ",IF(VLOOKUP(B19,'6ème J.'!$BH$9:$BK$62,2,0)=0,"0",VLOOKUP(B19,'6ème J.'!$BH$9:$BK$62,2,0)))</f>
        <v>7</v>
      </c>
      <c r="X19" s="212">
        <f>IF(ISNA(VLOOKUP(B19,'6ème J.'!$BH$9:$BK$62,3,0))," ",IF(VLOOKUP(B19,'6ème J.'!$BH$9:$BK$62,3,0)=0,"0",VLOOKUP(B19,'6ème J.'!$BH$9:$BK$62,3,0)))</f>
        <v>13</v>
      </c>
      <c r="Y19" s="212">
        <f>IF(ISNA(VLOOKUP(B19,'6ème J.'!$BH$9:$BK$62,4,0))," ",IF(VLOOKUP(B19,'6ème J.'!$BH$9:$BK$62,4,0)=0,"0",VLOOKUP(B19,'6ème J.'!$BH$9:$BK$62,4,0)))</f>
        <v>35</v>
      </c>
      <c r="Z19"/>
      <c r="AA19" s="289" t="str">
        <f t="shared" si="0"/>
        <v>A14</v>
      </c>
      <c r="AB19" s="216">
        <f t="shared" si="5"/>
        <v>14</v>
      </c>
      <c r="AC19" s="213">
        <f t="shared" si="6"/>
        <v>14</v>
      </c>
      <c r="AD19" s="290">
        <f t="shared" si="7"/>
        <v>54</v>
      </c>
      <c r="AE19" s="214">
        <f t="shared" si="8"/>
        <v>34.854600189999999</v>
      </c>
      <c r="AF19" s="215">
        <f>IF(AB19="","",SMALL(AE$6:AE$59,ROWS(AB$6:AB19)))</f>
        <v>11.04700027</v>
      </c>
      <c r="AG19" s="215"/>
      <c r="AH19" s="261">
        <f>IF(AF19="","",IF(AND(AJ18=AJ19,AK18=AK19,AL19=AL18),AH18,$AH$6+13))</f>
        <v>14</v>
      </c>
      <c r="AI19" s="216" t="str">
        <f t="shared" si="1"/>
        <v>B4</v>
      </c>
      <c r="AJ19" s="216">
        <f t="shared" si="2"/>
        <v>31</v>
      </c>
      <c r="AK19" s="263">
        <f t="shared" si="3"/>
        <v>-6</v>
      </c>
      <c r="AL19" s="266">
        <f t="shared" si="4"/>
        <v>130</v>
      </c>
      <c r="AN19" s="218">
        <v>14</v>
      </c>
    </row>
    <row r="20" spans="1:40" x14ac:dyDescent="0.3">
      <c r="A20" s="296">
        <v>15</v>
      </c>
      <c r="B20" s="293" t="str">
        <f>+Inscrits!B17</f>
        <v>A15</v>
      </c>
      <c r="C20" s="212" t="str">
        <f>IF(ISNA(VLOOKUP(B20,'1ère J.'!$BH$9:$BK$62,2,0))," ",IF(VLOOKUP(B20,'1ère J.'!$BH$9:$BK$62,2,0)=0,"0",VLOOKUP(B20,'1ère J.'!$BH$9:$BK$62,2,0)))</f>
        <v>0</v>
      </c>
      <c r="D20" s="212" t="str">
        <f>IF(ISNA(VLOOKUP(B20,'1ère J.'!$BH$9:$BK$62,3,0))," ",IF(VLOOKUP(B20,'1ère J.'!$BH$9:$BK$62,3,0)=0,"0",VLOOKUP(B20,'1ère J.'!$BH$9:$BK$62,3,0)))</f>
        <v>0</v>
      </c>
      <c r="E20" s="212" t="str">
        <f>IF(ISNA(VLOOKUP(B20,'1ère J.'!$BH$9:$BK$62,4,0))," ",IF(VLOOKUP(B20,'1ère J.'!$BH$9:$BK$62,4,0)=0,"0",VLOOKUP(B20,'1ère J.'!$BH$9:$BK$62,4,0)))</f>
        <v>0</v>
      </c>
      <c r="F20" s="257"/>
      <c r="G20" s="212" t="str">
        <f>IF(ISNA(VLOOKUP(B20,'2ème J.'!$BH$9:$BK$62,2,0))," ",IF(VLOOKUP(B20,'2ème J.'!$BH$9:$BK$62,2,0)=0,"0",VLOOKUP(B20,'2ème J.'!$BH$9:$BK$62,2,0)))</f>
        <v>0</v>
      </c>
      <c r="H20" s="212" t="str">
        <f>IF(ISNA(VLOOKUP(B20,'2ème J.'!$BH$9:$BK$62,3,0))," ",IF(VLOOKUP(B20,'2ème J.'!$BH$9:$BK$62,3,0)=0,"0",VLOOKUP(B20,'2ème J.'!$BH$9:$BK$62,3,0)))</f>
        <v>0</v>
      </c>
      <c r="I20" s="212" t="str">
        <f>IF(ISNA(VLOOKUP(B20,'2ème J.'!$BH$9:$BK$62,4,0))," ",IF(VLOOKUP(B20,'2ème J.'!$BH$9:$BK$62,4,0)=0,"0",VLOOKUP(B20,'2ème J.'!$BH$9:$BK$62,4,0)))</f>
        <v>0</v>
      </c>
      <c r="J20" s="272"/>
      <c r="K20" s="212" t="str">
        <f>IF(ISNA(VLOOKUP(B20,'3ème J.'!$BH$9:$BK$62,2,0))," ",IF(VLOOKUP(B20,'3ème J.'!$BH$9:$BK$62,2,0)=0,"0",VLOOKUP(B20,'3ème J.'!$BH$9:$BK$62,2,0)))</f>
        <v>0</v>
      </c>
      <c r="L20" s="212" t="str">
        <f>IF(ISNA(VLOOKUP(B20,'3ème J.'!$BH$9:$BK$62,3,0))," ",IF(VLOOKUP(B20,'3ème J.'!$BH$9:$BK$62,3,0)=0,"0",VLOOKUP(B20,'3ème J.'!$BH$9:$BK$62,3,0)))</f>
        <v>0</v>
      </c>
      <c r="M20" s="212" t="str">
        <f>IF(ISNA(VLOOKUP(B20,'3ème J.'!$BH$9:$BK$62,4,0))," ",IF(VLOOKUP(B20,'3ème J.'!$BH$9:$BK$62,4,0)=0,"0",VLOOKUP(B20,'3ème J.'!$BH$9:$BK$62,4,0)))</f>
        <v>0</v>
      </c>
      <c r="N20" s="272"/>
      <c r="O20" s="212" t="str">
        <f>IF(ISNA(VLOOKUP(B20,'4ème J.'!$BH$9:$BK$62,2,0))," ",IF(VLOOKUP(B20,'4ème J.'!$BH$9:$BK$62,2,0)=0,"0",VLOOKUP(B20,'4ème J.'!$BH$9:$BK$62,2,0)))</f>
        <v>0</v>
      </c>
      <c r="P20" s="212" t="str">
        <f>IF(ISNA(VLOOKUP(B20,'4ème J.'!$BH$9:$BK$62,3,0))," ",IF(VLOOKUP(B20,'4ème J.'!$BH$9:$BK$62,3,0)=0,"0",VLOOKUP(B20,'4ème J.'!$BH$9:$BK$62,3,0)))</f>
        <v>0</v>
      </c>
      <c r="Q20" s="212" t="str">
        <f>IF(ISNA(VLOOKUP(B20,'4ème J.'!$BH$9:$BK$62,4,0))," ",IF(VLOOKUP(B20,'4ème J.'!$BH$9:$BK$62,4,0)=0,"0",VLOOKUP(B20,'4ème J.'!$BH$9:$BK$62,4,0)))</f>
        <v>0</v>
      </c>
      <c r="R20" s="257"/>
      <c r="S20" s="212">
        <f>IF(ISNA(VLOOKUP(B20,'5ème J.'!$BH$9:$BK$62,2,0))," ",IF(VLOOKUP(B20,'5ème J.'!$BH$9:$BK$62,2,0)=0,"0",VLOOKUP(B20,'5ème J.'!$BH$9:$BK$62,2,0)))</f>
        <v>5</v>
      </c>
      <c r="T20" s="212">
        <f>IF(ISNA(VLOOKUP(B20,'5ème J.'!$BH$9:$BK$62,3,0))," ",IF(VLOOKUP(B20,'5ème J.'!$BH$9:$BK$62,3,0)=0,"0",VLOOKUP(B20,'5ème J.'!$BH$9:$BK$62,3,0)))</f>
        <v>-7</v>
      </c>
      <c r="U20" s="212">
        <f>IF(ISNA(VLOOKUP(B20,'5ème J.'!$BH$9:$BK$62,4,0))," ",IF(VLOOKUP(B20,'5ème J.'!$BH$9:$BK$62,4,0)=0,"0",VLOOKUP(B20,'5ème J.'!$BH$9:$BK$62,4,0)))</f>
        <v>14</v>
      </c>
      <c r="V20" s="257"/>
      <c r="W20" s="212">
        <f>IF(ISNA(VLOOKUP(B20,'6ème J.'!$BH$9:$BK$62,2,0))," ",IF(VLOOKUP(B20,'6ème J.'!$BH$9:$BK$62,2,0)=0,"0",VLOOKUP(B20,'6ème J.'!$BH$9:$BK$62,2,0)))</f>
        <v>7</v>
      </c>
      <c r="X20" s="212" t="str">
        <f>IF(ISNA(VLOOKUP(B20,'6ème J.'!$BH$9:$BK$62,3,0))," ",IF(VLOOKUP(B20,'6ème J.'!$BH$9:$BK$62,3,0)=0,"0",VLOOKUP(B20,'6ème J.'!$BH$9:$BK$62,3,0)))</f>
        <v>0</v>
      </c>
      <c r="Y20" s="212">
        <f>IF(ISNA(VLOOKUP(B20,'6ème J.'!$BH$9:$BK$62,4,0))," ",IF(VLOOKUP(B20,'6ème J.'!$BH$9:$BK$62,4,0)=0,"0",VLOOKUP(B20,'6ème J.'!$BH$9:$BK$62,4,0)))</f>
        <v>30</v>
      </c>
      <c r="Z20"/>
      <c r="AA20" s="289" t="str">
        <f t="shared" si="0"/>
        <v>A15</v>
      </c>
      <c r="AB20" s="216">
        <f t="shared" si="5"/>
        <v>12</v>
      </c>
      <c r="AC20" s="213">
        <f t="shared" si="6"/>
        <v>-7</v>
      </c>
      <c r="AD20" s="290">
        <f t="shared" si="7"/>
        <v>44</v>
      </c>
      <c r="AE20" s="214">
        <f t="shared" si="8"/>
        <v>39.065600200000006</v>
      </c>
      <c r="AF20" s="215">
        <f>IF(AB20="","",SMALL(AE$6:AE$59,ROWS(AB$6:AB20)))</f>
        <v>11.058400430000001</v>
      </c>
      <c r="AG20" s="215"/>
      <c r="AH20" s="261">
        <f>IF(AF20="","",IF(AND(AJ19=AJ20,AK19=AK20,AL20=AL19),AH19,$AH$6+14))</f>
        <v>15</v>
      </c>
      <c r="AI20" s="216" t="str">
        <f t="shared" si="1"/>
        <v>C2</v>
      </c>
      <c r="AJ20" s="216">
        <f t="shared" si="2"/>
        <v>31</v>
      </c>
      <c r="AK20" s="263">
        <f t="shared" si="3"/>
        <v>-7</v>
      </c>
      <c r="AL20" s="266">
        <f t="shared" si="4"/>
        <v>116</v>
      </c>
      <c r="AN20" s="218">
        <v>15</v>
      </c>
    </row>
    <row r="21" spans="1:40" x14ac:dyDescent="0.3">
      <c r="A21" s="296">
        <v>16</v>
      </c>
      <c r="B21" s="293" t="str">
        <f>+Inscrits!B18</f>
        <v>A16</v>
      </c>
      <c r="C21" s="212" t="str">
        <f>IF(ISNA(VLOOKUP(B21,'1ère J.'!$BH$9:$BK$62,2,0))," ",IF(VLOOKUP(B21,'1ère J.'!$BH$9:$BK$62,2,0)=0,"0",VLOOKUP(B21,'1ère J.'!$BH$9:$BK$62,2,0)))</f>
        <v>0</v>
      </c>
      <c r="D21" s="212" t="str">
        <f>IF(ISNA(VLOOKUP(B21,'1ère J.'!$BH$9:$BK$62,3,0))," ",IF(VLOOKUP(B21,'1ère J.'!$BH$9:$BK$62,3,0)=0,"0",VLOOKUP(B21,'1ère J.'!$BH$9:$BK$62,3,0)))</f>
        <v>0</v>
      </c>
      <c r="E21" s="212" t="str">
        <f>IF(ISNA(VLOOKUP(B21,'1ère J.'!$BH$9:$BK$62,4,0))," ",IF(VLOOKUP(B21,'1ère J.'!$BH$9:$BK$62,4,0)=0,"0",VLOOKUP(B21,'1ère J.'!$BH$9:$BK$62,4,0)))</f>
        <v>0</v>
      </c>
      <c r="F21" s="257"/>
      <c r="G21" s="212" t="str">
        <f>IF(ISNA(VLOOKUP(B21,'2ème J.'!$BH$9:$BK$62,2,0))," ",IF(VLOOKUP(B21,'2ème J.'!$BH$9:$BK$62,2,0)=0,"0",VLOOKUP(B21,'2ème J.'!$BH$9:$BK$62,2,0)))</f>
        <v>0</v>
      </c>
      <c r="H21" s="212" t="str">
        <f>IF(ISNA(VLOOKUP(B21,'2ème J.'!$BH$9:$BK$62,3,0))," ",IF(VLOOKUP(B21,'2ème J.'!$BH$9:$BK$62,3,0)=0,"0",VLOOKUP(B21,'2ème J.'!$BH$9:$BK$62,3,0)))</f>
        <v>0</v>
      </c>
      <c r="I21" s="212" t="str">
        <f>IF(ISNA(VLOOKUP(B21,'2ème J.'!$BH$9:$BK$62,4,0))," ",IF(VLOOKUP(B21,'2ème J.'!$BH$9:$BK$62,4,0)=0,"0",VLOOKUP(B21,'2ème J.'!$BH$9:$BK$62,4,0)))</f>
        <v>0</v>
      </c>
      <c r="J21" s="272"/>
      <c r="K21" s="212" t="str">
        <f>IF(ISNA(VLOOKUP(B21,'3ème J.'!$BH$9:$BK$62,2,0))," ",IF(VLOOKUP(B21,'3ème J.'!$BH$9:$BK$62,2,0)=0,"0",VLOOKUP(B21,'3ème J.'!$BH$9:$BK$62,2,0)))</f>
        <v>0</v>
      </c>
      <c r="L21" s="212" t="str">
        <f>IF(ISNA(VLOOKUP(B21,'3ème J.'!$BH$9:$BK$62,3,0))," ",IF(VLOOKUP(B21,'3ème J.'!$BH$9:$BK$62,3,0)=0,"0",VLOOKUP(B21,'3ème J.'!$BH$9:$BK$62,3,0)))</f>
        <v>0</v>
      </c>
      <c r="M21" s="212" t="str">
        <f>IF(ISNA(VLOOKUP(B21,'3ème J.'!$BH$9:$BK$62,4,0))," ",IF(VLOOKUP(B21,'3ème J.'!$BH$9:$BK$62,4,0)=0,"0",VLOOKUP(B21,'3ème J.'!$BH$9:$BK$62,4,0)))</f>
        <v>0</v>
      </c>
      <c r="N21" s="272"/>
      <c r="O21" s="212" t="str">
        <f>IF(ISNA(VLOOKUP(B21,'4ème J.'!$BH$9:$BK$62,2,0))," ",IF(VLOOKUP(B21,'4ème J.'!$BH$9:$BK$62,2,0)=0,"0",VLOOKUP(B21,'4ème J.'!$BH$9:$BK$62,2,0)))</f>
        <v>0</v>
      </c>
      <c r="P21" s="212" t="str">
        <f>IF(ISNA(VLOOKUP(B21,'4ème J.'!$BH$9:$BK$62,3,0))," ",IF(VLOOKUP(B21,'4ème J.'!$BH$9:$BK$62,3,0)=0,"0",VLOOKUP(B21,'4ème J.'!$BH$9:$BK$62,3,0)))</f>
        <v>0</v>
      </c>
      <c r="Q21" s="212" t="str">
        <f>IF(ISNA(VLOOKUP(B21,'4ème J.'!$BH$9:$BK$62,4,0))," ",IF(VLOOKUP(B21,'4ème J.'!$BH$9:$BK$62,4,0)=0,"0",VLOOKUP(B21,'4ème J.'!$BH$9:$BK$62,4,0)))</f>
        <v>0</v>
      </c>
      <c r="R21" s="257"/>
      <c r="S21" s="212" t="str">
        <f>IF(ISNA(VLOOKUP(B21,'5ème J.'!$BH$9:$BK$62,2,0))," ",IF(VLOOKUP(B21,'5ème J.'!$BH$9:$BK$62,2,0)=0,"0",VLOOKUP(B21,'5ème J.'!$BH$9:$BK$62,2,0)))</f>
        <v>0</v>
      </c>
      <c r="T21" s="212" t="str">
        <f>IF(ISNA(VLOOKUP(B21,'5ème J.'!$BH$9:$BK$62,3,0))," ",IF(VLOOKUP(B21,'5ème J.'!$BH$9:$BK$62,3,0)=0,"0",VLOOKUP(B21,'5ème J.'!$BH$9:$BK$62,3,0)))</f>
        <v>0</v>
      </c>
      <c r="U21" s="212" t="str">
        <f>IF(ISNA(VLOOKUP(B21,'5ème J.'!$BH$9:$BK$62,4,0))," ",IF(VLOOKUP(B21,'5ème J.'!$BH$9:$BK$62,4,0)=0,"0",VLOOKUP(B21,'5ème J.'!$BH$9:$BK$62,4,0)))</f>
        <v>0</v>
      </c>
      <c r="V21" s="257"/>
      <c r="W21" s="212">
        <f>IF(ISNA(VLOOKUP(B21,'6ème J.'!$BH$9:$BK$62,2,0))," ",IF(VLOOKUP(B21,'6ème J.'!$BH$9:$BK$62,2,0)=0,"0",VLOOKUP(B21,'6ème J.'!$BH$9:$BK$62,2,0)))</f>
        <v>7</v>
      </c>
      <c r="X21" s="212">
        <f>IF(ISNA(VLOOKUP(B21,'6ème J.'!$BH$9:$BK$62,3,0))," ",IF(VLOOKUP(B21,'6ème J.'!$BH$9:$BK$62,3,0)=0,"0",VLOOKUP(B21,'6ème J.'!$BH$9:$BK$62,3,0)))</f>
        <v>2</v>
      </c>
      <c r="Y21" s="212">
        <f>IF(ISNA(VLOOKUP(B21,'6ème J.'!$BH$9:$BK$62,4,0))," ",IF(VLOOKUP(B21,'6ème J.'!$BH$9:$BK$62,4,0)=0,"0",VLOOKUP(B21,'6ème J.'!$BH$9:$BK$62,4,0)))</f>
        <v>29</v>
      </c>
      <c r="Z21"/>
      <c r="AA21" s="289" t="str">
        <f t="shared" si="0"/>
        <v>A16</v>
      </c>
      <c r="AB21" s="216">
        <f t="shared" si="5"/>
        <v>7</v>
      </c>
      <c r="AC21" s="213">
        <f t="shared" si="6"/>
        <v>2</v>
      </c>
      <c r="AD21" s="290">
        <f t="shared" si="7"/>
        <v>29</v>
      </c>
      <c r="AE21" s="214">
        <f t="shared" si="8"/>
        <v>47.977100210000003</v>
      </c>
      <c r="AF21" s="215">
        <f>IF(AB21="","",SMALL(AE$6:AE$59,ROWS(AB$6:AB21)))</f>
        <v>15.941300500000001</v>
      </c>
      <c r="AG21" s="215"/>
      <c r="AH21" s="261">
        <f>IF(AF21="","",IF(AND(AJ20=AJ21,AK20=AK21,AL21=AL20),AH20,$AH$6+15))</f>
        <v>16</v>
      </c>
      <c r="AI21" s="216" t="str">
        <f t="shared" si="1"/>
        <v>C9</v>
      </c>
      <c r="AJ21" s="216">
        <f t="shared" si="2"/>
        <v>30</v>
      </c>
      <c r="AK21" s="263">
        <f t="shared" si="3"/>
        <v>5</v>
      </c>
      <c r="AL21" s="266">
        <f t="shared" si="4"/>
        <v>87</v>
      </c>
      <c r="AN21" s="218">
        <v>16</v>
      </c>
    </row>
    <row r="22" spans="1:40" x14ac:dyDescent="0.3">
      <c r="A22" s="296">
        <v>17</v>
      </c>
      <c r="B22" s="293" t="str">
        <f>+Inscrits!B19</f>
        <v>A17</v>
      </c>
      <c r="C22" s="212" t="str">
        <f>IF(ISNA(VLOOKUP(B22,'1ère J.'!$BH$9:$BK$62,2,0))," ",IF(VLOOKUP(B22,'1ère J.'!$BH$9:$BK$62,2,0)=0,"0",VLOOKUP(B22,'1ère J.'!$BH$9:$BK$62,2,0)))</f>
        <v>0</v>
      </c>
      <c r="D22" s="212" t="str">
        <f>IF(ISNA(VLOOKUP(B22,'1ère J.'!$BH$9:$BK$62,3,0))," ",IF(VLOOKUP(B22,'1ère J.'!$BH$9:$BK$62,3,0)=0,"0",VLOOKUP(B22,'1ère J.'!$BH$9:$BK$62,3,0)))</f>
        <v>0</v>
      </c>
      <c r="E22" s="212" t="str">
        <f>IF(ISNA(VLOOKUP(B22,'1ère J.'!$BH$9:$BK$62,4,0))," ",IF(VLOOKUP(B22,'1ère J.'!$BH$9:$BK$62,4,0)=0,"0",VLOOKUP(B22,'1ère J.'!$BH$9:$BK$62,4,0)))</f>
        <v>0</v>
      </c>
      <c r="F22" s="257"/>
      <c r="G22" s="212" t="str">
        <f>IF(ISNA(VLOOKUP(B22,'2ème J.'!$BH$9:$BK$62,2,0))," ",IF(VLOOKUP(B22,'2ème J.'!$BH$9:$BK$62,2,0)=0,"0",VLOOKUP(B22,'2ème J.'!$BH$9:$BK$62,2,0)))</f>
        <v>0</v>
      </c>
      <c r="H22" s="212" t="str">
        <f>IF(ISNA(VLOOKUP(B22,'2ème J.'!$BH$9:$BK$62,3,0))," ",IF(VLOOKUP(B22,'2ème J.'!$BH$9:$BK$62,3,0)=0,"0",VLOOKUP(B22,'2ème J.'!$BH$9:$BK$62,3,0)))</f>
        <v>0</v>
      </c>
      <c r="I22" s="212" t="str">
        <f>IF(ISNA(VLOOKUP(B22,'2ème J.'!$BH$9:$BK$62,4,0))," ",IF(VLOOKUP(B22,'2ème J.'!$BH$9:$BK$62,4,0)=0,"0",VLOOKUP(B22,'2ème J.'!$BH$9:$BK$62,4,0)))</f>
        <v>0</v>
      </c>
      <c r="J22" s="272"/>
      <c r="K22" s="212" t="str">
        <f>IF(ISNA(VLOOKUP(B22,'3ème J.'!$BH$9:$BK$62,2,0))," ",IF(VLOOKUP(B22,'3ème J.'!$BH$9:$BK$62,2,0)=0,"0",VLOOKUP(B22,'3ème J.'!$BH$9:$BK$62,2,0)))</f>
        <v>0</v>
      </c>
      <c r="L22" s="212" t="str">
        <f>IF(ISNA(VLOOKUP(B22,'3ème J.'!$BH$9:$BK$62,3,0))," ",IF(VLOOKUP(B22,'3ème J.'!$BH$9:$BK$62,3,0)=0,"0",VLOOKUP(B22,'3ème J.'!$BH$9:$BK$62,3,0)))</f>
        <v>0</v>
      </c>
      <c r="M22" s="212" t="str">
        <f>IF(ISNA(VLOOKUP(B22,'3ème J.'!$BH$9:$BK$62,4,0))," ",IF(VLOOKUP(B22,'3ème J.'!$BH$9:$BK$62,4,0)=0,"0",VLOOKUP(B22,'3ème J.'!$BH$9:$BK$62,4,0)))</f>
        <v>0</v>
      </c>
      <c r="N22" s="272"/>
      <c r="O22" s="212" t="str">
        <f>IF(ISNA(VLOOKUP(B22,'4ème J.'!$BH$9:$BK$62,2,0))," ",IF(VLOOKUP(B22,'4ème J.'!$BH$9:$BK$62,2,0)=0,"0",VLOOKUP(B22,'4ème J.'!$BH$9:$BK$62,2,0)))</f>
        <v>0</v>
      </c>
      <c r="P22" s="212" t="str">
        <f>IF(ISNA(VLOOKUP(B22,'4ème J.'!$BH$9:$BK$62,3,0))," ",IF(VLOOKUP(B22,'4ème J.'!$BH$9:$BK$62,3,0)=0,"0",VLOOKUP(B22,'4ème J.'!$BH$9:$BK$62,3,0)))</f>
        <v>0</v>
      </c>
      <c r="Q22" s="212" t="str">
        <f>IF(ISNA(VLOOKUP(B22,'4ème J.'!$BH$9:$BK$62,4,0))," ",IF(VLOOKUP(B22,'4ème J.'!$BH$9:$BK$62,4,0)=0,"0",VLOOKUP(B22,'4ème J.'!$BH$9:$BK$62,4,0)))</f>
        <v>0</v>
      </c>
      <c r="R22" s="257"/>
      <c r="S22" s="212" t="str">
        <f>IF(ISNA(VLOOKUP(B22,'5ème J.'!$BH$9:$BK$62,2,0))," ",IF(VLOOKUP(B22,'5ème J.'!$BH$9:$BK$62,2,0)=0,"0",VLOOKUP(B22,'5ème J.'!$BH$9:$BK$62,2,0)))</f>
        <v>0</v>
      </c>
      <c r="T22" s="212" t="str">
        <f>IF(ISNA(VLOOKUP(B22,'5ème J.'!$BH$9:$BK$62,3,0))," ",IF(VLOOKUP(B22,'5ème J.'!$BH$9:$BK$62,3,0)=0,"0",VLOOKUP(B22,'5ème J.'!$BH$9:$BK$62,3,0)))</f>
        <v>0</v>
      </c>
      <c r="U22" s="212" t="str">
        <f>IF(ISNA(VLOOKUP(B22,'5ème J.'!$BH$9:$BK$62,4,0))," ",IF(VLOOKUP(B22,'5ème J.'!$BH$9:$BK$62,4,0)=0,"0",VLOOKUP(B22,'5ème J.'!$BH$9:$BK$62,4,0)))</f>
        <v>0</v>
      </c>
      <c r="V22" s="257"/>
      <c r="W22" s="212">
        <f>IF(ISNA(VLOOKUP(B22,'6ème J.'!$BH$9:$BK$62,2,0))," ",IF(VLOOKUP(B22,'6ème J.'!$BH$9:$BK$62,2,0)=0,"0",VLOOKUP(B22,'6ème J.'!$BH$9:$BK$62,2,0)))</f>
        <v>7</v>
      </c>
      <c r="X22" s="212">
        <f>IF(ISNA(VLOOKUP(B22,'6ème J.'!$BH$9:$BK$62,3,0))," ",IF(VLOOKUP(B22,'6ème J.'!$BH$9:$BK$62,3,0)=0,"0",VLOOKUP(B22,'6ème J.'!$BH$9:$BK$62,3,0)))</f>
        <v>17</v>
      </c>
      <c r="Y22" s="212">
        <f>IF(ISNA(VLOOKUP(B22,'6ème J.'!$BH$9:$BK$62,4,0))," ",IF(VLOOKUP(B22,'6ème J.'!$BH$9:$BK$62,4,0)=0,"0",VLOOKUP(B22,'6ème J.'!$BH$9:$BK$62,4,0)))</f>
        <v>33</v>
      </c>
      <c r="Z22"/>
      <c r="AA22" s="289" t="str">
        <f t="shared" si="0"/>
        <v>A17</v>
      </c>
      <c r="AB22" s="216">
        <f t="shared" si="5"/>
        <v>7</v>
      </c>
      <c r="AC22" s="213">
        <f t="shared" si="6"/>
        <v>17</v>
      </c>
      <c r="AD22" s="290">
        <f t="shared" si="7"/>
        <v>33</v>
      </c>
      <c r="AE22" s="214">
        <f t="shared" si="8"/>
        <v>47.826700219999992</v>
      </c>
      <c r="AF22" s="215">
        <f>IF(AB22="","",SMALL(AE$6:AE$59,ROWS(AB$6:AB22)))</f>
        <v>16.101300419999998</v>
      </c>
      <c r="AG22" s="215"/>
      <c r="AH22" s="261">
        <f>IF(AF22="","",IF(AND(AJ21=AJ22,AK21=AK22,AL22=AL21),AH21,$AH$6+16))</f>
        <v>17</v>
      </c>
      <c r="AI22" s="216" t="str">
        <f t="shared" si="1"/>
        <v>C1</v>
      </c>
      <c r="AJ22" s="216">
        <f t="shared" si="2"/>
        <v>30</v>
      </c>
      <c r="AK22" s="263">
        <f t="shared" si="3"/>
        <v>-11</v>
      </c>
      <c r="AL22" s="266">
        <f t="shared" si="4"/>
        <v>87</v>
      </c>
      <c r="AN22" s="218">
        <v>17</v>
      </c>
    </row>
    <row r="23" spans="1:40" x14ac:dyDescent="0.3">
      <c r="A23" s="296">
        <v>18</v>
      </c>
      <c r="B23" s="293" t="str">
        <f>+Inscrits!B20</f>
        <v>A18</v>
      </c>
      <c r="C23" s="212" t="str">
        <f>IF(ISNA(VLOOKUP(B23,'1ère J.'!$BH$9:$BK$62,2,0))," ",IF(VLOOKUP(B23,'1ère J.'!$BH$9:$BK$62,2,0)=0,"0",VLOOKUP(B23,'1ère J.'!$BH$9:$BK$62,2,0)))</f>
        <v>0</v>
      </c>
      <c r="D23" s="212" t="str">
        <f>IF(ISNA(VLOOKUP(B23,'1ère J.'!$BH$9:$BK$62,3,0))," ",IF(VLOOKUP(B23,'1ère J.'!$BH$9:$BK$62,3,0)=0,"0",VLOOKUP(B23,'1ère J.'!$BH$9:$BK$62,3,0)))</f>
        <v>0</v>
      </c>
      <c r="E23" s="212" t="str">
        <f>IF(ISNA(VLOOKUP(B23,'1ère J.'!$BH$9:$BK$62,4,0))," ",IF(VLOOKUP(B23,'1ère J.'!$BH$9:$BK$62,4,0)=0,"0",VLOOKUP(B23,'1ère J.'!$BH$9:$BK$62,4,0)))</f>
        <v>0</v>
      </c>
      <c r="F23" s="257"/>
      <c r="G23" s="212" t="str">
        <f>IF(ISNA(VLOOKUP(B23,'2ème J.'!$BH$9:$BK$62,2,0))," ",IF(VLOOKUP(B23,'2ème J.'!$BH$9:$BK$62,2,0)=0,"0",VLOOKUP(B23,'2ème J.'!$BH$9:$BK$62,2,0)))</f>
        <v>0</v>
      </c>
      <c r="H23" s="212" t="str">
        <f>IF(ISNA(VLOOKUP(B23,'2ème J.'!$BH$9:$BK$62,3,0))," ",IF(VLOOKUP(B23,'2ème J.'!$BH$9:$BK$62,3,0)=0,"0",VLOOKUP(B23,'2ème J.'!$BH$9:$BK$62,3,0)))</f>
        <v>0</v>
      </c>
      <c r="I23" s="212" t="str">
        <f>IF(ISNA(VLOOKUP(B23,'2ème J.'!$BH$9:$BK$62,4,0))," ",IF(VLOOKUP(B23,'2ème J.'!$BH$9:$BK$62,4,0)=0,"0",VLOOKUP(B23,'2ème J.'!$BH$9:$BK$62,4,0)))</f>
        <v>0</v>
      </c>
      <c r="J23" s="272"/>
      <c r="K23" s="212" t="str">
        <f>IF(ISNA(VLOOKUP(B23,'3ème J.'!$BH$9:$BK$62,2,0))," ",IF(VLOOKUP(B23,'3ème J.'!$BH$9:$BK$62,2,0)=0,"0",VLOOKUP(B23,'3ème J.'!$BH$9:$BK$62,2,0)))</f>
        <v>0</v>
      </c>
      <c r="L23" s="212" t="str">
        <f>IF(ISNA(VLOOKUP(B23,'3ème J.'!$BH$9:$BK$62,3,0))," ",IF(VLOOKUP(B23,'3ème J.'!$BH$9:$BK$62,3,0)=0,"0",VLOOKUP(B23,'3ème J.'!$BH$9:$BK$62,3,0)))</f>
        <v>0</v>
      </c>
      <c r="M23" s="212" t="str">
        <f>IF(ISNA(VLOOKUP(B23,'3ème J.'!$BH$9:$BK$62,4,0))," ",IF(VLOOKUP(B23,'3ème J.'!$BH$9:$BK$62,4,0)=0,"0",VLOOKUP(B23,'3ème J.'!$BH$9:$BK$62,4,0)))</f>
        <v>0</v>
      </c>
      <c r="N23" s="272"/>
      <c r="O23" s="212" t="str">
        <f>IF(ISNA(VLOOKUP(B23,'4ème J.'!$BH$9:$BK$62,2,0))," ",IF(VLOOKUP(B23,'4ème J.'!$BH$9:$BK$62,2,0)=0,"0",VLOOKUP(B23,'4ème J.'!$BH$9:$BK$62,2,0)))</f>
        <v>0</v>
      </c>
      <c r="P23" s="212" t="str">
        <f>IF(ISNA(VLOOKUP(B23,'4ème J.'!$BH$9:$BK$62,3,0))," ",IF(VLOOKUP(B23,'4ème J.'!$BH$9:$BK$62,3,0)=0,"0",VLOOKUP(B23,'4ème J.'!$BH$9:$BK$62,3,0)))</f>
        <v>0</v>
      </c>
      <c r="Q23" s="212" t="str">
        <f>IF(ISNA(VLOOKUP(B23,'4ème J.'!$BH$9:$BK$62,4,0))," ",IF(VLOOKUP(B23,'4ème J.'!$BH$9:$BK$62,4,0)=0,"0",VLOOKUP(B23,'4ème J.'!$BH$9:$BK$62,4,0)))</f>
        <v>0</v>
      </c>
      <c r="R23" s="257"/>
      <c r="S23" s="212" t="str">
        <f>IF(ISNA(VLOOKUP(B23,'5ème J.'!$BH$9:$BK$62,2,0))," ",IF(VLOOKUP(B23,'5ème J.'!$BH$9:$BK$62,2,0)=0,"0",VLOOKUP(B23,'5ème J.'!$BH$9:$BK$62,2,0)))</f>
        <v>0</v>
      </c>
      <c r="T23" s="212" t="str">
        <f>IF(ISNA(VLOOKUP(B23,'5ème J.'!$BH$9:$BK$62,3,0))," ",IF(VLOOKUP(B23,'5ème J.'!$BH$9:$BK$62,3,0)=0,"0",VLOOKUP(B23,'5ème J.'!$BH$9:$BK$62,3,0)))</f>
        <v>0</v>
      </c>
      <c r="U23" s="212" t="str">
        <f>IF(ISNA(VLOOKUP(B23,'5ème J.'!$BH$9:$BK$62,4,0))," ",IF(VLOOKUP(B23,'5ème J.'!$BH$9:$BK$62,4,0)=0,"0",VLOOKUP(B23,'5ème J.'!$BH$9:$BK$62,4,0)))</f>
        <v>0</v>
      </c>
      <c r="V23" s="257"/>
      <c r="W23" s="212">
        <f>IF(ISNA(VLOOKUP(B23,'6ème J.'!$BH$9:$BK$62,2,0))," ",IF(VLOOKUP(B23,'6ème J.'!$BH$9:$BK$62,2,0)=0,"0",VLOOKUP(B23,'6ème J.'!$BH$9:$BK$62,2,0)))</f>
        <v>3</v>
      </c>
      <c r="X23" s="212">
        <f>IF(ISNA(VLOOKUP(B23,'6ème J.'!$BH$9:$BK$62,3,0))," ",IF(VLOOKUP(B23,'6ème J.'!$BH$9:$BK$62,3,0)=0,"0",VLOOKUP(B23,'6ème J.'!$BH$9:$BK$62,3,0)))</f>
        <v>-26</v>
      </c>
      <c r="Y23" s="212">
        <f>IF(ISNA(VLOOKUP(B23,'6ème J.'!$BH$9:$BK$62,4,0))," ",IF(VLOOKUP(B23,'6ème J.'!$BH$9:$BK$62,4,0)=0,"0",VLOOKUP(B23,'6ème J.'!$BH$9:$BK$62,4,0)))</f>
        <v>11</v>
      </c>
      <c r="Z23"/>
      <c r="AA23" s="289" t="str">
        <f t="shared" si="0"/>
        <v>A18</v>
      </c>
      <c r="AB23" s="216">
        <f t="shared" si="5"/>
        <v>3</v>
      </c>
      <c r="AC23" s="213">
        <f t="shared" si="6"/>
        <v>-26</v>
      </c>
      <c r="AD23" s="290">
        <f t="shared" si="7"/>
        <v>11</v>
      </c>
      <c r="AE23" s="214">
        <f t="shared" si="8"/>
        <v>53.258900229999995</v>
      </c>
      <c r="AF23" s="215">
        <f>IF(AB23="","",SMALL(AE$6:AE$59,ROWS(AB$6:AB23)))</f>
        <v>16.180600250000001</v>
      </c>
      <c r="AG23" s="215"/>
      <c r="AH23" s="261">
        <f>IF(AF23="","",IF(AND(AJ22=AJ23,AK22=AK23,AL23=AL22),AH22,$AH$6+17))</f>
        <v>18</v>
      </c>
      <c r="AI23" s="216" t="str">
        <f t="shared" si="1"/>
        <v>B2</v>
      </c>
      <c r="AJ23" s="216">
        <f t="shared" si="2"/>
        <v>30</v>
      </c>
      <c r="AK23" s="263">
        <f t="shared" si="3"/>
        <v>-19</v>
      </c>
      <c r="AL23" s="266">
        <f t="shared" si="4"/>
        <v>94</v>
      </c>
      <c r="AN23" s="218">
        <v>18</v>
      </c>
    </row>
    <row r="24" spans="1:40" x14ac:dyDescent="0.3">
      <c r="A24" s="296">
        <v>19</v>
      </c>
      <c r="B24" s="293" t="str">
        <f>+Inscrits!D3</f>
        <v>B1</v>
      </c>
      <c r="C24" s="212">
        <f>IF(ISNA(VLOOKUP(B24,'1ère J.'!$BH$9:$BK$62,2,0))," ",IF(VLOOKUP(B24,'1ère J.'!$BH$9:$BK$62,2,0)=0,"0",VLOOKUP(B24,'1ère J.'!$BH$9:$BK$62,2,0)))</f>
        <v>1</v>
      </c>
      <c r="D24" s="212">
        <f>IF(ISNA(VLOOKUP(B24,'1ère J.'!$BH$9:$BK$62,3,0))," ",IF(VLOOKUP(B24,'1ère J.'!$BH$9:$BK$62,3,0)=0,"0",VLOOKUP(B24,'1ère J.'!$BH$9:$BK$62,3,0)))</f>
        <v>-1</v>
      </c>
      <c r="E24" s="212">
        <f>IF(ISNA(VLOOKUP(B24,'1ère J.'!$BH$9:$BK$62,4,0))," ",IF(VLOOKUP(B24,'1ère J.'!$BH$9:$BK$62,4,0)=0,"0",VLOOKUP(B24,'1ère J.'!$BH$9:$BK$62,4,0)))</f>
        <v>5</v>
      </c>
      <c r="F24" s="257"/>
      <c r="G24" s="212">
        <f>IF(ISNA(VLOOKUP(B24,'2ème J.'!$BH$9:$BK$62,2,0))," ",IF(VLOOKUP(B24,'2ème J.'!$BH$9:$BK$62,2,0)=0,"0",VLOOKUP(B24,'2ème J.'!$BH$9:$BK$62,2,0)))</f>
        <v>1</v>
      </c>
      <c r="H24" s="212">
        <f>IF(ISNA(VLOOKUP(B24,'2ème J.'!$BH$9:$BK$62,3,0))," ",IF(VLOOKUP(B24,'2ème J.'!$BH$9:$BK$62,3,0)=0,"0",VLOOKUP(B24,'2ème J.'!$BH$9:$BK$62,3,0)))</f>
        <v>-2</v>
      </c>
      <c r="I24" s="212">
        <f>IF(ISNA(VLOOKUP(B24,'2ème J.'!$BH$9:$BK$62,4,0))," ",IF(VLOOKUP(B24,'2ème J.'!$BH$9:$BK$62,4,0)=0,"0",VLOOKUP(B24,'2ème J.'!$BH$9:$BK$62,4,0)))</f>
        <v>8</v>
      </c>
      <c r="J24" s="272"/>
      <c r="K24" s="212">
        <f>IF(ISNA(VLOOKUP(B24,'3ème J.'!$BH$9:$BK$62,2,0))," ",IF(VLOOKUP(B24,'3ème J.'!$BH$9:$BK$62,2,0)=0,"0",VLOOKUP(B24,'3ème J.'!$BH$9:$BK$62,2,0)))</f>
        <v>5</v>
      </c>
      <c r="L24" s="212">
        <f>IF(ISNA(VLOOKUP(B24,'3ème J.'!$BH$9:$BK$62,3,0))," ",IF(VLOOKUP(B24,'3ème J.'!$BH$9:$BK$62,3,0)=0,"0",VLOOKUP(B24,'3ème J.'!$BH$9:$BK$62,3,0)))</f>
        <v>-3</v>
      </c>
      <c r="M24" s="212">
        <f>IF(ISNA(VLOOKUP(B24,'3ème J.'!$BH$9:$BK$62,4,0))," ",IF(VLOOKUP(B24,'3ème J.'!$BH$9:$BK$62,4,0)=0,"0",VLOOKUP(B24,'3ème J.'!$BH$9:$BK$62,4,0)))</f>
        <v>25</v>
      </c>
      <c r="N24" s="272"/>
      <c r="O24" s="212">
        <f>IF(ISNA(VLOOKUP(B24,'4ème J.'!$BH$9:$BK$62,2,0))," ",IF(VLOOKUP(B24,'4ème J.'!$BH$9:$BK$62,2,0)=0,"0",VLOOKUP(B24,'4ème J.'!$BH$9:$BK$62,2,0)))</f>
        <v>8</v>
      </c>
      <c r="P24" s="212">
        <f>IF(ISNA(VLOOKUP(B24,'4ème J.'!$BH$9:$BK$62,3,0))," ",IF(VLOOKUP(B24,'4ème J.'!$BH$9:$BK$62,3,0)=0,"0",VLOOKUP(B24,'4ème J.'!$BH$9:$BK$62,3,0)))</f>
        <v>2</v>
      </c>
      <c r="Q24" s="212">
        <f>IF(ISNA(VLOOKUP(B24,'4ème J.'!$BH$9:$BK$62,4,0))," ",IF(VLOOKUP(B24,'4ème J.'!$BH$9:$BK$62,4,0)=0,"0",VLOOKUP(B24,'4ème J.'!$BH$9:$BK$62,4,0)))</f>
        <v>8</v>
      </c>
      <c r="R24" s="257"/>
      <c r="S24" s="212">
        <f>IF(ISNA(VLOOKUP(B24,'5ème J.'!$BH$9:$BK$62,2,0))," ",IF(VLOOKUP(B24,'5ème J.'!$BH$9:$BK$62,2,0)=0,"0",VLOOKUP(B24,'5ème J.'!$BH$9:$BK$62,2,0)))</f>
        <v>9</v>
      </c>
      <c r="T24" s="212">
        <f>IF(ISNA(VLOOKUP(B24,'5ème J.'!$BH$9:$BK$62,3,0))," ",IF(VLOOKUP(B24,'5ème J.'!$BH$9:$BK$62,3,0)=0,"0",VLOOKUP(B24,'5ème J.'!$BH$9:$BK$62,3,0)))</f>
        <v>17</v>
      </c>
      <c r="U24" s="212">
        <f>IF(ISNA(VLOOKUP(B24,'5ème J.'!$BH$9:$BK$62,4,0))," ",IF(VLOOKUP(B24,'5ème J.'!$BH$9:$BK$62,4,0)=0,"0",VLOOKUP(B24,'5ème J.'!$BH$9:$BK$62,4,0)))</f>
        <v>29</v>
      </c>
      <c r="V24" s="257"/>
      <c r="W24" s="212">
        <f>IF(ISNA(VLOOKUP(B24,'6ème J.'!$BH$9:$BK$62,2,0))," ",IF(VLOOKUP(B24,'6ème J.'!$BH$9:$BK$62,2,0)=0,"0",VLOOKUP(B24,'6ème J.'!$BH$9:$BK$62,2,0)))</f>
        <v>5</v>
      </c>
      <c r="X24" s="212">
        <f>IF(ISNA(VLOOKUP(B24,'6ème J.'!$BH$9:$BK$62,3,0))," ",IF(VLOOKUP(B24,'6ème J.'!$BH$9:$BK$62,3,0)=0,"0",VLOOKUP(B24,'6ème J.'!$BH$9:$BK$62,3,0)))</f>
        <v>1</v>
      </c>
      <c r="Y24" s="212">
        <f>IF(ISNA(VLOOKUP(B24,'6ème J.'!$BH$9:$BK$62,4,0))," ",IF(VLOOKUP(B24,'6ème J.'!$BH$9:$BK$62,4,0)=0,"0",VLOOKUP(B24,'6ème J.'!$BH$9:$BK$62,4,0)))</f>
        <v>23</v>
      </c>
      <c r="Z24"/>
      <c r="AA24" s="289" t="str">
        <f t="shared" si="0"/>
        <v>B1</v>
      </c>
      <c r="AB24" s="216">
        <f t="shared" si="5"/>
        <v>29</v>
      </c>
      <c r="AC24" s="213">
        <f t="shared" si="6"/>
        <v>14</v>
      </c>
      <c r="AD24" s="290">
        <f t="shared" si="7"/>
        <v>98</v>
      </c>
      <c r="AE24" s="214">
        <f t="shared" si="8"/>
        <v>18.850200239999999</v>
      </c>
      <c r="AF24" s="215">
        <f>IF(AB24="","",SMALL(AE$6:AE$59,ROWS(AB$6:AB24)))</f>
        <v>18.850200239999999</v>
      </c>
      <c r="AG24" s="215"/>
      <c r="AH24" s="261">
        <f>IF(AF24="","",IF(AND(AJ23=AJ24,AK23=AK24,AL24=AL23),AH23,$AH$6+18))</f>
        <v>19</v>
      </c>
      <c r="AI24" s="216" t="str">
        <f t="shared" si="1"/>
        <v>B1</v>
      </c>
      <c r="AJ24" s="216">
        <f t="shared" si="2"/>
        <v>29</v>
      </c>
      <c r="AK24" s="263">
        <f t="shared" si="3"/>
        <v>14</v>
      </c>
      <c r="AL24" s="266">
        <f t="shared" si="4"/>
        <v>98</v>
      </c>
      <c r="AN24" s="218">
        <v>19</v>
      </c>
    </row>
    <row r="25" spans="1:40" x14ac:dyDescent="0.3">
      <c r="A25" s="296">
        <v>20</v>
      </c>
      <c r="B25" s="293" t="str">
        <f>+Inscrits!D4</f>
        <v>B2</v>
      </c>
      <c r="C25" s="212">
        <f>IF(ISNA(VLOOKUP(B25,'1ère J.'!$BH$9:$BK$62,2,0))," ",IF(VLOOKUP(B25,'1ère J.'!$BH$9:$BK$62,2,0)=0,"0",VLOOKUP(B25,'1ère J.'!$BH$9:$BK$62,2,0)))</f>
        <v>3</v>
      </c>
      <c r="D25" s="212">
        <f>IF(ISNA(VLOOKUP(B25,'1ère J.'!$BH$9:$BK$62,3,0))," ",IF(VLOOKUP(B25,'1ère J.'!$BH$9:$BK$62,3,0)=0,"0",VLOOKUP(B25,'1ère J.'!$BH$9:$BK$62,3,0)))</f>
        <v>1</v>
      </c>
      <c r="E25" s="212">
        <f>IF(ISNA(VLOOKUP(B25,'1ère J.'!$BH$9:$BK$62,4,0))," ",IF(VLOOKUP(B25,'1ère J.'!$BH$9:$BK$62,4,0)=0,"0",VLOOKUP(B25,'1ère J.'!$BH$9:$BK$62,4,0)))</f>
        <v>6</v>
      </c>
      <c r="F25" s="257"/>
      <c r="G25" s="212">
        <f>IF(ISNA(VLOOKUP(B25,'2ème J.'!$BH$9:$BK$62,2,0))," ",IF(VLOOKUP(B25,'2ème J.'!$BH$9:$BK$62,2,0)=0,"0",VLOOKUP(B25,'2ème J.'!$BH$9:$BK$62,2,0)))</f>
        <v>6</v>
      </c>
      <c r="H25" s="212">
        <f>IF(ISNA(VLOOKUP(B25,'2ème J.'!$BH$9:$BK$62,3,0))," ",IF(VLOOKUP(B25,'2ème J.'!$BH$9:$BK$62,3,0)=0,"0",VLOOKUP(B25,'2ème J.'!$BH$9:$BK$62,3,0)))</f>
        <v>4</v>
      </c>
      <c r="I25" s="212">
        <f>IF(ISNA(VLOOKUP(B25,'2ème J.'!$BH$9:$BK$62,4,0))," ",IF(VLOOKUP(B25,'2ème J.'!$BH$9:$BK$62,4,0)=0,"0",VLOOKUP(B25,'2ème J.'!$BH$9:$BK$62,4,0)))</f>
        <v>16</v>
      </c>
      <c r="J25" s="272"/>
      <c r="K25" s="212">
        <f>IF(ISNA(VLOOKUP(B25,'3ème J.'!$BH$9:$BK$62,2,0))," ",IF(VLOOKUP(B25,'3ème J.'!$BH$9:$BK$62,2,0)=0,"0",VLOOKUP(B25,'3ème J.'!$BH$9:$BK$62,2,0)))</f>
        <v>7</v>
      </c>
      <c r="L25" s="212">
        <f>IF(ISNA(VLOOKUP(B25,'3ème J.'!$BH$9:$BK$62,3,0))," ",IF(VLOOKUP(B25,'3ème J.'!$BH$9:$BK$62,3,0)=0,"0",VLOOKUP(B25,'3ème J.'!$BH$9:$BK$62,3,0)))</f>
        <v>2</v>
      </c>
      <c r="M25" s="212">
        <f>IF(ISNA(VLOOKUP(B25,'3ème J.'!$BH$9:$BK$62,4,0))," ",IF(VLOOKUP(B25,'3ème J.'!$BH$9:$BK$62,4,0)=0,"0",VLOOKUP(B25,'3ème J.'!$BH$9:$BK$62,4,0)))</f>
        <v>27</v>
      </c>
      <c r="N25" s="272"/>
      <c r="O25" s="212">
        <f>IF(ISNA(VLOOKUP(B25,'4ème J.'!$BH$9:$BK$62,2,0))," ",IF(VLOOKUP(B25,'4ème J.'!$BH$9:$BK$62,2,0)=0,"0",VLOOKUP(B25,'4ème J.'!$BH$9:$BK$62,2,0)))</f>
        <v>4</v>
      </c>
      <c r="P25" s="212">
        <f>IF(ISNA(VLOOKUP(B25,'4ème J.'!$BH$9:$BK$62,3,0))," ",IF(VLOOKUP(B25,'4ème J.'!$BH$9:$BK$62,3,0)=0,"0",VLOOKUP(B25,'4ème J.'!$BH$9:$BK$62,3,0)))</f>
        <v>-8</v>
      </c>
      <c r="Q25" s="212">
        <f>IF(ISNA(VLOOKUP(B25,'4ème J.'!$BH$9:$BK$62,4,0))," ",IF(VLOOKUP(B25,'4ème J.'!$BH$9:$BK$62,4,0)=0,"0",VLOOKUP(B25,'4ème J.'!$BH$9:$BK$62,4,0)))</f>
        <v>11</v>
      </c>
      <c r="R25" s="257"/>
      <c r="S25" s="212">
        <f>IF(ISNA(VLOOKUP(B25,'5ème J.'!$BH$9:$BK$62,2,0))," ",IF(VLOOKUP(B25,'5ème J.'!$BH$9:$BK$62,2,0)=0,"0",VLOOKUP(B25,'5ème J.'!$BH$9:$BK$62,2,0)))</f>
        <v>3</v>
      </c>
      <c r="T25" s="212">
        <f>IF(ISNA(VLOOKUP(B25,'5ème J.'!$BH$9:$BK$62,3,0))," ",IF(VLOOKUP(B25,'5ème J.'!$BH$9:$BK$62,3,0)=0,"0",VLOOKUP(B25,'5ème J.'!$BH$9:$BK$62,3,0)))</f>
        <v>-17</v>
      </c>
      <c r="U25" s="212">
        <f>IF(ISNA(VLOOKUP(B25,'5ème J.'!$BH$9:$BK$62,4,0))," ",IF(VLOOKUP(B25,'5ème J.'!$BH$9:$BK$62,4,0)=0,"0",VLOOKUP(B25,'5ème J.'!$BH$9:$BK$62,4,0)))</f>
        <v>12</v>
      </c>
      <c r="V25" s="257"/>
      <c r="W25" s="212">
        <f>IF(ISNA(VLOOKUP(B25,'6ème J.'!$BH$9:$BK$62,2,0))," ",IF(VLOOKUP(B25,'6ème J.'!$BH$9:$BK$62,2,0)=0,"0",VLOOKUP(B25,'6ème J.'!$BH$9:$BK$62,2,0)))</f>
        <v>7</v>
      </c>
      <c r="X25" s="212">
        <f>IF(ISNA(VLOOKUP(B25,'6ème J.'!$BH$9:$BK$62,3,0))," ",IF(VLOOKUP(B25,'6ème J.'!$BH$9:$BK$62,3,0)=0,"0",VLOOKUP(B25,'6ème J.'!$BH$9:$BK$62,3,0)))</f>
        <v>-1</v>
      </c>
      <c r="Y25" s="212">
        <f>IF(ISNA(VLOOKUP(B25,'6ème J.'!$BH$9:$BK$62,4,0))," ",IF(VLOOKUP(B25,'6ème J.'!$BH$9:$BK$62,4,0)=0,"0",VLOOKUP(B25,'6ème J.'!$BH$9:$BK$62,4,0)))</f>
        <v>22</v>
      </c>
      <c r="Z25"/>
      <c r="AA25" s="289" t="str">
        <f t="shared" si="0"/>
        <v>B2</v>
      </c>
      <c r="AB25" s="216">
        <f t="shared" si="5"/>
        <v>30</v>
      </c>
      <c r="AC25" s="213">
        <f t="shared" si="6"/>
        <v>-19</v>
      </c>
      <c r="AD25" s="290">
        <f t="shared" si="7"/>
        <v>94</v>
      </c>
      <c r="AE25" s="214">
        <f t="shared" si="8"/>
        <v>16.180600250000001</v>
      </c>
      <c r="AF25" s="215">
        <f>IF(AB25="","",SMALL(AE$6:AE$59,ROWS(AB$6:AB25)))</f>
        <v>19.909300060000003</v>
      </c>
      <c r="AG25" s="215"/>
      <c r="AH25" s="261">
        <f>IF(AF25="","",IF(AND(AJ24=AJ25,AK24=AK25,AL25=AL24),AH24,$AH$6+19))</f>
        <v>20</v>
      </c>
      <c r="AI25" s="216" t="str">
        <f t="shared" si="1"/>
        <v>A1</v>
      </c>
      <c r="AJ25" s="216">
        <f t="shared" si="2"/>
        <v>28</v>
      </c>
      <c r="AK25" s="263">
        <f t="shared" si="3"/>
        <v>8</v>
      </c>
      <c r="AL25" s="266">
        <f t="shared" si="4"/>
        <v>107</v>
      </c>
      <c r="AN25" s="218">
        <v>20</v>
      </c>
    </row>
    <row r="26" spans="1:40" x14ac:dyDescent="0.3">
      <c r="A26" s="296">
        <v>21</v>
      </c>
      <c r="B26" s="293" t="str">
        <f>+Inscrits!D5</f>
        <v>B3</v>
      </c>
      <c r="C26" s="212">
        <f>IF(ISNA(VLOOKUP(B26,'1ère J.'!$BH$9:$BK$62,2,0))," ",IF(VLOOKUP(B26,'1ère J.'!$BH$9:$BK$62,2,0)=0,"0",VLOOKUP(B26,'1ère J.'!$BH$9:$BK$62,2,0)))</f>
        <v>4</v>
      </c>
      <c r="D26" s="212">
        <f>IF(ISNA(VLOOKUP(B26,'1ère J.'!$BH$9:$BK$62,3,0))," ",IF(VLOOKUP(B26,'1ère J.'!$BH$9:$BK$62,3,0)=0,"0",VLOOKUP(B26,'1ère J.'!$BH$9:$BK$62,3,0)))</f>
        <v>1</v>
      </c>
      <c r="E26" s="212">
        <f>IF(ISNA(VLOOKUP(B26,'1ère J.'!$BH$9:$BK$62,4,0))," ",IF(VLOOKUP(B26,'1ère J.'!$BH$9:$BK$62,4,0)=0,"0",VLOOKUP(B26,'1ère J.'!$BH$9:$BK$62,4,0)))</f>
        <v>17</v>
      </c>
      <c r="F26" s="257"/>
      <c r="G26" s="212">
        <f>IF(ISNA(VLOOKUP(B26,'2ème J.'!$BH$9:$BK$62,2,0))," ",IF(VLOOKUP(B26,'2ème J.'!$BH$9:$BK$62,2,0)=0,"0",VLOOKUP(B26,'2ème J.'!$BH$9:$BK$62,2,0)))</f>
        <v>5</v>
      </c>
      <c r="H26" s="212">
        <f>IF(ISNA(VLOOKUP(B26,'2ème J.'!$BH$9:$BK$62,3,0))," ",IF(VLOOKUP(B26,'2ème J.'!$BH$9:$BK$62,3,0)=0,"0",VLOOKUP(B26,'2ème J.'!$BH$9:$BK$62,3,0)))</f>
        <v>6</v>
      </c>
      <c r="I26" s="212">
        <f>IF(ISNA(VLOOKUP(B26,'2ème J.'!$BH$9:$BK$62,4,0))," ",IF(VLOOKUP(B26,'2ème J.'!$BH$9:$BK$62,4,0)=0,"0",VLOOKUP(B26,'2ème J.'!$BH$9:$BK$62,4,0)))</f>
        <v>25</v>
      </c>
      <c r="J26" s="272"/>
      <c r="K26" s="212">
        <f>IF(ISNA(VLOOKUP(B26,'3ème J.'!$BH$9:$BK$62,2,0))," ",IF(VLOOKUP(B26,'3ème J.'!$BH$9:$BK$62,2,0)=0,"0",VLOOKUP(B26,'3ème J.'!$BH$9:$BK$62,2,0)))</f>
        <v>9</v>
      </c>
      <c r="L26" s="212">
        <f>IF(ISNA(VLOOKUP(B26,'3ème J.'!$BH$9:$BK$62,3,0))," ",IF(VLOOKUP(B26,'3ème J.'!$BH$9:$BK$62,3,0)=0,"0",VLOOKUP(B26,'3ème J.'!$BH$9:$BK$62,3,0)))</f>
        <v>15</v>
      </c>
      <c r="M26" s="212">
        <f>IF(ISNA(VLOOKUP(B26,'3ème J.'!$BH$9:$BK$62,4,0))," ",IF(VLOOKUP(B26,'3ème J.'!$BH$9:$BK$62,4,0)=0,"0",VLOOKUP(B26,'3ème J.'!$BH$9:$BK$62,4,0)))</f>
        <v>30</v>
      </c>
      <c r="N26" s="272"/>
      <c r="O26" s="212">
        <f>IF(ISNA(VLOOKUP(B26,'4ème J.'!$BH$9:$BK$62,2,0))," ",IF(VLOOKUP(B26,'4ème J.'!$BH$9:$BK$62,2,0)=0,"0",VLOOKUP(B26,'4ème J.'!$BH$9:$BK$62,2,0)))</f>
        <v>7</v>
      </c>
      <c r="P26" s="212">
        <f>IF(ISNA(VLOOKUP(B26,'4ème J.'!$BH$9:$BK$62,3,0))," ",IF(VLOOKUP(B26,'4ème J.'!$BH$9:$BK$62,3,0)=0,"0",VLOOKUP(B26,'4ème J.'!$BH$9:$BK$62,3,0)))</f>
        <v>3</v>
      </c>
      <c r="Q26" s="212">
        <f>IF(ISNA(VLOOKUP(B26,'4ème J.'!$BH$9:$BK$62,4,0))," ",IF(VLOOKUP(B26,'4ème J.'!$BH$9:$BK$62,4,0)=0,"0",VLOOKUP(B26,'4ème J.'!$BH$9:$BK$62,4,0)))</f>
        <v>18</v>
      </c>
      <c r="R26" s="257"/>
      <c r="S26" s="212">
        <f>IF(ISNA(VLOOKUP(B26,'5ème J.'!$BH$9:$BK$62,2,0))," ",IF(VLOOKUP(B26,'5ème J.'!$BH$9:$BK$62,2,0)=0,"0",VLOOKUP(B26,'5ème J.'!$BH$9:$BK$62,2,0)))</f>
        <v>5</v>
      </c>
      <c r="T26" s="212">
        <f>IF(ISNA(VLOOKUP(B26,'5ème J.'!$BH$9:$BK$62,3,0))," ",IF(VLOOKUP(B26,'5ème J.'!$BH$9:$BK$62,3,0)=0,"0",VLOOKUP(B26,'5ème J.'!$BH$9:$BK$62,3,0)))</f>
        <v>-2</v>
      </c>
      <c r="U26" s="212">
        <f>IF(ISNA(VLOOKUP(B26,'5ème J.'!$BH$9:$BK$62,4,0))," ",IF(VLOOKUP(B26,'5ème J.'!$BH$9:$BK$62,4,0)=0,"0",VLOOKUP(B26,'5ème J.'!$BH$9:$BK$62,4,0)))</f>
        <v>19</v>
      </c>
      <c r="V26" s="257"/>
      <c r="W26" s="212">
        <f>IF(ISNA(VLOOKUP(B26,'6ème J.'!$BH$9:$BK$62,2,0))," ",IF(VLOOKUP(B26,'6ème J.'!$BH$9:$BK$62,2,0)=0,"0",VLOOKUP(B26,'6ème J.'!$BH$9:$BK$62,2,0)))</f>
        <v>7</v>
      </c>
      <c r="X26" s="212" t="str">
        <f>IF(ISNA(VLOOKUP(B26,'6ème J.'!$BH$9:$BK$62,3,0))," ",IF(VLOOKUP(B26,'6ème J.'!$BH$9:$BK$62,3,0)=0,"0",VLOOKUP(B26,'6ème J.'!$BH$9:$BK$62,3,0)))</f>
        <v>0</v>
      </c>
      <c r="Y26" s="212">
        <f>IF(ISNA(VLOOKUP(B26,'6ème J.'!$BH$9:$BK$62,4,0))," ",IF(VLOOKUP(B26,'6ème J.'!$BH$9:$BK$62,4,0)=0,"0",VLOOKUP(B26,'6ème J.'!$BH$9:$BK$62,4,0)))</f>
        <v>29</v>
      </c>
      <c r="Z26"/>
      <c r="AA26" s="289" t="str">
        <f t="shared" si="0"/>
        <v>B3</v>
      </c>
      <c r="AB26" s="216">
        <f t="shared" si="5"/>
        <v>37</v>
      </c>
      <c r="AC26" s="213">
        <f t="shared" si="6"/>
        <v>23</v>
      </c>
      <c r="AD26" s="290">
        <f t="shared" si="7"/>
        <v>138</v>
      </c>
      <c r="AE26" s="214">
        <f t="shared" si="8"/>
        <v>4.75620026</v>
      </c>
      <c r="AF26" s="215">
        <f>IF(AB26="","",SMALL(AE$6:AE$59,ROWS(AB$6:AB26)))</f>
        <v>20.18240012</v>
      </c>
      <c r="AG26" s="215"/>
      <c r="AH26" s="261">
        <f>IF(AF26="","",IF(AND(AJ25=AJ26,AK25=AK26,AL26=AL25),AH25,$AH$6+20))</f>
        <v>21</v>
      </c>
      <c r="AI26" s="216" t="str">
        <f t="shared" si="1"/>
        <v>A7</v>
      </c>
      <c r="AJ26" s="216">
        <f t="shared" si="2"/>
        <v>28</v>
      </c>
      <c r="AK26" s="263">
        <f t="shared" si="3"/>
        <v>-19</v>
      </c>
      <c r="AL26" s="266">
        <f t="shared" si="4"/>
        <v>76</v>
      </c>
      <c r="AN26" s="218">
        <v>21</v>
      </c>
    </row>
    <row r="27" spans="1:40" x14ac:dyDescent="0.3">
      <c r="A27" s="296">
        <v>22</v>
      </c>
      <c r="B27" s="293" t="str">
        <f>+Inscrits!D6</f>
        <v>B4</v>
      </c>
      <c r="C27" s="212">
        <f>IF(ISNA(VLOOKUP(B27,'1ère J.'!$BH$9:$BK$62,2,0))," ",IF(VLOOKUP(B27,'1ère J.'!$BH$9:$BK$62,2,0)=0,"0",VLOOKUP(B27,'1ère J.'!$BH$9:$BK$62,2,0)))</f>
        <v>4</v>
      </c>
      <c r="D27" s="212">
        <f>IF(ISNA(VLOOKUP(B27,'1ère J.'!$BH$9:$BK$62,3,0))," ",IF(VLOOKUP(B27,'1ère J.'!$BH$9:$BK$62,3,0)=0,"0",VLOOKUP(B27,'1ère J.'!$BH$9:$BK$62,3,0)))</f>
        <v>-1</v>
      </c>
      <c r="E27" s="212">
        <f>IF(ISNA(VLOOKUP(B27,'1ère J.'!$BH$9:$BK$62,4,0))," ",IF(VLOOKUP(B27,'1ère J.'!$BH$9:$BK$62,4,0)=0,"0",VLOOKUP(B27,'1ère J.'!$BH$9:$BK$62,4,0)))</f>
        <v>16</v>
      </c>
      <c r="F27" s="257"/>
      <c r="G27" s="212">
        <f>IF(ISNA(VLOOKUP(B27,'2ème J.'!$BH$9:$BK$62,2,0))," ",IF(VLOOKUP(B27,'2ème J.'!$BH$9:$BK$62,2,0)=0,"0",VLOOKUP(B27,'2ème J.'!$BH$9:$BK$62,2,0)))</f>
        <v>7</v>
      </c>
      <c r="H27" s="212">
        <f>IF(ISNA(VLOOKUP(B27,'2ème J.'!$BH$9:$BK$62,3,0))," ",IF(VLOOKUP(B27,'2ème J.'!$BH$9:$BK$62,3,0)=0,"0",VLOOKUP(B27,'2ème J.'!$BH$9:$BK$62,3,0)))</f>
        <v>4</v>
      </c>
      <c r="I27" s="212">
        <f>IF(ISNA(VLOOKUP(B27,'2ème J.'!$BH$9:$BK$62,4,0))," ",IF(VLOOKUP(B27,'2ème J.'!$BH$9:$BK$62,4,0)=0,"0",VLOOKUP(B27,'2ème J.'!$BH$9:$BK$62,4,0)))</f>
        <v>26</v>
      </c>
      <c r="J27" s="272"/>
      <c r="K27" s="212">
        <f>IF(ISNA(VLOOKUP(B27,'3ème J.'!$BH$9:$BK$62,2,0))," ",IF(VLOOKUP(B27,'3ème J.'!$BH$9:$BK$62,2,0)=0,"0",VLOOKUP(B27,'3ème J.'!$BH$9:$BK$62,2,0)))</f>
        <v>3</v>
      </c>
      <c r="L27" s="212">
        <f>IF(ISNA(VLOOKUP(B27,'3ème J.'!$BH$9:$BK$62,3,0))," ",IF(VLOOKUP(B27,'3ème J.'!$BH$9:$BK$62,3,0)=0,"0",VLOOKUP(B27,'3ème J.'!$BH$9:$BK$62,3,0)))</f>
        <v>-10</v>
      </c>
      <c r="M27" s="212">
        <f>IF(ISNA(VLOOKUP(B27,'3ème J.'!$BH$9:$BK$62,4,0))," ",IF(VLOOKUP(B27,'3ème J.'!$BH$9:$BK$62,4,0)=0,"0",VLOOKUP(B27,'3ème J.'!$BH$9:$BK$62,4,0)))</f>
        <v>19</v>
      </c>
      <c r="N27" s="272"/>
      <c r="O27" s="212">
        <f>IF(ISNA(VLOOKUP(B27,'4ème J.'!$BH$9:$BK$62,2,0))," ",IF(VLOOKUP(B27,'4ème J.'!$BH$9:$BK$62,2,0)=0,"0",VLOOKUP(B27,'4ème J.'!$BH$9:$BK$62,2,0)))</f>
        <v>5</v>
      </c>
      <c r="P27" s="212">
        <f>IF(ISNA(VLOOKUP(B27,'4ème J.'!$BH$9:$BK$62,3,0))," ",IF(VLOOKUP(B27,'4ème J.'!$BH$9:$BK$62,3,0)=0,"0",VLOOKUP(B27,'4ème J.'!$BH$9:$BK$62,3,0)))</f>
        <v>-1</v>
      </c>
      <c r="Q27" s="212">
        <f>IF(ISNA(VLOOKUP(B27,'4ème J.'!$BH$9:$BK$62,4,0))," ",IF(VLOOKUP(B27,'4ème J.'!$BH$9:$BK$62,4,0)=0,"0",VLOOKUP(B27,'4ème J.'!$BH$9:$BK$62,4,0)))</f>
        <v>19</v>
      </c>
      <c r="R27" s="257"/>
      <c r="S27" s="212">
        <f>IF(ISNA(VLOOKUP(B27,'5ème J.'!$BH$9:$BK$62,2,0))," ",IF(VLOOKUP(B27,'5ème J.'!$BH$9:$BK$62,2,0)=0,"0",VLOOKUP(B27,'5ème J.'!$BH$9:$BK$62,2,0)))</f>
        <v>7</v>
      </c>
      <c r="T27" s="212">
        <f>IF(ISNA(VLOOKUP(B27,'5ème J.'!$BH$9:$BK$62,3,0))," ",IF(VLOOKUP(B27,'5ème J.'!$BH$9:$BK$62,3,0)=0,"0",VLOOKUP(B27,'5ème J.'!$BH$9:$BK$62,3,0)))</f>
        <v>2</v>
      </c>
      <c r="U27" s="212">
        <f>IF(ISNA(VLOOKUP(B27,'5ème J.'!$BH$9:$BK$62,4,0))," ",IF(VLOOKUP(B27,'5ème J.'!$BH$9:$BK$62,4,0)=0,"0",VLOOKUP(B27,'5ème J.'!$BH$9:$BK$62,4,0)))</f>
        <v>21</v>
      </c>
      <c r="V27" s="257"/>
      <c r="W27" s="212">
        <f>IF(ISNA(VLOOKUP(B27,'6ème J.'!$BH$9:$BK$62,2,0))," ",IF(VLOOKUP(B27,'6ème J.'!$BH$9:$BK$62,2,0)=0,"0",VLOOKUP(B27,'6ème J.'!$BH$9:$BK$62,2,0)))</f>
        <v>5</v>
      </c>
      <c r="X27" s="212" t="str">
        <f>IF(ISNA(VLOOKUP(B27,'6ème J.'!$BH$9:$BK$62,3,0))," ",IF(VLOOKUP(B27,'6ème J.'!$BH$9:$BK$62,3,0)=0,"0",VLOOKUP(B27,'6ème J.'!$BH$9:$BK$62,3,0)))</f>
        <v>0</v>
      </c>
      <c r="Y27" s="212">
        <f>IF(ISNA(VLOOKUP(B27,'6ème J.'!$BH$9:$BK$62,4,0))," ",IF(VLOOKUP(B27,'6ème J.'!$BH$9:$BK$62,4,0)=0,"0",VLOOKUP(B27,'6ème J.'!$BH$9:$BK$62,4,0)))</f>
        <v>29</v>
      </c>
      <c r="Z27"/>
      <c r="AA27" s="289" t="str">
        <f t="shared" si="0"/>
        <v>B4</v>
      </c>
      <c r="AB27" s="216">
        <f t="shared" si="5"/>
        <v>31</v>
      </c>
      <c r="AC27" s="213">
        <f t="shared" si="6"/>
        <v>-6</v>
      </c>
      <c r="AD27" s="290">
        <f t="shared" si="7"/>
        <v>130</v>
      </c>
      <c r="AE27" s="214">
        <f t="shared" si="8"/>
        <v>11.04700027</v>
      </c>
      <c r="AF27" s="215">
        <f>IF(AB27="","",SMALL(AE$6:AE$59,ROWS(AB$6:AB27)))</f>
        <v>21.843700140000003</v>
      </c>
      <c r="AG27" s="215"/>
      <c r="AH27" s="261">
        <f>IF(AF27="","",IF(AND(AJ26=AJ27,AK26=AK27,AL27=AL26),AH26,$AH$6+21))</f>
        <v>22</v>
      </c>
      <c r="AI27" s="216" t="str">
        <f t="shared" si="1"/>
        <v>A9</v>
      </c>
      <c r="AJ27" s="216">
        <f t="shared" si="2"/>
        <v>26</v>
      </c>
      <c r="AK27" s="263">
        <f t="shared" si="3"/>
        <v>15</v>
      </c>
      <c r="AL27" s="266">
        <f t="shared" si="4"/>
        <v>63</v>
      </c>
      <c r="AN27" s="218">
        <v>22</v>
      </c>
    </row>
    <row r="28" spans="1:40" x14ac:dyDescent="0.3">
      <c r="A28" s="296">
        <v>23</v>
      </c>
      <c r="B28" s="293" t="str">
        <f>+Inscrits!D7</f>
        <v>B5</v>
      </c>
      <c r="C28" s="212">
        <f>IF(ISNA(VLOOKUP(B28,'1ère J.'!$BH$9:$BK$62,2,0))," ",IF(VLOOKUP(B28,'1ère J.'!$BH$9:$BK$62,2,0)=0,"0",VLOOKUP(B28,'1ère J.'!$BH$9:$BK$62,2,0)))</f>
        <v>2</v>
      </c>
      <c r="D28" s="212">
        <f>IF(ISNA(VLOOKUP(B28,'1ère J.'!$BH$9:$BK$62,3,0))," ",IF(VLOOKUP(B28,'1ère J.'!$BH$9:$BK$62,3,0)=0,"0",VLOOKUP(B28,'1ère J.'!$BH$9:$BK$62,3,0)))</f>
        <v>-8</v>
      </c>
      <c r="E28" s="212">
        <f>IF(ISNA(VLOOKUP(B28,'1ère J.'!$BH$9:$BK$62,4,0))," ",IF(VLOOKUP(B28,'1ère J.'!$BH$9:$BK$62,4,0)=0,"0",VLOOKUP(B28,'1ère J.'!$BH$9:$BK$62,4,0)))</f>
        <v>9</v>
      </c>
      <c r="F28" s="257"/>
      <c r="G28" s="212">
        <f>IF(ISNA(VLOOKUP(B28,'2ème J.'!$BH$9:$BK$62,2,0))," ",IF(VLOOKUP(B28,'2ème J.'!$BH$9:$BK$62,2,0)=0,"0",VLOOKUP(B28,'2ème J.'!$BH$9:$BK$62,2,0)))</f>
        <v>7</v>
      </c>
      <c r="H28" s="212">
        <f>IF(ISNA(VLOOKUP(B28,'2ème J.'!$BH$9:$BK$62,3,0))," ",IF(VLOOKUP(B28,'2ème J.'!$BH$9:$BK$62,3,0)=0,"0",VLOOKUP(B28,'2ème J.'!$BH$9:$BK$62,3,0)))</f>
        <v>5</v>
      </c>
      <c r="I28" s="212">
        <f>IF(ISNA(VLOOKUP(B28,'2ème J.'!$BH$9:$BK$62,4,0))," ",IF(VLOOKUP(B28,'2ème J.'!$BH$9:$BK$62,4,0)=0,"0",VLOOKUP(B28,'2ème J.'!$BH$9:$BK$62,4,0)))</f>
        <v>24</v>
      </c>
      <c r="J28" s="272"/>
      <c r="K28" s="212">
        <f>IF(ISNA(VLOOKUP(B28,'3ème J.'!$BH$9:$BK$62,2,0))," ",IF(VLOOKUP(B28,'3ème J.'!$BH$9:$BK$62,2,0)=0,"0",VLOOKUP(B28,'3ème J.'!$BH$9:$BK$62,2,0)))</f>
        <v>5</v>
      </c>
      <c r="L28" s="212">
        <f>IF(ISNA(VLOOKUP(B28,'3ème J.'!$BH$9:$BK$62,3,0))," ",IF(VLOOKUP(B28,'3ème J.'!$BH$9:$BK$62,3,0)=0,"0",VLOOKUP(B28,'3ème J.'!$BH$9:$BK$62,3,0)))</f>
        <v>-11</v>
      </c>
      <c r="M28" s="212">
        <f>IF(ISNA(VLOOKUP(B28,'3ème J.'!$BH$9:$BK$62,4,0))," ",IF(VLOOKUP(B28,'3ème J.'!$BH$9:$BK$62,4,0)=0,"0",VLOOKUP(B28,'3ème J.'!$BH$9:$BK$62,4,0)))</f>
        <v>16</v>
      </c>
      <c r="N28" s="272"/>
      <c r="O28" s="212">
        <f>IF(ISNA(VLOOKUP(B28,'4ème J.'!$BH$9:$BK$62,2,0))," ",IF(VLOOKUP(B28,'4ème J.'!$BH$9:$BK$62,2,0)=0,"0",VLOOKUP(B28,'4ème J.'!$BH$9:$BK$62,2,0)))</f>
        <v>9</v>
      </c>
      <c r="P28" s="212">
        <f>IF(ISNA(VLOOKUP(B28,'4ème J.'!$BH$9:$BK$62,3,0))," ",IF(VLOOKUP(B28,'4ème J.'!$BH$9:$BK$62,3,0)=0,"0",VLOOKUP(B28,'4ème J.'!$BH$9:$BK$62,3,0)))</f>
        <v>8</v>
      </c>
      <c r="Q28" s="212">
        <f>IF(ISNA(VLOOKUP(B28,'4ème J.'!$BH$9:$BK$62,4,0))," ",IF(VLOOKUP(B28,'4ème J.'!$BH$9:$BK$62,4,0)=0,"0",VLOOKUP(B28,'4ème J.'!$BH$9:$BK$62,4,0)))</f>
        <v>17</v>
      </c>
      <c r="R28" s="257"/>
      <c r="S28" s="212">
        <f>IF(ISNA(VLOOKUP(B28,'5ème J.'!$BH$9:$BK$62,2,0))," ",IF(VLOOKUP(B28,'5ème J.'!$BH$9:$BK$62,2,0)=0,"0",VLOOKUP(B28,'5ème J.'!$BH$9:$BK$62,2,0)))</f>
        <v>3</v>
      </c>
      <c r="T28" s="212">
        <f>IF(ISNA(VLOOKUP(B28,'5ème J.'!$BH$9:$BK$62,3,0))," ",IF(VLOOKUP(B28,'5ème J.'!$BH$9:$BK$62,3,0)=0,"0",VLOOKUP(B28,'5ème J.'!$BH$9:$BK$62,3,0)))</f>
        <v>-15</v>
      </c>
      <c r="U28" s="212">
        <f>IF(ISNA(VLOOKUP(B28,'5ème J.'!$BH$9:$BK$62,4,0))," ",IF(VLOOKUP(B28,'5ème J.'!$BH$9:$BK$62,4,0)=0,"0",VLOOKUP(B28,'5ème J.'!$BH$9:$BK$62,4,0)))</f>
        <v>11</v>
      </c>
      <c r="V28" s="257"/>
      <c r="W28" s="212">
        <f>IF(ISNA(VLOOKUP(B28,'6ème J.'!$BH$9:$BK$62,2,0))," ",IF(VLOOKUP(B28,'6ème J.'!$BH$9:$BK$62,2,0)=0,"0",VLOOKUP(B28,'6ème J.'!$BH$9:$BK$62,2,0)))</f>
        <v>7</v>
      </c>
      <c r="X28" s="212">
        <f>IF(ISNA(VLOOKUP(B28,'6ème J.'!$BH$9:$BK$62,3,0))," ",IF(VLOOKUP(B28,'6ème J.'!$BH$9:$BK$62,3,0)=0,"0",VLOOKUP(B28,'6ème J.'!$BH$9:$BK$62,3,0)))</f>
        <v>6</v>
      </c>
      <c r="Y28" s="212">
        <f>IF(ISNA(VLOOKUP(B28,'6ème J.'!$BH$9:$BK$62,4,0))," ",IF(VLOOKUP(B28,'6ème J.'!$BH$9:$BK$62,4,0)=0,"0",VLOOKUP(B28,'6ème J.'!$BH$9:$BK$62,4,0)))</f>
        <v>27</v>
      </c>
      <c r="Z28"/>
      <c r="AA28" s="289" t="str">
        <f t="shared" si="0"/>
        <v>B5</v>
      </c>
      <c r="AB28" s="216">
        <f t="shared" si="5"/>
        <v>33</v>
      </c>
      <c r="AC28" s="213">
        <f t="shared" si="6"/>
        <v>-15</v>
      </c>
      <c r="AD28" s="290">
        <f t="shared" si="7"/>
        <v>104</v>
      </c>
      <c r="AE28" s="214">
        <f t="shared" si="8"/>
        <v>8.1396002799999998</v>
      </c>
      <c r="AF28" s="215">
        <f>IF(AB28="","",SMALL(AE$6:AE$59,ROWS(AB$6:AB28)))</f>
        <v>21.882800320000001</v>
      </c>
      <c r="AG28" s="215"/>
      <c r="AH28" s="261">
        <f>IF(AF28="","",IF(AND(AJ27=AJ28,AK27=AK28,AL28=AL27),AH27,$AH$6+22))</f>
        <v>23</v>
      </c>
      <c r="AI28" s="216" t="str">
        <f t="shared" si="1"/>
        <v>B9</v>
      </c>
      <c r="AJ28" s="216">
        <f t="shared" si="2"/>
        <v>26</v>
      </c>
      <c r="AK28" s="263">
        <f t="shared" si="3"/>
        <v>11</v>
      </c>
      <c r="AL28" s="266">
        <f t="shared" si="4"/>
        <v>72</v>
      </c>
      <c r="AN28" s="218">
        <v>23</v>
      </c>
    </row>
    <row r="29" spans="1:40" x14ac:dyDescent="0.3">
      <c r="A29" s="296">
        <v>24</v>
      </c>
      <c r="B29" s="293" t="str">
        <f>+Inscrits!D8</f>
        <v>B6</v>
      </c>
      <c r="C29" s="212">
        <f>IF(ISNA(VLOOKUP(B29,'1ère J.'!$BH$9:$BK$62,2,0))," ",IF(VLOOKUP(B29,'1ère J.'!$BH$9:$BK$62,2,0)=0,"0",VLOOKUP(B29,'1ère J.'!$BH$9:$BK$62,2,0)))</f>
        <v>6</v>
      </c>
      <c r="D29" s="212">
        <f>IF(ISNA(VLOOKUP(B29,'1ère J.'!$BH$9:$BK$62,3,0))," ",IF(VLOOKUP(B29,'1ère J.'!$BH$9:$BK$62,3,0)=0,"0",VLOOKUP(B29,'1ère J.'!$BH$9:$BK$62,3,0)))</f>
        <v>8</v>
      </c>
      <c r="E29" s="212">
        <f>IF(ISNA(VLOOKUP(B29,'1ère J.'!$BH$9:$BK$62,4,0))," ",IF(VLOOKUP(B29,'1ère J.'!$BH$9:$BK$62,4,0)=0,"0",VLOOKUP(B29,'1ère J.'!$BH$9:$BK$62,4,0)))</f>
        <v>17</v>
      </c>
      <c r="F29" s="257"/>
      <c r="G29" s="212">
        <f>IF(ISNA(VLOOKUP(B29,'2ème J.'!$BH$9:$BK$62,2,0))," ",IF(VLOOKUP(B29,'2ème J.'!$BH$9:$BK$62,2,0)=0,"0",VLOOKUP(B29,'2ème J.'!$BH$9:$BK$62,2,0)))</f>
        <v>3</v>
      </c>
      <c r="H29" s="212">
        <f>IF(ISNA(VLOOKUP(B29,'2ème J.'!$BH$9:$BK$62,3,0))," ",IF(VLOOKUP(B29,'2ème J.'!$BH$9:$BK$62,3,0)=0,"0",VLOOKUP(B29,'2ème J.'!$BH$9:$BK$62,3,0)))</f>
        <v>-18</v>
      </c>
      <c r="I29" s="212">
        <f>IF(ISNA(VLOOKUP(B29,'2ème J.'!$BH$9:$BK$62,4,0))," ",IF(VLOOKUP(B29,'2ème J.'!$BH$9:$BK$62,4,0)=0,"0",VLOOKUP(B29,'2ème J.'!$BH$9:$BK$62,4,0)))</f>
        <v>13</v>
      </c>
      <c r="J29" s="272"/>
      <c r="K29" s="212">
        <f>IF(ISNA(VLOOKUP(B29,'3ème J.'!$BH$9:$BK$62,2,0))," ",IF(VLOOKUP(B29,'3ème J.'!$BH$9:$BK$62,2,0)=0,"0",VLOOKUP(B29,'3ème J.'!$BH$9:$BK$62,2,0)))</f>
        <v>9</v>
      </c>
      <c r="L29" s="212">
        <f>IF(ISNA(VLOOKUP(B29,'3ème J.'!$BH$9:$BK$62,3,0))," ",IF(VLOOKUP(B29,'3ème J.'!$BH$9:$BK$62,3,0)=0,"0",VLOOKUP(B29,'3ème J.'!$BH$9:$BK$62,3,0)))</f>
        <v>19</v>
      </c>
      <c r="M29" s="212">
        <f>IF(ISNA(VLOOKUP(B29,'3ème J.'!$BH$9:$BK$62,4,0))," ",IF(VLOOKUP(B29,'3ème J.'!$BH$9:$BK$62,4,0)=0,"0",VLOOKUP(B29,'3ème J.'!$BH$9:$BK$62,4,0)))</f>
        <v>37</v>
      </c>
      <c r="N29" s="272"/>
      <c r="O29" s="212">
        <f>IF(ISNA(VLOOKUP(B29,'4ème J.'!$BH$9:$BK$62,2,0))," ",IF(VLOOKUP(B29,'4ème J.'!$BH$9:$BK$62,2,0)=0,"0",VLOOKUP(B29,'4ème J.'!$BH$9:$BK$62,2,0)))</f>
        <v>7</v>
      </c>
      <c r="P29" s="212">
        <f>IF(ISNA(VLOOKUP(B29,'4ème J.'!$BH$9:$BK$62,3,0))," ",IF(VLOOKUP(B29,'4ème J.'!$BH$9:$BK$62,3,0)=0,"0",VLOOKUP(B29,'4ème J.'!$BH$9:$BK$62,3,0)))</f>
        <v>4</v>
      </c>
      <c r="Q29" s="212">
        <f>IF(ISNA(VLOOKUP(B29,'4ème J.'!$BH$9:$BK$62,4,0))," ",IF(VLOOKUP(B29,'4ème J.'!$BH$9:$BK$62,4,0)=0,"0",VLOOKUP(B29,'4ème J.'!$BH$9:$BK$62,4,0)))</f>
        <v>15</v>
      </c>
      <c r="R29" s="257"/>
      <c r="S29" s="212">
        <f>IF(ISNA(VLOOKUP(B29,'5ème J.'!$BH$9:$BK$62,2,0))," ",IF(VLOOKUP(B29,'5ème J.'!$BH$9:$BK$62,2,0)=0,"0",VLOOKUP(B29,'5ème J.'!$BH$9:$BK$62,2,0)))</f>
        <v>9</v>
      </c>
      <c r="T29" s="212">
        <f>IF(ISNA(VLOOKUP(B29,'5ème J.'!$BH$9:$BK$62,3,0))," ",IF(VLOOKUP(B29,'5ème J.'!$BH$9:$BK$62,3,0)=0,"0",VLOOKUP(B29,'5ème J.'!$BH$9:$BK$62,3,0)))</f>
        <v>15</v>
      </c>
      <c r="U29" s="212">
        <f>IF(ISNA(VLOOKUP(B29,'5ème J.'!$BH$9:$BK$62,4,0))," ",IF(VLOOKUP(B29,'5ème J.'!$BH$9:$BK$62,4,0)=0,"0",VLOOKUP(B29,'5ème J.'!$BH$9:$BK$62,4,0)))</f>
        <v>26</v>
      </c>
      <c r="V29" s="257"/>
      <c r="W29" s="212">
        <f>IF(ISNA(VLOOKUP(B29,'6ème J.'!$BH$9:$BK$62,2,0))," ",IF(VLOOKUP(B29,'6ème J.'!$BH$9:$BK$62,2,0)=0,"0",VLOOKUP(B29,'6ème J.'!$BH$9:$BK$62,2,0)))</f>
        <v>5</v>
      </c>
      <c r="X29" s="212">
        <f>IF(ISNA(VLOOKUP(B29,'6ème J.'!$BH$9:$BK$62,3,0))," ",IF(VLOOKUP(B29,'6ème J.'!$BH$9:$BK$62,3,0)=0,"0",VLOOKUP(B29,'6ème J.'!$BH$9:$BK$62,3,0)))</f>
        <v>-6</v>
      </c>
      <c r="Y29" s="212">
        <f>IF(ISNA(VLOOKUP(B29,'6ème J.'!$BH$9:$BK$62,4,0))," ",IF(VLOOKUP(B29,'6ème J.'!$BH$9:$BK$62,4,0)=0,"0",VLOOKUP(B29,'6ème J.'!$BH$9:$BK$62,4,0)))</f>
        <v>21</v>
      </c>
      <c r="Z29"/>
      <c r="AA29" s="289" t="str">
        <f t="shared" si="0"/>
        <v>B6</v>
      </c>
      <c r="AB29" s="216">
        <f t="shared" si="5"/>
        <v>39</v>
      </c>
      <c r="AC29" s="213">
        <f t="shared" si="6"/>
        <v>22</v>
      </c>
      <c r="AD29" s="290">
        <f t="shared" si="7"/>
        <v>129</v>
      </c>
      <c r="AE29" s="214">
        <f t="shared" si="8"/>
        <v>0.76710029000000002</v>
      </c>
      <c r="AF29" s="215">
        <f>IF(AB29="","",SMALL(AE$6:AE$59,ROWS(AB$6:AB29)))</f>
        <v>21.972400490000002</v>
      </c>
      <c r="AG29" s="215"/>
      <c r="AH29" s="261">
        <f>IF(AF29="","",IF(AND(AJ28=AJ29,AK28=AK29,AL29=AL28),AH28,$AH$6+23))</f>
        <v>24</v>
      </c>
      <c r="AI29" s="216" t="str">
        <f t="shared" si="1"/>
        <v>C8</v>
      </c>
      <c r="AJ29" s="216">
        <f t="shared" si="2"/>
        <v>26</v>
      </c>
      <c r="AK29" s="263">
        <f t="shared" si="3"/>
        <v>2</v>
      </c>
      <c r="AL29" s="266">
        <f t="shared" si="4"/>
        <v>76</v>
      </c>
      <c r="AN29" s="218">
        <v>24</v>
      </c>
    </row>
    <row r="30" spans="1:40" x14ac:dyDescent="0.3">
      <c r="A30" s="296">
        <v>25</v>
      </c>
      <c r="B30" s="293" t="str">
        <f>+Inscrits!D9</f>
        <v>B7</v>
      </c>
      <c r="C30" s="212">
        <f>IF(ISNA(VLOOKUP(B30,'1ère J.'!$BH$9:$BK$62,2,0))," ",IF(VLOOKUP(B30,'1ère J.'!$BH$9:$BK$62,2,0)=0,"0",VLOOKUP(B30,'1ère J.'!$BH$9:$BK$62,2,0)))</f>
        <v>3</v>
      </c>
      <c r="D30" s="212">
        <f>IF(ISNA(VLOOKUP(B30,'1ère J.'!$BH$9:$BK$62,3,0))," ",IF(VLOOKUP(B30,'1ère J.'!$BH$9:$BK$62,3,0)=0,"0",VLOOKUP(B30,'1ère J.'!$BH$9:$BK$62,3,0)))</f>
        <v>5</v>
      </c>
      <c r="E30" s="212">
        <f>IF(ISNA(VLOOKUP(B30,'1ère J.'!$BH$9:$BK$62,4,0))," ",IF(VLOOKUP(B30,'1ère J.'!$BH$9:$BK$62,4,0)=0,"0",VLOOKUP(B30,'1ère J.'!$BH$9:$BK$62,4,0)))</f>
        <v>14</v>
      </c>
      <c r="F30" s="257"/>
      <c r="G30" s="212">
        <f>IF(ISNA(VLOOKUP(B30,'2ème J.'!$BH$9:$BK$62,2,0))," ",IF(VLOOKUP(B30,'2ème J.'!$BH$9:$BK$62,2,0)=0,"0",VLOOKUP(B30,'2ème J.'!$BH$9:$BK$62,2,0)))</f>
        <v>4</v>
      </c>
      <c r="H30" s="212">
        <f>IF(ISNA(VLOOKUP(B30,'2ème J.'!$BH$9:$BK$62,3,0))," ",IF(VLOOKUP(B30,'2ème J.'!$BH$9:$BK$62,3,0)=0,"0",VLOOKUP(B30,'2ème J.'!$BH$9:$BK$62,3,0)))</f>
        <v>-2</v>
      </c>
      <c r="I30" s="212">
        <f>IF(ISNA(VLOOKUP(B30,'2ème J.'!$BH$9:$BK$62,4,0))," ",IF(VLOOKUP(B30,'2ème J.'!$BH$9:$BK$62,4,0)=0,"0",VLOOKUP(B30,'2ème J.'!$BH$9:$BK$62,4,0)))</f>
        <v>14</v>
      </c>
      <c r="J30" s="272"/>
      <c r="K30" s="212">
        <f>IF(ISNA(VLOOKUP(B30,'3ème J.'!$BH$9:$BK$62,2,0))," ",IF(VLOOKUP(B30,'3ème J.'!$BH$9:$BK$62,2,0)=0,"0",VLOOKUP(B30,'3ème J.'!$BH$9:$BK$62,2,0)))</f>
        <v>7</v>
      </c>
      <c r="L30" s="212">
        <f>IF(ISNA(VLOOKUP(B30,'3ème J.'!$BH$9:$BK$62,3,0))," ",IF(VLOOKUP(B30,'3ème J.'!$BH$9:$BK$62,3,0)=0,"0",VLOOKUP(B30,'3ème J.'!$BH$9:$BK$62,3,0)))</f>
        <v>1</v>
      </c>
      <c r="M30" s="212">
        <f>IF(ISNA(VLOOKUP(B30,'3ème J.'!$BH$9:$BK$62,4,0))," ",IF(VLOOKUP(B30,'3ème J.'!$BH$9:$BK$62,4,0)=0,"0",VLOOKUP(B30,'3ème J.'!$BH$9:$BK$62,4,0)))</f>
        <v>26</v>
      </c>
      <c r="N30" s="272"/>
      <c r="O30" s="212">
        <f>IF(ISNA(VLOOKUP(B30,'4ème J.'!$BH$9:$BK$62,2,0))," ",IF(VLOOKUP(B30,'4ème J.'!$BH$9:$BK$62,2,0)=0,"0",VLOOKUP(B30,'4ème J.'!$BH$9:$BK$62,2,0)))</f>
        <v>5</v>
      </c>
      <c r="P30" s="212">
        <f>IF(ISNA(VLOOKUP(B30,'4ème J.'!$BH$9:$BK$62,3,0))," ",IF(VLOOKUP(B30,'4ème J.'!$BH$9:$BK$62,3,0)=0,"0",VLOOKUP(B30,'4ème J.'!$BH$9:$BK$62,3,0)))</f>
        <v>-5</v>
      </c>
      <c r="Q30" s="212">
        <f>IF(ISNA(VLOOKUP(B30,'4ème J.'!$BH$9:$BK$62,4,0))," ",IF(VLOOKUP(B30,'4ème J.'!$BH$9:$BK$62,4,0)=0,"0",VLOOKUP(B30,'4ème J.'!$BH$9:$BK$62,4,0)))</f>
        <v>10</v>
      </c>
      <c r="R30" s="257"/>
      <c r="S30" s="212">
        <f>IF(ISNA(VLOOKUP(B30,'5ème J.'!$BH$9:$BK$62,2,0))," ",IF(VLOOKUP(B30,'5ème J.'!$BH$9:$BK$62,2,0)=0,"0",VLOOKUP(B30,'5ème J.'!$BH$9:$BK$62,2,0)))</f>
        <v>7</v>
      </c>
      <c r="T30" s="212">
        <f>IF(ISNA(VLOOKUP(B30,'5ème J.'!$BH$9:$BK$62,3,0))," ",IF(VLOOKUP(B30,'5ème J.'!$BH$9:$BK$62,3,0)=0,"0",VLOOKUP(B30,'5ème J.'!$BH$9:$BK$62,3,0)))</f>
        <v>1</v>
      </c>
      <c r="U30" s="212">
        <f>IF(ISNA(VLOOKUP(B30,'5ème J.'!$BH$9:$BK$62,4,0))," ",IF(VLOOKUP(B30,'5ème J.'!$BH$9:$BK$62,4,0)=0,"0",VLOOKUP(B30,'5ème J.'!$BH$9:$BK$62,4,0)))</f>
        <v>23</v>
      </c>
      <c r="V30" s="257"/>
      <c r="W30" s="212">
        <f>IF(ISNA(VLOOKUP(B30,'6ème J.'!$BH$9:$BK$62,2,0))," ",IF(VLOOKUP(B30,'6ème J.'!$BH$9:$BK$62,2,0)=0,"0",VLOOKUP(B30,'6ème J.'!$BH$9:$BK$62,2,0)))</f>
        <v>7</v>
      </c>
      <c r="X30" s="212">
        <f>IF(ISNA(VLOOKUP(B30,'6ème J.'!$BH$9:$BK$62,3,0))," ",IF(VLOOKUP(B30,'6ème J.'!$BH$9:$BK$62,3,0)=0,"0",VLOOKUP(B30,'6ème J.'!$BH$9:$BK$62,3,0)))</f>
        <v>12</v>
      </c>
      <c r="Y30" s="212">
        <f>IF(ISNA(VLOOKUP(B30,'6ème J.'!$BH$9:$BK$62,4,0))," ",IF(VLOOKUP(B30,'6ème J.'!$BH$9:$BK$62,4,0)=0,"0",VLOOKUP(B30,'6ème J.'!$BH$9:$BK$62,4,0)))</f>
        <v>30</v>
      </c>
      <c r="Z30"/>
      <c r="AA30" s="289" t="str">
        <f t="shared" si="0"/>
        <v>B7</v>
      </c>
      <c r="AB30" s="216">
        <f t="shared" si="5"/>
        <v>33</v>
      </c>
      <c r="AC30" s="213">
        <f t="shared" si="6"/>
        <v>12</v>
      </c>
      <c r="AD30" s="290">
        <f t="shared" si="7"/>
        <v>117</v>
      </c>
      <c r="AE30" s="214">
        <f t="shared" si="8"/>
        <v>7.8683002999999996</v>
      </c>
      <c r="AF30" s="215">
        <f>IF(AB30="","",SMALL(AE$6:AE$59,ROWS(AB$6:AB30)))</f>
        <v>25.003700150000004</v>
      </c>
      <c r="AG30" s="215"/>
      <c r="AH30" s="261">
        <f>IF(AF30="","",IF(AND(AJ29=AJ30,AK29=AK30,AL30=AL29),AH29,$AH$6+24))</f>
        <v>25</v>
      </c>
      <c r="AI30" s="216" t="str">
        <f t="shared" si="1"/>
        <v>A10</v>
      </c>
      <c r="AJ30" s="216">
        <f t="shared" si="2"/>
        <v>24</v>
      </c>
      <c r="AK30" s="263">
        <f t="shared" si="3"/>
        <v>-1</v>
      </c>
      <c r="AL30" s="266">
        <f t="shared" si="4"/>
        <v>63</v>
      </c>
      <c r="AN30" s="218">
        <v>25</v>
      </c>
    </row>
    <row r="31" spans="1:40" x14ac:dyDescent="0.3">
      <c r="A31" s="296">
        <v>26</v>
      </c>
      <c r="B31" s="293" t="str">
        <f>+Inscrits!D10</f>
        <v>B8</v>
      </c>
      <c r="C31" s="212">
        <f>IF(ISNA(VLOOKUP(B31,'1ère J.'!$BH$9:$BK$62,2,0))," ",IF(VLOOKUP(B31,'1ère J.'!$BH$9:$BK$62,2,0)=0,"0",VLOOKUP(B31,'1ère J.'!$BH$9:$BK$62,2,0)))</f>
        <v>1</v>
      </c>
      <c r="D31" s="212">
        <f>IF(ISNA(VLOOKUP(B31,'1ère J.'!$BH$9:$BK$62,3,0))," ",IF(VLOOKUP(B31,'1ère J.'!$BH$9:$BK$62,3,0)=0,"0",VLOOKUP(B31,'1ère J.'!$BH$9:$BK$62,3,0)))</f>
        <v>-5</v>
      </c>
      <c r="E31" s="212">
        <f>IF(ISNA(VLOOKUP(B31,'1ère J.'!$BH$9:$BK$62,4,0))," ",IF(VLOOKUP(B31,'1ère J.'!$BH$9:$BK$62,4,0)=0,"0",VLOOKUP(B31,'1ère J.'!$BH$9:$BK$62,4,0)))</f>
        <v>9</v>
      </c>
      <c r="F31" s="257"/>
      <c r="G31" s="212">
        <f>IF(ISNA(VLOOKUP(B31,'2ème J.'!$BH$9:$BK$62,2,0))," ",IF(VLOOKUP(B31,'2ème J.'!$BH$9:$BK$62,2,0)=0,"0",VLOOKUP(B31,'2ème J.'!$BH$9:$BK$62,2,0)))</f>
        <v>3</v>
      </c>
      <c r="H31" s="212">
        <f>IF(ISNA(VLOOKUP(B31,'2ème J.'!$BH$9:$BK$62,3,0))," ",IF(VLOOKUP(B31,'2ème J.'!$BH$9:$BK$62,3,0)=0,"0",VLOOKUP(B31,'2ème J.'!$BH$9:$BK$62,3,0)))</f>
        <v>3</v>
      </c>
      <c r="I31" s="212">
        <f>IF(ISNA(VLOOKUP(B31,'2ème J.'!$BH$9:$BK$62,4,0))," ",IF(VLOOKUP(B31,'2ème J.'!$BH$9:$BK$62,4,0)=0,"0",VLOOKUP(B31,'2ème J.'!$BH$9:$BK$62,4,0)))</f>
        <v>9</v>
      </c>
      <c r="J31" s="272"/>
      <c r="K31" s="212">
        <f>IF(ISNA(VLOOKUP(B31,'3ème J.'!$BH$9:$BK$62,2,0))," ",IF(VLOOKUP(B31,'3ème J.'!$BH$9:$BK$62,2,0)=0,"0",VLOOKUP(B31,'3ème J.'!$BH$9:$BK$62,2,0)))</f>
        <v>3</v>
      </c>
      <c r="L31" s="212">
        <f>IF(ISNA(VLOOKUP(B31,'3ème J.'!$BH$9:$BK$62,3,0))," ",IF(VLOOKUP(B31,'3ème J.'!$BH$9:$BK$62,3,0)=0,"0",VLOOKUP(B31,'3ème J.'!$BH$9:$BK$62,3,0)))</f>
        <v>-16</v>
      </c>
      <c r="M31" s="212">
        <f>IF(ISNA(VLOOKUP(B31,'3ème J.'!$BH$9:$BK$62,4,0))," ",IF(VLOOKUP(B31,'3ème J.'!$BH$9:$BK$62,4,0)=0,"0",VLOOKUP(B31,'3ème J.'!$BH$9:$BK$62,4,0)))</f>
        <v>15</v>
      </c>
      <c r="N31" s="272"/>
      <c r="O31" s="212">
        <f>IF(ISNA(VLOOKUP(B31,'4ème J.'!$BH$9:$BK$62,2,0))," ",IF(VLOOKUP(B31,'4ème J.'!$BH$9:$BK$62,2,0)=0,"0",VLOOKUP(B31,'4ème J.'!$BH$9:$BK$62,2,0)))</f>
        <v>7</v>
      </c>
      <c r="P31" s="212">
        <f>IF(ISNA(VLOOKUP(B31,'4ème J.'!$BH$9:$BK$62,3,0))," ",IF(VLOOKUP(B31,'4ème J.'!$BH$9:$BK$62,3,0)=0,"0",VLOOKUP(B31,'4ème J.'!$BH$9:$BK$62,3,0)))</f>
        <v>5</v>
      </c>
      <c r="Q31" s="212">
        <f>IF(ISNA(VLOOKUP(B31,'4ème J.'!$BH$9:$BK$62,4,0))," ",IF(VLOOKUP(B31,'4ème J.'!$BH$9:$BK$62,4,0)=0,"0",VLOOKUP(B31,'4ème J.'!$BH$9:$BK$62,4,0)))</f>
        <v>6</v>
      </c>
      <c r="R31" s="257"/>
      <c r="S31" s="212">
        <f>IF(ISNA(VLOOKUP(B31,'5ème J.'!$BH$9:$BK$62,2,0))," ",IF(VLOOKUP(B31,'5ème J.'!$BH$9:$BK$62,2,0)=0,"0",VLOOKUP(B31,'5ème J.'!$BH$9:$BK$62,2,0)))</f>
        <v>5</v>
      </c>
      <c r="T31" s="212">
        <f>IF(ISNA(VLOOKUP(B31,'5ème J.'!$BH$9:$BK$62,3,0))," ",IF(VLOOKUP(B31,'5ème J.'!$BH$9:$BK$62,3,0)=0,"0",VLOOKUP(B31,'5ème J.'!$BH$9:$BK$62,3,0)))</f>
        <v>-1</v>
      </c>
      <c r="U31" s="212">
        <f>IF(ISNA(VLOOKUP(B31,'5ème J.'!$BH$9:$BK$62,4,0))," ",IF(VLOOKUP(B31,'5ème J.'!$BH$9:$BK$62,4,0)=0,"0",VLOOKUP(B31,'5ème J.'!$BH$9:$BK$62,4,0)))</f>
        <v>22</v>
      </c>
      <c r="V31" s="257"/>
      <c r="W31" s="212">
        <f>IF(ISNA(VLOOKUP(B31,'6ème J.'!$BH$9:$BK$62,2,0))," ",IF(VLOOKUP(B31,'6ème J.'!$BH$9:$BK$62,2,0)=0,"0",VLOOKUP(B31,'6ème J.'!$BH$9:$BK$62,2,0)))</f>
        <v>5</v>
      </c>
      <c r="X31" s="212">
        <f>IF(ISNA(VLOOKUP(B31,'6ème J.'!$BH$9:$BK$62,3,0))," ",IF(VLOOKUP(B31,'6ème J.'!$BH$9:$BK$62,3,0)=0,"0",VLOOKUP(B31,'6ème J.'!$BH$9:$BK$62,3,0)))</f>
        <v>-12</v>
      </c>
      <c r="Y31" s="212">
        <f>IF(ISNA(VLOOKUP(B31,'6ème J.'!$BH$9:$BK$62,4,0))," ",IF(VLOOKUP(B31,'6ème J.'!$BH$9:$BK$62,4,0)=0,"0",VLOOKUP(B31,'6ème J.'!$BH$9:$BK$62,4,0)))</f>
        <v>18</v>
      </c>
      <c r="Z31"/>
      <c r="AA31" s="289" t="str">
        <f t="shared" si="0"/>
        <v>B8</v>
      </c>
      <c r="AB31" s="216">
        <f t="shared" si="5"/>
        <v>24</v>
      </c>
      <c r="AC31" s="213">
        <f t="shared" si="6"/>
        <v>-26</v>
      </c>
      <c r="AD31" s="290">
        <f t="shared" si="7"/>
        <v>79</v>
      </c>
      <c r="AE31" s="214">
        <f t="shared" si="8"/>
        <v>25.252100310000003</v>
      </c>
      <c r="AF31" s="215">
        <f>IF(AB31="","",SMALL(AE$6:AE$59,ROWS(AB$6:AB31)))</f>
        <v>25.252100310000003</v>
      </c>
      <c r="AG31" s="215"/>
      <c r="AH31" s="261">
        <f>IF(AF31="","",IF(AND(AJ30=AJ31,AK30=AK31,AL31=AL30),AH30,$AH$6+25))</f>
        <v>26</v>
      </c>
      <c r="AI31" s="216" t="str">
        <f t="shared" si="1"/>
        <v>B8</v>
      </c>
      <c r="AJ31" s="216">
        <f t="shared" si="2"/>
        <v>24</v>
      </c>
      <c r="AK31" s="263">
        <f t="shared" si="3"/>
        <v>-26</v>
      </c>
      <c r="AL31" s="266">
        <f t="shared" si="4"/>
        <v>79</v>
      </c>
      <c r="AN31" s="218">
        <v>26</v>
      </c>
    </row>
    <row r="32" spans="1:40" x14ac:dyDescent="0.3">
      <c r="A32" s="296">
        <v>27</v>
      </c>
      <c r="B32" s="293" t="str">
        <f>+Inscrits!D11</f>
        <v>B9</v>
      </c>
      <c r="C32" s="212" t="str">
        <f>IF(ISNA(VLOOKUP(B32,'1ère J.'!$BH$9:$BK$62,2,0))," ",IF(VLOOKUP(B32,'1ère J.'!$BH$9:$BK$62,2,0)=0,"0",VLOOKUP(B32,'1ère J.'!$BH$9:$BK$62,2,0)))</f>
        <v>0</v>
      </c>
      <c r="D32" s="212" t="str">
        <f>IF(ISNA(VLOOKUP(B32,'1ère J.'!$BH$9:$BK$62,3,0))," ",IF(VLOOKUP(B32,'1ère J.'!$BH$9:$BK$62,3,0)=0,"0",VLOOKUP(B32,'1ère J.'!$BH$9:$BK$62,3,0)))</f>
        <v>0</v>
      </c>
      <c r="E32" s="212" t="str">
        <f>IF(ISNA(VLOOKUP(B32,'1ère J.'!$BH$9:$BK$62,4,0))," ",IF(VLOOKUP(B32,'1ère J.'!$BH$9:$BK$62,4,0)=0,"0",VLOOKUP(B32,'1ère J.'!$BH$9:$BK$62,4,0)))</f>
        <v>0</v>
      </c>
      <c r="F32" s="257"/>
      <c r="G32" s="212" t="str">
        <f>IF(ISNA(VLOOKUP(B32,'2ème J.'!$BH$9:$BK$62,2,0))," ",IF(VLOOKUP(B32,'2ème J.'!$BH$9:$BK$62,2,0)=0,"0",VLOOKUP(B32,'2ème J.'!$BH$9:$BK$62,2,0)))</f>
        <v>0</v>
      </c>
      <c r="H32" s="212" t="str">
        <f>IF(ISNA(VLOOKUP(B32,'2ème J.'!$BH$9:$BK$62,3,0))," ",IF(VLOOKUP(B32,'2ème J.'!$BH$9:$BK$62,3,0)=0,"0",VLOOKUP(B32,'2ème J.'!$BH$9:$BK$62,3,0)))</f>
        <v>0</v>
      </c>
      <c r="I32" s="212" t="str">
        <f>IF(ISNA(VLOOKUP(B32,'2ème J.'!$BH$9:$BK$62,4,0))," ",IF(VLOOKUP(B32,'2ème J.'!$BH$9:$BK$62,4,0)=0,"0",VLOOKUP(B32,'2ème J.'!$BH$9:$BK$62,4,0)))</f>
        <v>0</v>
      </c>
      <c r="J32" s="272"/>
      <c r="K32" s="212">
        <f>IF(ISNA(VLOOKUP(B32,'3ème J.'!$BH$9:$BK$62,2,0))," ",IF(VLOOKUP(B32,'3ème J.'!$BH$9:$BK$62,2,0)=0,"0",VLOOKUP(B32,'3ème J.'!$BH$9:$BK$62,2,0)))</f>
        <v>5</v>
      </c>
      <c r="L32" s="212">
        <f>IF(ISNA(VLOOKUP(B32,'3ème J.'!$BH$9:$BK$62,3,0))," ",IF(VLOOKUP(B32,'3ème J.'!$BH$9:$BK$62,3,0)=0,"0",VLOOKUP(B32,'3ème J.'!$BH$9:$BK$62,3,0)))</f>
        <v>-12</v>
      </c>
      <c r="M32" s="212">
        <f>IF(ISNA(VLOOKUP(B32,'3ème J.'!$BH$9:$BK$62,4,0))," ",IF(VLOOKUP(B32,'3ème J.'!$BH$9:$BK$62,4,0)=0,"0",VLOOKUP(B32,'3ème J.'!$BH$9:$BK$62,4,0)))</f>
        <v>9</v>
      </c>
      <c r="N32" s="272"/>
      <c r="O32" s="212">
        <f>IF(ISNA(VLOOKUP(B32,'4ème J.'!$BH$9:$BK$62,2,0))," ",IF(VLOOKUP(B32,'4ème J.'!$BH$9:$BK$62,2,0)=0,"0",VLOOKUP(B32,'4ème J.'!$BH$9:$BK$62,2,0)))</f>
        <v>7</v>
      </c>
      <c r="P32" s="212">
        <f>IF(ISNA(VLOOKUP(B32,'4ème J.'!$BH$9:$BK$62,3,0))," ",IF(VLOOKUP(B32,'4ème J.'!$BH$9:$BK$62,3,0)=0,"0",VLOOKUP(B32,'4ème J.'!$BH$9:$BK$62,3,0)))</f>
        <v>1</v>
      </c>
      <c r="Q32" s="212">
        <f>IF(ISNA(VLOOKUP(B32,'4ème J.'!$BH$9:$BK$62,4,0))," ",IF(VLOOKUP(B32,'4ème J.'!$BH$9:$BK$62,4,0)=0,"0",VLOOKUP(B32,'4ème J.'!$BH$9:$BK$62,4,0)))</f>
        <v>6</v>
      </c>
      <c r="R32" s="257"/>
      <c r="S32" s="212">
        <f>IF(ISNA(VLOOKUP(B32,'5ème J.'!$BH$9:$BK$62,2,0))," ",IF(VLOOKUP(B32,'5ème J.'!$BH$9:$BK$62,2,0)=0,"0",VLOOKUP(B32,'5ème J.'!$BH$9:$BK$62,2,0)))</f>
        <v>7</v>
      </c>
      <c r="T32" s="212">
        <f>IF(ISNA(VLOOKUP(B32,'5ème J.'!$BH$9:$BK$62,3,0))," ",IF(VLOOKUP(B32,'5ème J.'!$BH$9:$BK$62,3,0)=0,"0",VLOOKUP(B32,'5ème J.'!$BH$9:$BK$62,3,0)))</f>
        <v>10</v>
      </c>
      <c r="U32" s="212">
        <f>IF(ISNA(VLOOKUP(B32,'5ème J.'!$BH$9:$BK$62,4,0))," ",IF(VLOOKUP(B32,'5ème J.'!$BH$9:$BK$62,4,0)=0,"0",VLOOKUP(B32,'5ème J.'!$BH$9:$BK$62,4,0)))</f>
        <v>28</v>
      </c>
      <c r="V32" s="257"/>
      <c r="W32" s="212">
        <f>IF(ISNA(VLOOKUP(B32,'6ème J.'!$BH$9:$BK$62,2,0))," ",IF(VLOOKUP(B32,'6ème J.'!$BH$9:$BK$62,2,0)=0,"0",VLOOKUP(B32,'6ème J.'!$BH$9:$BK$62,2,0)))</f>
        <v>7</v>
      </c>
      <c r="X32" s="212">
        <f>IF(ISNA(VLOOKUP(B32,'6ème J.'!$BH$9:$BK$62,3,0))," ",IF(VLOOKUP(B32,'6ème J.'!$BH$9:$BK$62,3,0)=0,"0",VLOOKUP(B32,'6ème J.'!$BH$9:$BK$62,3,0)))</f>
        <v>12</v>
      </c>
      <c r="Y32" s="212">
        <f>IF(ISNA(VLOOKUP(B32,'6ème J.'!$BH$9:$BK$62,4,0))," ",IF(VLOOKUP(B32,'6ème J.'!$BH$9:$BK$62,4,0)=0,"0",VLOOKUP(B32,'6ème J.'!$BH$9:$BK$62,4,0)))</f>
        <v>29</v>
      </c>
      <c r="Z32"/>
      <c r="AA32" s="289" t="str">
        <f t="shared" si="0"/>
        <v>B9</v>
      </c>
      <c r="AB32" s="216">
        <f t="shared" si="5"/>
        <v>26</v>
      </c>
      <c r="AC32" s="213">
        <f t="shared" si="6"/>
        <v>11</v>
      </c>
      <c r="AD32" s="290">
        <f t="shared" si="7"/>
        <v>72</v>
      </c>
      <c r="AE32" s="214">
        <f t="shared" si="8"/>
        <v>21.882800320000001</v>
      </c>
      <c r="AF32" s="215">
        <f>IF(AB32="","",SMALL(AE$6:AE$59,ROWS(AB$6:AB32)))</f>
        <v>25.421900470000001</v>
      </c>
      <c r="AG32" s="215"/>
      <c r="AH32" s="261">
        <f>IF(AF32="","",IF(AND(AJ31=AJ32,AK31=AK32,AL32=AL31),AH31,$AH$6+26))</f>
        <v>27</v>
      </c>
      <c r="AI32" s="216" t="str">
        <f t="shared" si="1"/>
        <v>C6</v>
      </c>
      <c r="AJ32" s="216">
        <f t="shared" si="2"/>
        <v>24</v>
      </c>
      <c r="AK32" s="263">
        <f t="shared" si="3"/>
        <v>-43</v>
      </c>
      <c r="AL32" s="266">
        <f t="shared" si="4"/>
        <v>81</v>
      </c>
      <c r="AN32" s="218">
        <v>27</v>
      </c>
    </row>
    <row r="33" spans="1:40" x14ac:dyDescent="0.3">
      <c r="A33" s="296">
        <v>28</v>
      </c>
      <c r="B33" s="293" t="str">
        <f>+Inscrits!D12</f>
        <v>B10</v>
      </c>
      <c r="C33" s="212" t="str">
        <f>IF(ISNA(VLOOKUP(B33,'1ère J.'!$BH$9:$BK$62,2,0))," ",IF(VLOOKUP(B33,'1ère J.'!$BH$9:$BK$62,2,0)=0,"0",VLOOKUP(B33,'1ère J.'!$BH$9:$BK$62,2,0)))</f>
        <v>0</v>
      </c>
      <c r="D33" s="212" t="str">
        <f>IF(ISNA(VLOOKUP(B33,'1ère J.'!$BH$9:$BK$62,3,0))," ",IF(VLOOKUP(B33,'1ère J.'!$BH$9:$BK$62,3,0)=0,"0",VLOOKUP(B33,'1ère J.'!$BH$9:$BK$62,3,0)))</f>
        <v>0</v>
      </c>
      <c r="E33" s="212" t="str">
        <f>IF(ISNA(VLOOKUP(B33,'1ère J.'!$BH$9:$BK$62,4,0))," ",IF(VLOOKUP(B33,'1ère J.'!$BH$9:$BK$62,4,0)=0,"0",VLOOKUP(B33,'1ère J.'!$BH$9:$BK$62,4,0)))</f>
        <v>0</v>
      </c>
      <c r="F33" s="257"/>
      <c r="G33" s="212" t="str">
        <f>IF(ISNA(VLOOKUP(B33,'2ème J.'!$BH$9:$BK$62,2,0))," ",IF(VLOOKUP(B33,'2ème J.'!$BH$9:$BK$62,2,0)=0,"0",VLOOKUP(B33,'2ème J.'!$BH$9:$BK$62,2,0)))</f>
        <v>0</v>
      </c>
      <c r="H33" s="212" t="str">
        <f>IF(ISNA(VLOOKUP(B33,'2ème J.'!$BH$9:$BK$62,3,0))," ",IF(VLOOKUP(B33,'2ème J.'!$BH$9:$BK$62,3,0)=0,"0",VLOOKUP(B33,'2ème J.'!$BH$9:$BK$62,3,0)))</f>
        <v>0</v>
      </c>
      <c r="I33" s="212" t="str">
        <f>IF(ISNA(VLOOKUP(B33,'2ème J.'!$BH$9:$BK$62,4,0))," ",IF(VLOOKUP(B33,'2ème J.'!$BH$9:$BK$62,4,0)=0,"0",VLOOKUP(B33,'2ème J.'!$BH$9:$BK$62,4,0)))</f>
        <v>0</v>
      </c>
      <c r="J33" s="272"/>
      <c r="K33" s="212">
        <f>IF(ISNA(VLOOKUP(B33,'3ème J.'!$BH$9:$BK$62,2,0))," ",IF(VLOOKUP(B33,'3ème J.'!$BH$9:$BK$62,2,0)=0,"0",VLOOKUP(B33,'3ème J.'!$BH$9:$BK$62,2,0)))</f>
        <v>7</v>
      </c>
      <c r="L33" s="212">
        <f>IF(ISNA(VLOOKUP(B33,'3ème J.'!$BH$9:$BK$62,3,0))," ",IF(VLOOKUP(B33,'3ème J.'!$BH$9:$BK$62,3,0)=0,"0",VLOOKUP(B33,'3ème J.'!$BH$9:$BK$62,3,0)))</f>
        <v>15</v>
      </c>
      <c r="M33" s="212">
        <f>IF(ISNA(VLOOKUP(B33,'3ème J.'!$BH$9:$BK$62,4,0))," ",IF(VLOOKUP(B33,'3ème J.'!$BH$9:$BK$62,4,0)=0,"0",VLOOKUP(B33,'3ème J.'!$BH$9:$BK$62,4,0)))</f>
        <v>18</v>
      </c>
      <c r="N33" s="272"/>
      <c r="O33" s="212">
        <f>IF(ISNA(VLOOKUP(B33,'4ème J.'!$BH$9:$BK$62,2,0))," ",IF(VLOOKUP(B33,'4ème J.'!$BH$9:$BK$62,2,0)=0,"0",VLOOKUP(B33,'4ème J.'!$BH$9:$BK$62,2,0)))</f>
        <v>3</v>
      </c>
      <c r="P33" s="212">
        <f>IF(ISNA(VLOOKUP(B33,'4ème J.'!$BH$9:$BK$62,3,0))," ",IF(VLOOKUP(B33,'4ème J.'!$BH$9:$BK$62,3,0)=0,"0",VLOOKUP(B33,'4ème J.'!$BH$9:$BK$62,3,0)))</f>
        <v>-7</v>
      </c>
      <c r="Q33" s="212" t="str">
        <f>IF(ISNA(VLOOKUP(B33,'4ème J.'!$BH$9:$BK$62,4,0))," ",IF(VLOOKUP(B33,'4ème J.'!$BH$9:$BK$62,4,0)=0,"0",VLOOKUP(B33,'4ème J.'!$BH$9:$BK$62,4,0)))</f>
        <v>0</v>
      </c>
      <c r="R33" s="257"/>
      <c r="S33" s="212">
        <f>IF(ISNA(VLOOKUP(B33,'5ème J.'!$BH$9:$BK$62,2,0))," ",IF(VLOOKUP(B33,'5ème J.'!$BH$9:$BK$62,2,0)=0,"0",VLOOKUP(B33,'5ème J.'!$BH$9:$BK$62,2,0)))</f>
        <v>5</v>
      </c>
      <c r="T33" s="212">
        <f>IF(ISNA(VLOOKUP(B33,'5ème J.'!$BH$9:$BK$62,3,0))," ",IF(VLOOKUP(B33,'5ème J.'!$BH$9:$BK$62,3,0)=0,"0",VLOOKUP(B33,'5ème J.'!$BH$9:$BK$62,3,0)))</f>
        <v>-10</v>
      </c>
      <c r="U33" s="212">
        <f>IF(ISNA(VLOOKUP(B33,'5ème J.'!$BH$9:$BK$62,4,0))," ",IF(VLOOKUP(B33,'5ème J.'!$BH$9:$BK$62,4,0)=0,"0",VLOOKUP(B33,'5ème J.'!$BH$9:$BK$62,4,0)))</f>
        <v>18</v>
      </c>
      <c r="V33" s="257"/>
      <c r="W33" s="212">
        <f>IF(ISNA(VLOOKUP(B33,'6ème J.'!$BH$9:$BK$62,2,0))," ",IF(VLOOKUP(B33,'6ème J.'!$BH$9:$BK$62,2,0)=0,"0",VLOOKUP(B33,'6ème J.'!$BH$9:$BK$62,2,0)))</f>
        <v>5</v>
      </c>
      <c r="X33" s="212">
        <f>IF(ISNA(VLOOKUP(B33,'6ème J.'!$BH$9:$BK$62,3,0))," ",IF(VLOOKUP(B33,'6ème J.'!$BH$9:$BK$62,3,0)=0,"0",VLOOKUP(B33,'6ème J.'!$BH$9:$BK$62,3,0)))</f>
        <v>-12</v>
      </c>
      <c r="Y33" s="212">
        <f>IF(ISNA(VLOOKUP(B33,'6ème J.'!$BH$9:$BK$62,4,0))," ",IF(VLOOKUP(B33,'6ème J.'!$BH$9:$BK$62,4,0)=0,"0",VLOOKUP(B33,'6ème J.'!$BH$9:$BK$62,4,0)))</f>
        <v>17</v>
      </c>
      <c r="Z33"/>
      <c r="AA33" s="289" t="str">
        <f t="shared" si="0"/>
        <v>B10</v>
      </c>
      <c r="AB33" s="216">
        <f t="shared" si="5"/>
        <v>20</v>
      </c>
      <c r="AC33" s="213">
        <f t="shared" si="6"/>
        <v>-14</v>
      </c>
      <c r="AD33" s="290">
        <f t="shared" si="7"/>
        <v>53</v>
      </c>
      <c r="AE33" s="214">
        <f t="shared" si="8"/>
        <v>28.134700330000001</v>
      </c>
      <c r="AF33" s="215">
        <f>IF(AB33="","",SMALL(AE$6:AE$59,ROWS(AB$6:AB33)))</f>
        <v>28.134700330000001</v>
      </c>
      <c r="AG33" s="215"/>
      <c r="AH33" s="261">
        <f>IF(AF33="","",IF(AND(AJ32=AJ33,AK32=AK33,AL33=AL32),AH32,$AH$6+27))</f>
        <v>28</v>
      </c>
      <c r="AI33" s="216" t="str">
        <f t="shared" si="1"/>
        <v>B10</v>
      </c>
      <c r="AJ33" s="216">
        <f t="shared" si="2"/>
        <v>20</v>
      </c>
      <c r="AK33" s="263">
        <f t="shared" si="3"/>
        <v>-14</v>
      </c>
      <c r="AL33" s="266">
        <f t="shared" si="4"/>
        <v>53</v>
      </c>
      <c r="AN33" s="218">
        <v>28</v>
      </c>
    </row>
    <row r="34" spans="1:40" x14ac:dyDescent="0.3">
      <c r="A34" s="296">
        <v>29</v>
      </c>
      <c r="B34" s="293" t="str">
        <f>+Inscrits!D13</f>
        <v>B11</v>
      </c>
      <c r="C34" s="212" t="str">
        <f>IF(ISNA(VLOOKUP(B34,'1ère J.'!$BH$9:$BK$62,2,0))," ",IF(VLOOKUP(B34,'1ère J.'!$BH$9:$BK$62,2,0)=0,"0",VLOOKUP(B34,'1ère J.'!$BH$9:$BK$62,2,0)))</f>
        <v>0</v>
      </c>
      <c r="D34" s="212" t="str">
        <f>IF(ISNA(VLOOKUP(B34,'1ère J.'!$BH$9:$BK$62,3,0))," ",IF(VLOOKUP(B34,'1ère J.'!$BH$9:$BK$62,3,0)=0,"0",VLOOKUP(B34,'1ère J.'!$BH$9:$BK$62,3,0)))</f>
        <v>0</v>
      </c>
      <c r="E34" s="212">
        <f>IF(ISNA(VLOOKUP(B34,'1ère J.'!$BH$9:$BK$62,4,0))," ",IF(VLOOKUP(B34,'1ère J.'!$BH$9:$BK$62,4,0)=0,"0",VLOOKUP(B34,'1ère J.'!$BH$9:$BK$62,4,0)))</f>
        <v>5</v>
      </c>
      <c r="F34" s="257"/>
      <c r="G34" s="212" t="str">
        <f>IF(ISNA(VLOOKUP(B34,'2ème J.'!$BH$9:$BK$62,2,0))," ",IF(VLOOKUP(B34,'2ème J.'!$BH$9:$BK$62,2,0)=0,"0",VLOOKUP(B34,'2ème J.'!$BH$9:$BK$62,2,0)))</f>
        <v>0</v>
      </c>
      <c r="H34" s="212" t="str">
        <f>IF(ISNA(VLOOKUP(B34,'2ème J.'!$BH$9:$BK$62,3,0))," ",IF(VLOOKUP(B34,'2ème J.'!$BH$9:$BK$62,3,0)=0,"0",VLOOKUP(B34,'2ème J.'!$BH$9:$BK$62,3,0)))</f>
        <v>0</v>
      </c>
      <c r="I34" s="212" t="str">
        <f>IF(ISNA(VLOOKUP(B34,'2ème J.'!$BH$9:$BK$62,4,0))," ",IF(VLOOKUP(B34,'2ème J.'!$BH$9:$BK$62,4,0)=0,"0",VLOOKUP(B34,'2ème J.'!$BH$9:$BK$62,4,0)))</f>
        <v>0</v>
      </c>
      <c r="J34" s="272"/>
      <c r="K34" s="212" t="str">
        <f>IF(ISNA(VLOOKUP(B34,'3ème J.'!$BH$9:$BK$62,2,0))," ",IF(VLOOKUP(B34,'3ème J.'!$BH$9:$BK$62,2,0)=0,"0",VLOOKUP(B34,'3ème J.'!$BH$9:$BK$62,2,0)))</f>
        <v>0</v>
      </c>
      <c r="L34" s="212" t="str">
        <f>IF(ISNA(VLOOKUP(B34,'3ème J.'!$BH$9:$BK$62,3,0))," ",IF(VLOOKUP(B34,'3ème J.'!$BH$9:$BK$62,3,0)=0,"0",VLOOKUP(B34,'3ème J.'!$BH$9:$BK$62,3,0)))</f>
        <v>0</v>
      </c>
      <c r="M34" s="212" t="str">
        <f>IF(ISNA(VLOOKUP(B34,'3ème J.'!$BH$9:$BK$62,4,0))," ",IF(VLOOKUP(B34,'3ème J.'!$BH$9:$BK$62,4,0)=0,"0",VLOOKUP(B34,'3ème J.'!$BH$9:$BK$62,4,0)))</f>
        <v>0</v>
      </c>
      <c r="N34" s="272"/>
      <c r="O34" s="212">
        <f>IF(ISNA(VLOOKUP(B34,'4ème J.'!$BH$9:$BK$62,2,0))," ",IF(VLOOKUP(B34,'4ème J.'!$BH$9:$BK$62,2,0)=0,"0",VLOOKUP(B34,'4ème J.'!$BH$9:$BK$62,2,0)))</f>
        <v>7</v>
      </c>
      <c r="P34" s="212">
        <f>IF(ISNA(VLOOKUP(B34,'4ème J.'!$BH$9:$BK$62,3,0))," ",IF(VLOOKUP(B34,'4ème J.'!$BH$9:$BK$62,3,0)=0,"0",VLOOKUP(B34,'4ème J.'!$BH$9:$BK$62,3,0)))</f>
        <v>1</v>
      </c>
      <c r="Q34" s="212">
        <f>IF(ISNA(VLOOKUP(B34,'4ème J.'!$BH$9:$BK$62,4,0))," ",IF(VLOOKUP(B34,'4ème J.'!$BH$9:$BK$62,4,0)=0,"0",VLOOKUP(B34,'4ème J.'!$BH$9:$BK$62,4,0)))</f>
        <v>2</v>
      </c>
      <c r="R34" s="257"/>
      <c r="S34" s="212">
        <f>IF(ISNA(VLOOKUP(B34,'5ème J.'!$BH$9:$BK$62,2,0))," ",IF(VLOOKUP(B34,'5ème J.'!$BH$9:$BK$62,2,0)=0,"0",VLOOKUP(B34,'5ème J.'!$BH$9:$BK$62,2,0)))</f>
        <v>3</v>
      </c>
      <c r="T34" s="212">
        <f>IF(ISNA(VLOOKUP(B34,'5ème J.'!$BH$9:$BK$62,3,0))," ",IF(VLOOKUP(B34,'5ème J.'!$BH$9:$BK$62,3,0)=0,"0",VLOOKUP(B34,'5ème J.'!$BH$9:$BK$62,3,0)))</f>
        <v>-21</v>
      </c>
      <c r="U34" s="212">
        <f>IF(ISNA(VLOOKUP(B34,'5ème J.'!$BH$9:$BK$62,4,0))," ",IF(VLOOKUP(B34,'5ème J.'!$BH$9:$BK$62,4,0)=0,"0",VLOOKUP(B34,'5ème J.'!$BH$9:$BK$62,4,0)))</f>
        <v>8</v>
      </c>
      <c r="V34" s="257"/>
      <c r="W34" s="212">
        <f>IF(ISNA(VLOOKUP(B34,'6ème J.'!$BH$9:$BK$62,2,0))," ",IF(VLOOKUP(B34,'6ème J.'!$BH$9:$BK$62,2,0)=0,"0",VLOOKUP(B34,'6ème J.'!$BH$9:$BK$62,2,0)))</f>
        <v>3</v>
      </c>
      <c r="X34" s="212">
        <f>IF(ISNA(VLOOKUP(B34,'6ème J.'!$BH$9:$BK$62,3,0))," ",IF(VLOOKUP(B34,'6ème J.'!$BH$9:$BK$62,3,0)=0,"0",VLOOKUP(B34,'6ème J.'!$BH$9:$BK$62,3,0)))</f>
        <v>-5</v>
      </c>
      <c r="Y34" s="212">
        <f>IF(ISNA(VLOOKUP(B34,'6ème J.'!$BH$9:$BK$62,4,0))," ",IF(VLOOKUP(B34,'6ème J.'!$BH$9:$BK$62,4,0)=0,"0",VLOOKUP(B34,'6ème J.'!$BH$9:$BK$62,4,0)))</f>
        <v>23</v>
      </c>
      <c r="Z34"/>
      <c r="AA34" s="289" t="str">
        <f t="shared" si="0"/>
        <v>B11</v>
      </c>
      <c r="AB34" s="216">
        <f t="shared" si="5"/>
        <v>13</v>
      </c>
      <c r="AC34" s="213">
        <f t="shared" si="6"/>
        <v>-25</v>
      </c>
      <c r="AD34" s="290">
        <f t="shared" si="7"/>
        <v>38</v>
      </c>
      <c r="AE34" s="214">
        <f t="shared" si="8"/>
        <v>38.246200340000001</v>
      </c>
      <c r="AF34" s="215">
        <f>IF(AB34="","",SMALL(AE$6:AE$59,ROWS(AB$6:AB34)))</f>
        <v>28.194000129999999</v>
      </c>
      <c r="AG34" s="215"/>
      <c r="AH34" s="261">
        <f>IF(AF34="","",IF(AND(AJ33=AJ34,AK33=AK34,AL34=AL33),AH33,$AH$6+28))</f>
        <v>29</v>
      </c>
      <c r="AI34" s="216" t="str">
        <f t="shared" si="1"/>
        <v>A8</v>
      </c>
      <c r="AJ34" s="216">
        <f t="shared" si="2"/>
        <v>20</v>
      </c>
      <c r="AK34" s="263">
        <f t="shared" si="3"/>
        <v>-20</v>
      </c>
      <c r="AL34" s="266">
        <f t="shared" si="4"/>
        <v>60</v>
      </c>
      <c r="AN34" s="218">
        <v>29</v>
      </c>
    </row>
    <row r="35" spans="1:40" x14ac:dyDescent="0.3">
      <c r="A35" s="296">
        <v>30</v>
      </c>
      <c r="B35" s="293" t="str">
        <f>+Inscrits!D14</f>
        <v>B12</v>
      </c>
      <c r="C35" s="212" t="str">
        <f>IF(ISNA(VLOOKUP(B35,'1ère J.'!$BH$9:$BK$62,2,0))," ",IF(VLOOKUP(B35,'1ère J.'!$BH$9:$BK$62,2,0)=0,"0",VLOOKUP(B35,'1ère J.'!$BH$9:$BK$62,2,0)))</f>
        <v>0</v>
      </c>
      <c r="D35" s="212" t="str">
        <f>IF(ISNA(VLOOKUP(B35,'1ère J.'!$BH$9:$BK$62,3,0))," ",IF(VLOOKUP(B35,'1ère J.'!$BH$9:$BK$62,3,0)=0,"0",VLOOKUP(B35,'1ère J.'!$BH$9:$BK$62,3,0)))</f>
        <v>0</v>
      </c>
      <c r="E35" s="212" t="str">
        <f>IF(ISNA(VLOOKUP(B35,'1ère J.'!$BH$9:$BK$62,4,0))," ",IF(VLOOKUP(B35,'1ère J.'!$BH$9:$BK$62,4,0)=0,"0",VLOOKUP(B35,'1ère J.'!$BH$9:$BK$62,4,0)))</f>
        <v>0</v>
      </c>
      <c r="F35" s="257"/>
      <c r="G35" s="212" t="str">
        <f>IF(ISNA(VLOOKUP(B35,'2ème J.'!$BH$9:$BK$62,2,0))," ",IF(VLOOKUP(B35,'2ème J.'!$BH$9:$BK$62,2,0)=0,"0",VLOOKUP(B35,'2ème J.'!$BH$9:$BK$62,2,0)))</f>
        <v>0</v>
      </c>
      <c r="H35" s="212" t="str">
        <f>IF(ISNA(VLOOKUP(B35,'2ème J.'!$BH$9:$BK$62,3,0))," ",IF(VLOOKUP(B35,'2ème J.'!$BH$9:$BK$62,3,0)=0,"0",VLOOKUP(B35,'2ème J.'!$BH$9:$BK$62,3,0)))</f>
        <v>0</v>
      </c>
      <c r="I35" s="212" t="str">
        <f>IF(ISNA(VLOOKUP(B35,'2ème J.'!$BH$9:$BK$62,4,0))," ",IF(VLOOKUP(B35,'2ème J.'!$BH$9:$BK$62,4,0)=0,"0",VLOOKUP(B35,'2ème J.'!$BH$9:$BK$62,4,0)))</f>
        <v>0</v>
      </c>
      <c r="J35" s="272"/>
      <c r="K35" s="212" t="str">
        <f>IF(ISNA(VLOOKUP(B35,'3ème J.'!$BH$9:$BK$62,2,0))," ",IF(VLOOKUP(B35,'3ème J.'!$BH$9:$BK$62,2,0)=0,"0",VLOOKUP(B35,'3ème J.'!$BH$9:$BK$62,2,0)))</f>
        <v>0</v>
      </c>
      <c r="L35" s="212" t="str">
        <f>IF(ISNA(VLOOKUP(B35,'3ème J.'!$BH$9:$BK$62,3,0))," ",IF(VLOOKUP(B35,'3ème J.'!$BH$9:$BK$62,3,0)=0,"0",VLOOKUP(B35,'3ème J.'!$BH$9:$BK$62,3,0)))</f>
        <v>0</v>
      </c>
      <c r="M35" s="212" t="str">
        <f>IF(ISNA(VLOOKUP(B35,'3ème J.'!$BH$9:$BK$62,4,0))," ",IF(VLOOKUP(B35,'3ème J.'!$BH$9:$BK$62,4,0)=0,"0",VLOOKUP(B35,'3ème J.'!$BH$9:$BK$62,4,0)))</f>
        <v>0</v>
      </c>
      <c r="N35" s="272"/>
      <c r="O35" s="212" t="str">
        <f>IF(ISNA(VLOOKUP(B35,'4ème J.'!$BH$9:$BK$62,2,0))," ",IF(VLOOKUP(B35,'4ème J.'!$BH$9:$BK$62,2,0)=0,"0",VLOOKUP(B35,'4ème J.'!$BH$9:$BK$62,2,0)))</f>
        <v>0</v>
      </c>
      <c r="P35" s="212" t="str">
        <f>IF(ISNA(VLOOKUP(B35,'4ème J.'!$BH$9:$BK$62,3,0))," ",IF(VLOOKUP(B35,'4ème J.'!$BH$9:$BK$62,3,0)=0,"0",VLOOKUP(B35,'4ème J.'!$BH$9:$BK$62,3,0)))</f>
        <v>0</v>
      </c>
      <c r="Q35" s="212" t="str">
        <f>IF(ISNA(VLOOKUP(B35,'4ème J.'!$BH$9:$BK$62,4,0))," ",IF(VLOOKUP(B35,'4ème J.'!$BH$9:$BK$62,4,0)=0,"0",VLOOKUP(B35,'4ème J.'!$BH$9:$BK$62,4,0)))</f>
        <v>0</v>
      </c>
      <c r="R35" s="257"/>
      <c r="S35" s="212">
        <f>IF(ISNA(VLOOKUP(B35,'5ème J.'!$BH$9:$BK$62,2,0))," ",IF(VLOOKUP(B35,'5ème J.'!$BH$9:$BK$62,2,0)=0,"0",VLOOKUP(B35,'5ème J.'!$BH$9:$BK$62,2,0)))</f>
        <v>9</v>
      </c>
      <c r="T35" s="212">
        <f>IF(ISNA(VLOOKUP(B35,'5ème J.'!$BH$9:$BK$62,3,0))," ",IF(VLOOKUP(B35,'5ème J.'!$BH$9:$BK$62,3,0)=0,"0",VLOOKUP(B35,'5ème J.'!$BH$9:$BK$62,3,0)))</f>
        <v>21</v>
      </c>
      <c r="U35" s="212">
        <f>IF(ISNA(VLOOKUP(B35,'5ème J.'!$BH$9:$BK$62,4,0))," ",IF(VLOOKUP(B35,'5ème J.'!$BH$9:$BK$62,4,0)=0,"0",VLOOKUP(B35,'5ème J.'!$BH$9:$BK$62,4,0)))</f>
        <v>29</v>
      </c>
      <c r="V35" s="257"/>
      <c r="W35" s="212">
        <f>IF(ISNA(VLOOKUP(B35,'6ème J.'!$BH$9:$BK$62,2,0))," ",IF(VLOOKUP(B35,'6ème J.'!$BH$9:$BK$62,2,0)=0,"0",VLOOKUP(B35,'6ème J.'!$BH$9:$BK$62,2,0)))</f>
        <v>9</v>
      </c>
      <c r="X35" s="212">
        <f>IF(ISNA(VLOOKUP(B35,'6ème J.'!$BH$9:$BK$62,3,0))," ",IF(VLOOKUP(B35,'6ème J.'!$BH$9:$BK$62,3,0)=0,"0",VLOOKUP(B35,'6ème J.'!$BH$9:$BK$62,3,0)))</f>
        <v>5</v>
      </c>
      <c r="Y35" s="212">
        <f>IF(ISNA(VLOOKUP(B35,'6ème J.'!$BH$9:$BK$62,4,0))," ",IF(VLOOKUP(B35,'6ème J.'!$BH$9:$BK$62,4,0)=0,"0",VLOOKUP(B35,'6ème J.'!$BH$9:$BK$62,4,0)))</f>
        <v>28</v>
      </c>
      <c r="Z35"/>
      <c r="AA35" s="289" t="str">
        <f t="shared" si="0"/>
        <v>B12</v>
      </c>
      <c r="AB35" s="216">
        <f t="shared" si="5"/>
        <v>18</v>
      </c>
      <c r="AC35" s="213">
        <f t="shared" si="6"/>
        <v>26</v>
      </c>
      <c r="AD35" s="290">
        <f t="shared" si="7"/>
        <v>57</v>
      </c>
      <c r="AE35" s="214">
        <f t="shared" si="8"/>
        <v>31.734300349999998</v>
      </c>
      <c r="AF35" s="215">
        <f>IF(AB35="","",SMALL(AE$6:AE$59,ROWS(AB$6:AB35)))</f>
        <v>29.905200170000001</v>
      </c>
      <c r="AG35" s="215"/>
      <c r="AH35" s="261">
        <f>IF(AF35="","",IF(AND(AJ34=AJ35,AK34=AK35,AL35=AL34),AH34,$AH$6+29))</f>
        <v>30</v>
      </c>
      <c r="AI35" s="216" t="str">
        <f t="shared" si="1"/>
        <v>A12</v>
      </c>
      <c r="AJ35" s="216">
        <f t="shared" si="2"/>
        <v>19</v>
      </c>
      <c r="AK35" s="263">
        <f t="shared" si="3"/>
        <v>9</v>
      </c>
      <c r="AL35" s="266">
        <f t="shared" si="4"/>
        <v>48</v>
      </c>
      <c r="AN35" s="218">
        <v>30</v>
      </c>
    </row>
    <row r="36" spans="1:40" x14ac:dyDescent="0.3">
      <c r="A36" s="296">
        <v>31</v>
      </c>
      <c r="B36" s="293" t="str">
        <f>+Inscrits!D15</f>
        <v>B13</v>
      </c>
      <c r="C36" s="212" t="str">
        <f>IF(ISNA(VLOOKUP(B36,'1ère J.'!$BH$9:$BK$62,2,0))," ",IF(VLOOKUP(B36,'1ère J.'!$BH$9:$BK$62,2,0)=0,"0",VLOOKUP(B36,'1ère J.'!$BH$9:$BK$62,2,0)))</f>
        <v>0</v>
      </c>
      <c r="D36" s="212" t="str">
        <f>IF(ISNA(VLOOKUP(B36,'1ère J.'!$BH$9:$BK$62,3,0))," ",IF(VLOOKUP(B36,'1ère J.'!$BH$9:$BK$62,3,0)=0,"0",VLOOKUP(B36,'1ère J.'!$BH$9:$BK$62,3,0)))</f>
        <v>0</v>
      </c>
      <c r="E36" s="212" t="str">
        <f>IF(ISNA(VLOOKUP(B36,'1ère J.'!$BH$9:$BK$62,4,0))," ",IF(VLOOKUP(B36,'1ère J.'!$BH$9:$BK$62,4,0)=0,"0",VLOOKUP(B36,'1ère J.'!$BH$9:$BK$62,4,0)))</f>
        <v>0</v>
      </c>
      <c r="F36" s="257"/>
      <c r="G36" s="212" t="str">
        <f>IF(ISNA(VLOOKUP(B36,'2ème J.'!$BH$9:$BK$62,2,0))," ",IF(VLOOKUP(B36,'2ème J.'!$BH$9:$BK$62,2,0)=0,"0",VLOOKUP(B36,'2ème J.'!$BH$9:$BK$62,2,0)))</f>
        <v>0</v>
      </c>
      <c r="H36" s="212" t="str">
        <f>IF(ISNA(VLOOKUP(B36,'2ème J.'!$BH$9:$BK$62,3,0))," ",IF(VLOOKUP(B36,'2ème J.'!$BH$9:$BK$62,3,0)=0,"0",VLOOKUP(B36,'2ème J.'!$BH$9:$BK$62,3,0)))</f>
        <v>0</v>
      </c>
      <c r="I36" s="212" t="str">
        <f>IF(ISNA(VLOOKUP(B36,'2ème J.'!$BH$9:$BK$62,4,0))," ",IF(VLOOKUP(B36,'2ème J.'!$BH$9:$BK$62,4,0)=0,"0",VLOOKUP(B36,'2ème J.'!$BH$9:$BK$62,4,0)))</f>
        <v>0</v>
      </c>
      <c r="J36" s="272"/>
      <c r="K36" s="212" t="str">
        <f>IF(ISNA(VLOOKUP(B36,'3ème J.'!$BH$9:$BK$62,2,0))," ",IF(VLOOKUP(B36,'3ème J.'!$BH$9:$BK$62,2,0)=0,"0",VLOOKUP(B36,'3ème J.'!$BH$9:$BK$62,2,0)))</f>
        <v>0</v>
      </c>
      <c r="L36" s="212" t="str">
        <f>IF(ISNA(VLOOKUP(B36,'3ème J.'!$BH$9:$BK$62,3,0))," ",IF(VLOOKUP(B36,'3ème J.'!$BH$9:$BK$62,3,0)=0,"0",VLOOKUP(B36,'3ème J.'!$BH$9:$BK$62,3,0)))</f>
        <v>0</v>
      </c>
      <c r="M36" s="212" t="str">
        <f>IF(ISNA(VLOOKUP(B36,'3ème J.'!$BH$9:$BK$62,4,0))," ",IF(VLOOKUP(B36,'3ème J.'!$BH$9:$BK$62,4,0)=0,"0",VLOOKUP(B36,'3ème J.'!$BH$9:$BK$62,4,0)))</f>
        <v>0</v>
      </c>
      <c r="N36" s="272"/>
      <c r="O36" s="212" t="str">
        <f>IF(ISNA(VLOOKUP(B36,'4ème J.'!$BH$9:$BK$62,2,0))," ",IF(VLOOKUP(B36,'4ème J.'!$BH$9:$BK$62,2,0)=0,"0",VLOOKUP(B36,'4ème J.'!$BH$9:$BK$62,2,0)))</f>
        <v>0</v>
      </c>
      <c r="P36" s="212" t="str">
        <f>IF(ISNA(VLOOKUP(B36,'4ème J.'!$BH$9:$BK$62,3,0))," ",IF(VLOOKUP(B36,'4ème J.'!$BH$9:$BK$62,3,0)=0,"0",VLOOKUP(B36,'4ème J.'!$BH$9:$BK$62,3,0)))</f>
        <v>0</v>
      </c>
      <c r="Q36" s="212" t="str">
        <f>IF(ISNA(VLOOKUP(B36,'4ème J.'!$BH$9:$BK$62,4,0))," ",IF(VLOOKUP(B36,'4ème J.'!$BH$9:$BK$62,4,0)=0,"0",VLOOKUP(B36,'4ème J.'!$BH$9:$BK$62,4,0)))</f>
        <v>0</v>
      </c>
      <c r="R36" s="257"/>
      <c r="S36" s="212">
        <f>IF(ISNA(VLOOKUP(B36,'5ème J.'!$BH$9:$BK$62,2,0))," ",IF(VLOOKUP(B36,'5ème J.'!$BH$9:$BK$62,2,0)=0,"0",VLOOKUP(B36,'5ème J.'!$BH$9:$BK$62,2,0)))</f>
        <v>3</v>
      </c>
      <c r="T36" s="212">
        <f>IF(ISNA(VLOOKUP(B36,'5ème J.'!$BH$9:$BK$62,3,0))," ",IF(VLOOKUP(B36,'5ème J.'!$BH$9:$BK$62,3,0)=0,"0",VLOOKUP(B36,'5ème J.'!$BH$9:$BK$62,3,0)))</f>
        <v>-19</v>
      </c>
      <c r="U36" s="212">
        <f>IF(ISNA(VLOOKUP(B36,'5ème J.'!$BH$9:$BK$62,4,0))," ",IF(VLOOKUP(B36,'5ème J.'!$BH$9:$BK$62,4,0)=0,"0",VLOOKUP(B36,'5ème J.'!$BH$9:$BK$62,4,0)))</f>
        <v>7</v>
      </c>
      <c r="V36" s="257"/>
      <c r="W36" s="212">
        <f>IF(ISNA(VLOOKUP(B36,'6ème J.'!$BH$9:$BK$62,2,0))," ",IF(VLOOKUP(B36,'6ème J.'!$BH$9:$BK$62,2,0)=0,"0",VLOOKUP(B36,'6ème J.'!$BH$9:$BK$62,2,0)))</f>
        <v>7</v>
      </c>
      <c r="X36" s="212">
        <f>IF(ISNA(VLOOKUP(B36,'6ème J.'!$BH$9:$BK$62,3,0))," ",IF(VLOOKUP(B36,'6ème J.'!$BH$9:$BK$62,3,0)=0,"0",VLOOKUP(B36,'6ème J.'!$BH$9:$BK$62,3,0)))</f>
        <v>-3</v>
      </c>
      <c r="Y36" s="212">
        <f>IF(ISNA(VLOOKUP(B36,'6ème J.'!$BH$9:$BK$62,4,0))," ",IF(VLOOKUP(B36,'6ème J.'!$BH$9:$BK$62,4,0)=0,"0",VLOOKUP(B36,'6ème J.'!$BH$9:$BK$62,4,0)))</f>
        <v>19</v>
      </c>
      <c r="Z36"/>
      <c r="AA36" s="289" t="str">
        <f t="shared" si="0"/>
        <v>B13</v>
      </c>
      <c r="AB36" s="216">
        <f t="shared" si="5"/>
        <v>10</v>
      </c>
      <c r="AC36" s="213">
        <f t="shared" si="6"/>
        <v>-22</v>
      </c>
      <c r="AD36" s="290">
        <f t="shared" si="7"/>
        <v>26</v>
      </c>
      <c r="AE36" s="214">
        <f t="shared" si="8"/>
        <v>42.217400359999999</v>
      </c>
      <c r="AF36" s="215">
        <f>IF(AB36="","",SMALL(AE$6:AE$59,ROWS(AB$6:AB36)))</f>
        <v>30.02550016</v>
      </c>
      <c r="AG36" s="215"/>
      <c r="AH36" s="261">
        <f>IF(AF36="","",IF(AND(AJ35=AJ36,AK35=AK36,AL36=AL35),AH35,$AH$6+30))</f>
        <v>31</v>
      </c>
      <c r="AI36" s="216" t="str">
        <f t="shared" si="1"/>
        <v>A11</v>
      </c>
      <c r="AJ36" s="216">
        <f t="shared" si="2"/>
        <v>19</v>
      </c>
      <c r="AK36" s="263">
        <f t="shared" si="3"/>
        <v>-3</v>
      </c>
      <c r="AL36" s="266">
        <f t="shared" si="4"/>
        <v>45</v>
      </c>
      <c r="AN36" s="218">
        <v>31</v>
      </c>
    </row>
    <row r="37" spans="1:40" x14ac:dyDescent="0.3">
      <c r="A37" s="296">
        <v>32</v>
      </c>
      <c r="B37" s="293" t="str">
        <f>+Inscrits!D16</f>
        <v>B14</v>
      </c>
      <c r="C37" s="212" t="str">
        <f>IF(ISNA(VLOOKUP(B37,'1ère J.'!$BH$9:$BK$62,2,0))," ",IF(VLOOKUP(B37,'1ère J.'!$BH$9:$BK$62,2,0)=0,"0",VLOOKUP(B37,'1ère J.'!$BH$9:$BK$62,2,0)))</f>
        <v>0</v>
      </c>
      <c r="D37" s="212" t="str">
        <f>IF(ISNA(VLOOKUP(B37,'1ère J.'!$BH$9:$BK$62,3,0))," ",IF(VLOOKUP(B37,'1ère J.'!$BH$9:$BK$62,3,0)=0,"0",VLOOKUP(B37,'1ère J.'!$BH$9:$BK$62,3,0)))</f>
        <v>0</v>
      </c>
      <c r="E37" s="212" t="str">
        <f>IF(ISNA(VLOOKUP(B37,'1ère J.'!$BH$9:$BK$62,4,0))," ",IF(VLOOKUP(B37,'1ère J.'!$BH$9:$BK$62,4,0)=0,"0",VLOOKUP(B37,'1ère J.'!$BH$9:$BK$62,4,0)))</f>
        <v>0</v>
      </c>
      <c r="F37" s="257"/>
      <c r="G37" s="212" t="str">
        <f>IF(ISNA(VLOOKUP(B37,'2ème J.'!$BH$9:$BK$62,2,0))," ",IF(VLOOKUP(B37,'2ème J.'!$BH$9:$BK$62,2,0)=0,"0",VLOOKUP(B37,'2ème J.'!$BH$9:$BK$62,2,0)))</f>
        <v>0</v>
      </c>
      <c r="H37" s="212" t="str">
        <f>IF(ISNA(VLOOKUP(B37,'2ème J.'!$BH$9:$BK$62,3,0))," ",IF(VLOOKUP(B37,'2ème J.'!$BH$9:$BK$62,3,0)=0,"0",VLOOKUP(B37,'2ème J.'!$BH$9:$BK$62,3,0)))</f>
        <v>0</v>
      </c>
      <c r="I37" s="212" t="str">
        <f>IF(ISNA(VLOOKUP(B37,'2ème J.'!$BH$9:$BK$62,4,0))," ",IF(VLOOKUP(B37,'2ème J.'!$BH$9:$BK$62,4,0)=0,"0",VLOOKUP(B37,'2ème J.'!$BH$9:$BK$62,4,0)))</f>
        <v>0</v>
      </c>
      <c r="J37" s="272"/>
      <c r="K37" s="212" t="str">
        <f>IF(ISNA(VLOOKUP(B37,'3ème J.'!$BH$9:$BK$62,2,0))," ",IF(VLOOKUP(B37,'3ème J.'!$BH$9:$BK$62,2,0)=0,"0",VLOOKUP(B37,'3ème J.'!$BH$9:$BK$62,2,0)))</f>
        <v>0</v>
      </c>
      <c r="L37" s="212" t="str">
        <f>IF(ISNA(VLOOKUP(B37,'3ème J.'!$BH$9:$BK$62,3,0))," ",IF(VLOOKUP(B37,'3ème J.'!$BH$9:$BK$62,3,0)=0,"0",VLOOKUP(B37,'3ème J.'!$BH$9:$BK$62,3,0)))</f>
        <v>0</v>
      </c>
      <c r="M37" s="212" t="str">
        <f>IF(ISNA(VLOOKUP(B37,'3ème J.'!$BH$9:$BK$62,4,0))," ",IF(VLOOKUP(B37,'3ème J.'!$BH$9:$BK$62,4,0)=0,"0",VLOOKUP(B37,'3ème J.'!$BH$9:$BK$62,4,0)))</f>
        <v>0</v>
      </c>
      <c r="N37" s="272"/>
      <c r="O37" s="212" t="str">
        <f>IF(ISNA(VLOOKUP(B37,'4ème J.'!$BH$9:$BK$62,2,0))," ",IF(VLOOKUP(B37,'4ème J.'!$BH$9:$BK$62,2,0)=0,"0",VLOOKUP(B37,'4ème J.'!$BH$9:$BK$62,2,0)))</f>
        <v>0</v>
      </c>
      <c r="P37" s="212" t="str">
        <f>IF(ISNA(VLOOKUP(B37,'4ème J.'!$BH$9:$BK$62,3,0))," ",IF(VLOOKUP(B37,'4ème J.'!$BH$9:$BK$62,3,0)=0,"0",VLOOKUP(B37,'4ème J.'!$BH$9:$BK$62,3,0)))</f>
        <v>0</v>
      </c>
      <c r="Q37" s="212" t="str">
        <f>IF(ISNA(VLOOKUP(B37,'4ème J.'!$BH$9:$BK$62,4,0))," ",IF(VLOOKUP(B37,'4ème J.'!$BH$9:$BK$62,4,0)=0,"0",VLOOKUP(B37,'4ème J.'!$BH$9:$BK$62,4,0)))</f>
        <v>0</v>
      </c>
      <c r="R37" s="257"/>
      <c r="S37" s="212">
        <f>IF(ISNA(VLOOKUP(B37,'5ème J.'!$BH$9:$BK$62,2,0))," ",IF(VLOOKUP(B37,'5ème J.'!$BH$9:$BK$62,2,0)=0,"0",VLOOKUP(B37,'5ème J.'!$BH$9:$BK$62,2,0)))</f>
        <v>9</v>
      </c>
      <c r="T37" s="212">
        <f>IF(ISNA(VLOOKUP(B37,'5ème J.'!$BH$9:$BK$62,3,0))," ",IF(VLOOKUP(B37,'5ème J.'!$BH$9:$BK$62,3,0)=0,"0",VLOOKUP(B37,'5ème J.'!$BH$9:$BK$62,3,0)))</f>
        <v>19</v>
      </c>
      <c r="U37" s="212">
        <f>IF(ISNA(VLOOKUP(B37,'5ème J.'!$BH$9:$BK$62,4,0))," ",IF(VLOOKUP(B37,'5ème J.'!$BH$9:$BK$62,4,0)=0,"0",VLOOKUP(B37,'5ème J.'!$BH$9:$BK$62,4,0)))</f>
        <v>26</v>
      </c>
      <c r="V37" s="257"/>
      <c r="W37" s="212">
        <f>IF(ISNA(VLOOKUP(B37,'6ème J.'!$BH$9:$BK$62,2,0))," ",IF(VLOOKUP(B37,'6ème J.'!$BH$9:$BK$62,2,0)=0,"0",VLOOKUP(B37,'6ème J.'!$BH$9:$BK$62,2,0)))</f>
        <v>5</v>
      </c>
      <c r="X37" s="212">
        <f>IF(ISNA(VLOOKUP(B37,'6ème J.'!$BH$9:$BK$62,3,0))," ",IF(VLOOKUP(B37,'6ème J.'!$BH$9:$BK$62,3,0)=0,"0",VLOOKUP(B37,'6ème J.'!$BH$9:$BK$62,3,0)))</f>
        <v>3</v>
      </c>
      <c r="Y37" s="212">
        <f>IF(ISNA(VLOOKUP(B37,'6ème J.'!$BH$9:$BK$62,4,0))," ",IF(VLOOKUP(B37,'6ème J.'!$BH$9:$BK$62,4,0)=0,"0",VLOOKUP(B37,'6ème J.'!$BH$9:$BK$62,4,0)))</f>
        <v>22</v>
      </c>
      <c r="Z37"/>
      <c r="AA37" s="289" t="str">
        <f t="shared" si="0"/>
        <v>B14</v>
      </c>
      <c r="AB37" s="216">
        <f t="shared" si="5"/>
        <v>14</v>
      </c>
      <c r="AC37" s="213">
        <f t="shared" si="6"/>
        <v>22</v>
      </c>
      <c r="AD37" s="290">
        <f t="shared" si="7"/>
        <v>48</v>
      </c>
      <c r="AE37" s="214">
        <f t="shared" si="8"/>
        <v>34.77520037</v>
      </c>
      <c r="AF37" s="215">
        <f>IF(AB37="","",SMALL(AE$6:AE$59,ROWS(AB$6:AB37)))</f>
        <v>31.734300349999998</v>
      </c>
      <c r="AG37" s="215"/>
      <c r="AH37" s="261">
        <f>IF(AF37="","",IF(AND(AJ36=AJ37,AK36=AK37,AL37=AL36),AH36,$AH$6+31))</f>
        <v>32</v>
      </c>
      <c r="AI37" s="216" t="str">
        <f t="shared" si="1"/>
        <v>B12</v>
      </c>
      <c r="AJ37" s="216">
        <f t="shared" si="2"/>
        <v>18</v>
      </c>
      <c r="AK37" s="263">
        <f t="shared" si="3"/>
        <v>26</v>
      </c>
      <c r="AL37" s="266">
        <f t="shared" si="4"/>
        <v>57</v>
      </c>
      <c r="AN37" s="218">
        <v>32</v>
      </c>
    </row>
    <row r="38" spans="1:40" x14ac:dyDescent="0.3">
      <c r="A38" s="296">
        <v>33</v>
      </c>
      <c r="B38" s="293" t="str">
        <f>+Inscrits!D17</f>
        <v>B15</v>
      </c>
      <c r="C38" s="212" t="str">
        <f>IF(ISNA(VLOOKUP(B38,'1ère J.'!$BH$9:$BK$62,2,0))," ",IF(VLOOKUP(B38,'1ère J.'!$BH$9:$BK$62,2,0)=0,"0",VLOOKUP(B38,'1ère J.'!$BH$9:$BK$62,2,0)))</f>
        <v>0</v>
      </c>
      <c r="D38" s="212" t="str">
        <f>IF(ISNA(VLOOKUP(B38,'1ère J.'!$BH$9:$BK$62,3,0))," ",IF(VLOOKUP(B38,'1ère J.'!$BH$9:$BK$62,3,0)=0,"0",VLOOKUP(B38,'1ère J.'!$BH$9:$BK$62,3,0)))</f>
        <v>0</v>
      </c>
      <c r="E38" s="212" t="str">
        <f>IF(ISNA(VLOOKUP(B38,'1ère J.'!$BH$9:$BK$62,4,0))," ",IF(VLOOKUP(B38,'1ère J.'!$BH$9:$BK$62,4,0)=0,"0",VLOOKUP(B38,'1ère J.'!$BH$9:$BK$62,4,0)))</f>
        <v>0</v>
      </c>
      <c r="F38" s="257"/>
      <c r="G38" s="212" t="str">
        <f>IF(ISNA(VLOOKUP(B38,'2ème J.'!$BH$9:$BK$62,2,0))," ",IF(VLOOKUP(B38,'2ème J.'!$BH$9:$BK$62,2,0)=0,"0",VLOOKUP(B38,'2ème J.'!$BH$9:$BK$62,2,0)))</f>
        <v>0</v>
      </c>
      <c r="H38" s="212" t="str">
        <f>IF(ISNA(VLOOKUP(B38,'2ème J.'!$BH$9:$BK$62,3,0))," ",IF(VLOOKUP(B38,'2ème J.'!$BH$9:$BK$62,3,0)=0,"0",VLOOKUP(B38,'2ème J.'!$BH$9:$BK$62,3,0)))</f>
        <v>0</v>
      </c>
      <c r="I38" s="212" t="str">
        <f>IF(ISNA(VLOOKUP(B38,'2ème J.'!$BH$9:$BK$62,4,0))," ",IF(VLOOKUP(B38,'2ème J.'!$BH$9:$BK$62,4,0)=0,"0",VLOOKUP(B38,'2ème J.'!$BH$9:$BK$62,4,0)))</f>
        <v>0</v>
      </c>
      <c r="J38" s="272"/>
      <c r="K38" s="212" t="str">
        <f>IF(ISNA(VLOOKUP(B38,'3ème J.'!$BH$9:$BK$62,2,0))," ",IF(VLOOKUP(B38,'3ème J.'!$BH$9:$BK$62,2,0)=0,"0",VLOOKUP(B38,'3ème J.'!$BH$9:$BK$62,2,0)))</f>
        <v>0</v>
      </c>
      <c r="L38" s="212" t="str">
        <f>IF(ISNA(VLOOKUP(B38,'3ème J.'!$BH$9:$BK$62,3,0))," ",IF(VLOOKUP(B38,'3ème J.'!$BH$9:$BK$62,3,0)=0,"0",VLOOKUP(B38,'3ème J.'!$BH$9:$BK$62,3,0)))</f>
        <v>0</v>
      </c>
      <c r="M38" s="212" t="str">
        <f>IF(ISNA(VLOOKUP(B38,'3ème J.'!$BH$9:$BK$62,4,0))," ",IF(VLOOKUP(B38,'3ème J.'!$BH$9:$BK$62,4,0)=0,"0",VLOOKUP(B38,'3ème J.'!$BH$9:$BK$62,4,0)))</f>
        <v>0</v>
      </c>
      <c r="N38" s="272"/>
      <c r="O38" s="212" t="str">
        <f>IF(ISNA(VLOOKUP(B38,'4ème J.'!$BH$9:$BK$62,2,0))," ",IF(VLOOKUP(B38,'4ème J.'!$BH$9:$BK$62,2,0)=0,"0",VLOOKUP(B38,'4ème J.'!$BH$9:$BK$62,2,0)))</f>
        <v>0</v>
      </c>
      <c r="P38" s="212" t="str">
        <f>IF(ISNA(VLOOKUP(B38,'4ème J.'!$BH$9:$BK$62,3,0))," ",IF(VLOOKUP(B38,'4ème J.'!$BH$9:$BK$62,3,0)=0,"0",VLOOKUP(B38,'4ème J.'!$BH$9:$BK$62,3,0)))</f>
        <v>0</v>
      </c>
      <c r="Q38" s="212" t="str">
        <f>IF(ISNA(VLOOKUP(B38,'4ème J.'!$BH$9:$BK$62,4,0))," ",IF(VLOOKUP(B38,'4ème J.'!$BH$9:$BK$62,4,0)=0,"0",VLOOKUP(B38,'4ème J.'!$BH$9:$BK$62,4,0)))</f>
        <v>0</v>
      </c>
      <c r="R38" s="257"/>
      <c r="S38" s="212">
        <f>IF(ISNA(VLOOKUP(B38,'5ème J.'!$BH$9:$BK$62,2,0))," ",IF(VLOOKUP(B38,'5ème J.'!$BH$9:$BK$62,2,0)=0,"0",VLOOKUP(B38,'5ème J.'!$BH$9:$BK$62,2,0)))</f>
        <v>7</v>
      </c>
      <c r="T38" s="212">
        <f>IF(ISNA(VLOOKUP(B38,'5ème J.'!$BH$9:$BK$62,3,0))," ",IF(VLOOKUP(B38,'5ème J.'!$BH$9:$BK$62,3,0)=0,"0",VLOOKUP(B38,'5ème J.'!$BH$9:$BK$62,3,0)))</f>
        <v>11</v>
      </c>
      <c r="U38" s="212">
        <f>IF(ISNA(VLOOKUP(B38,'5ème J.'!$BH$9:$BK$62,4,0))," ",IF(VLOOKUP(B38,'5ème J.'!$BH$9:$BK$62,4,0)=0,"0",VLOOKUP(B38,'5ème J.'!$BH$9:$BK$62,4,0)))</f>
        <v>26</v>
      </c>
      <c r="V38" s="257"/>
      <c r="W38" s="212">
        <f>IF(ISNA(VLOOKUP(B38,'6ème J.'!$BH$9:$BK$62,2,0))," ",IF(VLOOKUP(B38,'6ème J.'!$BH$9:$BK$62,2,0)=0,"0",VLOOKUP(B38,'6ème J.'!$BH$9:$BK$62,2,0)))</f>
        <v>3</v>
      </c>
      <c r="X38" s="212">
        <f>IF(ISNA(VLOOKUP(B38,'6ème J.'!$BH$9:$BK$62,3,0))," ",IF(VLOOKUP(B38,'6ème J.'!$BH$9:$BK$62,3,0)=0,"0",VLOOKUP(B38,'6ème J.'!$BH$9:$BK$62,3,0)))</f>
        <v>-8</v>
      </c>
      <c r="Y38" s="212">
        <f>IF(ISNA(VLOOKUP(B38,'6ème J.'!$BH$9:$BK$62,4,0))," ",IF(VLOOKUP(B38,'6ème J.'!$BH$9:$BK$62,4,0)=0,"0",VLOOKUP(B38,'6ème J.'!$BH$9:$BK$62,4,0)))</f>
        <v>27</v>
      </c>
      <c r="Z38"/>
      <c r="AA38" s="289" t="str">
        <f t="shared" ref="AA38:AA59" si="9">VLOOKUP(A38,$A$6:$B$59,2,0)</f>
        <v>B15</v>
      </c>
      <c r="AB38" s="216">
        <f t="shared" ref="AB38:AB59" si="10">SUMIFS(C38:W38,$C$5:$W$5,"Pts",C38:W38,"&lt;&gt;#N/A")</f>
        <v>10</v>
      </c>
      <c r="AC38" s="213">
        <f t="shared" si="6"/>
        <v>3</v>
      </c>
      <c r="AD38" s="290">
        <f t="shared" si="7"/>
        <v>53</v>
      </c>
      <c r="AE38" s="214">
        <f t="shared" si="8"/>
        <v>41.964700380000004</v>
      </c>
      <c r="AF38" s="215">
        <f>IF(AB38="","",SMALL(AE$6:AE$59,ROWS(AB$6:AB38)))</f>
        <v>33.05520052</v>
      </c>
      <c r="AG38" s="215"/>
      <c r="AH38" s="261">
        <f>IF(AF38="","",IF(AND(AJ37=AJ38,AK37=AK38,AL38=AL37),AH37,$AH$6+32))</f>
        <v>33</v>
      </c>
      <c r="AI38" s="216" t="str">
        <f t="shared" ref="AI38:AI59" si="11">IF(OR(AA38="",AB38=""),"",INDEX($AA$6:$AA$59,MATCH(AF38,$AE$6:$AE$59,0)))</f>
        <v>C11</v>
      </c>
      <c r="AJ38" s="216">
        <f t="shared" ref="AJ38:AJ59" si="12">IF(AA38="","",INDEX($AB$6:$AB$59,MATCH(AF38,$AE$6:$AE$59,0)))</f>
        <v>17</v>
      </c>
      <c r="AK38" s="263">
        <f t="shared" ref="AK38:AK59" si="13">IF(AA38="","",INDEX($AC$6:$AC$59,MATCH(AF38,$AE$6:$AE$59,0)))</f>
        <v>-6</v>
      </c>
      <c r="AL38" s="266">
        <f t="shared" ref="AL38:AL59" si="14">IF(AA38="","",INDEX($AD$6:$AD$59,MATCH(AF38,$AE$6:$AE$59,0)))</f>
        <v>48</v>
      </c>
      <c r="AN38" s="218">
        <v>33</v>
      </c>
    </row>
    <row r="39" spans="1:40" x14ac:dyDescent="0.3">
      <c r="A39" s="296">
        <v>34</v>
      </c>
      <c r="B39" s="293" t="str">
        <f>+Inscrits!D18</f>
        <v>B16</v>
      </c>
      <c r="C39" s="212" t="str">
        <f>IF(ISNA(VLOOKUP(B39,'1ère J.'!$BH$9:$BK$62,2,0))," ",IF(VLOOKUP(B39,'1ère J.'!$BH$9:$BK$62,2,0)=0,"0",VLOOKUP(B39,'1ère J.'!$BH$9:$BK$62,2,0)))</f>
        <v>0</v>
      </c>
      <c r="D39" s="212" t="str">
        <f>IF(ISNA(VLOOKUP(B39,'1ère J.'!$BH$9:$BK$62,3,0))," ",IF(VLOOKUP(B39,'1ère J.'!$BH$9:$BK$62,3,0)=0,"0",VLOOKUP(B39,'1ère J.'!$BH$9:$BK$62,3,0)))</f>
        <v>0</v>
      </c>
      <c r="E39" s="212" t="str">
        <f>IF(ISNA(VLOOKUP(B39,'1ère J.'!$BH$9:$BK$62,4,0))," ",IF(VLOOKUP(B39,'1ère J.'!$BH$9:$BK$62,4,0)=0,"0",VLOOKUP(B39,'1ère J.'!$BH$9:$BK$62,4,0)))</f>
        <v>0</v>
      </c>
      <c r="F39" s="257"/>
      <c r="G39" s="212" t="str">
        <f>IF(ISNA(VLOOKUP(B39,'2ème J.'!$BH$9:$BK$62,2,0))," ",IF(VLOOKUP(B39,'2ème J.'!$BH$9:$BK$62,2,0)=0,"0",VLOOKUP(B39,'2ème J.'!$BH$9:$BK$62,2,0)))</f>
        <v>0</v>
      </c>
      <c r="H39" s="212" t="str">
        <f>IF(ISNA(VLOOKUP(B39,'2ème J.'!$BH$9:$BK$62,3,0))," ",IF(VLOOKUP(B39,'2ème J.'!$BH$9:$BK$62,3,0)=0,"0",VLOOKUP(B39,'2ème J.'!$BH$9:$BK$62,3,0)))</f>
        <v>0</v>
      </c>
      <c r="I39" s="212" t="str">
        <f>IF(ISNA(VLOOKUP(B39,'2ème J.'!$BH$9:$BK$62,4,0))," ",IF(VLOOKUP(B39,'2ème J.'!$BH$9:$BK$62,4,0)=0,"0",VLOOKUP(B39,'2ème J.'!$BH$9:$BK$62,4,0)))</f>
        <v>0</v>
      </c>
      <c r="J39" s="272"/>
      <c r="K39" s="212" t="str">
        <f>IF(ISNA(VLOOKUP(B39,'3ème J.'!$BH$9:$BK$62,2,0))," ",IF(VLOOKUP(B39,'3ème J.'!$BH$9:$BK$62,2,0)=0,"0",VLOOKUP(B39,'3ème J.'!$BH$9:$BK$62,2,0)))</f>
        <v>0</v>
      </c>
      <c r="L39" s="212" t="str">
        <f>IF(ISNA(VLOOKUP(B39,'3ème J.'!$BH$9:$BK$62,3,0))," ",IF(VLOOKUP(B39,'3ème J.'!$BH$9:$BK$62,3,0)=0,"0",VLOOKUP(B39,'3ème J.'!$BH$9:$BK$62,3,0)))</f>
        <v>0</v>
      </c>
      <c r="M39" s="212" t="str">
        <f>IF(ISNA(VLOOKUP(B39,'3ème J.'!$BH$9:$BK$62,4,0))," ",IF(VLOOKUP(B39,'3ème J.'!$BH$9:$BK$62,4,0)=0,"0",VLOOKUP(B39,'3ème J.'!$BH$9:$BK$62,4,0)))</f>
        <v>0</v>
      </c>
      <c r="N39" s="272"/>
      <c r="O39" s="212" t="str">
        <f>IF(ISNA(VLOOKUP(B39,'4ème J.'!$BH$9:$BK$62,2,0))," ",IF(VLOOKUP(B39,'4ème J.'!$BH$9:$BK$62,2,0)=0,"0",VLOOKUP(B39,'4ème J.'!$BH$9:$BK$62,2,0)))</f>
        <v>0</v>
      </c>
      <c r="P39" s="212" t="str">
        <f>IF(ISNA(VLOOKUP(B39,'4ème J.'!$BH$9:$BK$62,3,0))," ",IF(VLOOKUP(B39,'4ème J.'!$BH$9:$BK$62,3,0)=0,"0",VLOOKUP(B39,'4ème J.'!$BH$9:$BK$62,3,0)))</f>
        <v>0</v>
      </c>
      <c r="Q39" s="212" t="str">
        <f>IF(ISNA(VLOOKUP(B39,'4ème J.'!$BH$9:$BK$62,4,0))," ",IF(VLOOKUP(B39,'4ème J.'!$BH$9:$BK$62,4,0)=0,"0",VLOOKUP(B39,'4ème J.'!$BH$9:$BK$62,4,0)))</f>
        <v>0</v>
      </c>
      <c r="R39" s="257"/>
      <c r="S39" s="212" t="str">
        <f>IF(ISNA(VLOOKUP(B39,'5ème J.'!$BH$9:$BK$62,2,0))," ",IF(VLOOKUP(B39,'5ème J.'!$BH$9:$BK$62,2,0)=0,"0",VLOOKUP(B39,'5ème J.'!$BH$9:$BK$62,2,0)))</f>
        <v>0</v>
      </c>
      <c r="T39" s="212" t="str">
        <f>IF(ISNA(VLOOKUP(B39,'5ème J.'!$BH$9:$BK$62,3,0))," ",IF(VLOOKUP(B39,'5ème J.'!$BH$9:$BK$62,3,0)=0,"0",VLOOKUP(B39,'5ème J.'!$BH$9:$BK$62,3,0)))</f>
        <v>0</v>
      </c>
      <c r="U39" s="212" t="str">
        <f>IF(ISNA(VLOOKUP(B39,'5ème J.'!$BH$9:$BK$62,4,0))," ",IF(VLOOKUP(B39,'5ème J.'!$BH$9:$BK$62,4,0)=0,"0",VLOOKUP(B39,'5ème J.'!$BH$9:$BK$62,4,0)))</f>
        <v>0</v>
      </c>
      <c r="V39" s="257"/>
      <c r="W39" s="212">
        <f>IF(ISNA(VLOOKUP(B39,'6ème J.'!$BH$9:$BK$62,2,0))," ",IF(VLOOKUP(B39,'6ème J.'!$BH$9:$BK$62,2,0)=0,"0",VLOOKUP(B39,'6ème J.'!$BH$9:$BK$62,2,0)))</f>
        <v>9</v>
      </c>
      <c r="X39" s="212">
        <f>IF(ISNA(VLOOKUP(B39,'6ème J.'!$BH$9:$BK$62,3,0))," ",IF(VLOOKUP(B39,'6ème J.'!$BH$9:$BK$62,3,0)=0,"0",VLOOKUP(B39,'6ème J.'!$BH$9:$BK$62,3,0)))</f>
        <v>8</v>
      </c>
      <c r="Y39" s="212">
        <f>IF(ISNA(VLOOKUP(B39,'6ème J.'!$BH$9:$BK$62,4,0))," ",IF(VLOOKUP(B39,'6ème J.'!$BH$9:$BK$62,4,0)=0,"0",VLOOKUP(B39,'6ème J.'!$BH$9:$BK$62,4,0)))</f>
        <v>35</v>
      </c>
      <c r="Z39"/>
      <c r="AA39" s="289" t="str">
        <f t="shared" si="9"/>
        <v>B16</v>
      </c>
      <c r="AB39" s="216">
        <f t="shared" si="10"/>
        <v>9</v>
      </c>
      <c r="AC39" s="213">
        <f t="shared" si="6"/>
        <v>8</v>
      </c>
      <c r="AD39" s="290">
        <f t="shared" si="7"/>
        <v>35</v>
      </c>
      <c r="AE39" s="214">
        <f t="shared" si="8"/>
        <v>44.916500389999996</v>
      </c>
      <c r="AF39" s="215">
        <f>IF(AB39="","",SMALL(AE$6:AE$59,ROWS(AB$6:AB39)))</f>
        <v>33.222800509999999</v>
      </c>
      <c r="AG39" s="215"/>
      <c r="AH39" s="261">
        <f>IF(AF39="","",IF(AND(AJ38=AJ39,AK38=AK39,AL39=AL38),AH38,$AH$6+33))</f>
        <v>34</v>
      </c>
      <c r="AI39" s="216" t="str">
        <f t="shared" si="11"/>
        <v>C10</v>
      </c>
      <c r="AJ39" s="216">
        <f t="shared" si="12"/>
        <v>17</v>
      </c>
      <c r="AK39" s="263">
        <f t="shared" si="13"/>
        <v>-23</v>
      </c>
      <c r="AL39" s="266">
        <f t="shared" si="14"/>
        <v>72</v>
      </c>
      <c r="AN39" s="218">
        <v>34</v>
      </c>
    </row>
    <row r="40" spans="1:40" x14ac:dyDescent="0.3">
      <c r="A40" s="296">
        <v>35</v>
      </c>
      <c r="B40" s="293" t="str">
        <f>+Inscrits!D19</f>
        <v>B17</v>
      </c>
      <c r="C40" s="212" t="str">
        <f>IF(ISNA(VLOOKUP(B40,'1ère J.'!$BH$9:$BK$62,2,0))," ",IF(VLOOKUP(B40,'1ère J.'!$BH$9:$BK$62,2,0)=0,"0",VLOOKUP(B40,'1ère J.'!$BH$9:$BK$62,2,0)))</f>
        <v>0</v>
      </c>
      <c r="D40" s="212" t="str">
        <f>IF(ISNA(VLOOKUP(B40,'1ère J.'!$BH$9:$BK$62,3,0))," ",IF(VLOOKUP(B40,'1ère J.'!$BH$9:$BK$62,3,0)=0,"0",VLOOKUP(B40,'1ère J.'!$BH$9:$BK$62,3,0)))</f>
        <v>0</v>
      </c>
      <c r="E40" s="212" t="str">
        <f>IF(ISNA(VLOOKUP(B40,'1ère J.'!$BH$9:$BK$62,4,0))," ",IF(VLOOKUP(B40,'1ère J.'!$BH$9:$BK$62,4,0)=0,"0",VLOOKUP(B40,'1ère J.'!$BH$9:$BK$62,4,0)))</f>
        <v>0</v>
      </c>
      <c r="F40" s="257"/>
      <c r="G40" s="212" t="str">
        <f>IF(ISNA(VLOOKUP(B40,'2ème J.'!$BH$9:$BK$62,2,0))," ",IF(VLOOKUP(B40,'2ème J.'!$BH$9:$BK$62,2,0)=0,"0",VLOOKUP(B40,'2ème J.'!$BH$9:$BK$62,2,0)))</f>
        <v>0</v>
      </c>
      <c r="H40" s="212" t="str">
        <f>IF(ISNA(VLOOKUP(B40,'2ème J.'!$BH$9:$BK$62,3,0))," ",IF(VLOOKUP(B40,'2ème J.'!$BH$9:$BK$62,3,0)=0,"0",VLOOKUP(B40,'2ème J.'!$BH$9:$BK$62,3,0)))</f>
        <v>0</v>
      </c>
      <c r="I40" s="212" t="str">
        <f>IF(ISNA(VLOOKUP(B40,'2ème J.'!$BH$9:$BK$62,4,0))," ",IF(VLOOKUP(B40,'2ème J.'!$BH$9:$BK$62,4,0)=0,"0",VLOOKUP(B40,'2ème J.'!$BH$9:$BK$62,4,0)))</f>
        <v>0</v>
      </c>
      <c r="J40" s="272"/>
      <c r="K40" s="212" t="str">
        <f>IF(ISNA(VLOOKUP(B40,'3ème J.'!$BH$9:$BK$62,2,0))," ",IF(VLOOKUP(B40,'3ème J.'!$BH$9:$BK$62,2,0)=0,"0",VLOOKUP(B40,'3ème J.'!$BH$9:$BK$62,2,0)))</f>
        <v>0</v>
      </c>
      <c r="L40" s="212" t="str">
        <f>IF(ISNA(VLOOKUP(B40,'3ème J.'!$BH$9:$BK$62,3,0))," ",IF(VLOOKUP(B40,'3ème J.'!$BH$9:$BK$62,3,0)=0,"0",VLOOKUP(B40,'3ème J.'!$BH$9:$BK$62,3,0)))</f>
        <v>0</v>
      </c>
      <c r="M40" s="212" t="str">
        <f>IF(ISNA(VLOOKUP(B40,'3ème J.'!$BH$9:$BK$62,4,0))," ",IF(VLOOKUP(B40,'3ème J.'!$BH$9:$BK$62,4,0)=0,"0",VLOOKUP(B40,'3ème J.'!$BH$9:$BK$62,4,0)))</f>
        <v>0</v>
      </c>
      <c r="N40" s="272"/>
      <c r="O40" s="212" t="str">
        <f>IF(ISNA(VLOOKUP(B40,'4ème J.'!$BH$9:$BK$62,2,0))," ",IF(VLOOKUP(B40,'4ème J.'!$BH$9:$BK$62,2,0)=0,"0",VLOOKUP(B40,'4ème J.'!$BH$9:$BK$62,2,0)))</f>
        <v>0</v>
      </c>
      <c r="P40" s="212" t="str">
        <f>IF(ISNA(VLOOKUP(B40,'4ème J.'!$BH$9:$BK$62,3,0))," ",IF(VLOOKUP(B40,'4ème J.'!$BH$9:$BK$62,3,0)=0,"0",VLOOKUP(B40,'4ème J.'!$BH$9:$BK$62,3,0)))</f>
        <v>0</v>
      </c>
      <c r="Q40" s="212" t="str">
        <f>IF(ISNA(VLOOKUP(B40,'4ème J.'!$BH$9:$BK$62,4,0))," ",IF(VLOOKUP(B40,'4ème J.'!$BH$9:$BK$62,4,0)=0,"0",VLOOKUP(B40,'4ème J.'!$BH$9:$BK$62,4,0)))</f>
        <v>0</v>
      </c>
      <c r="R40" s="257"/>
      <c r="S40" s="212" t="str">
        <f>IF(ISNA(VLOOKUP(B40,'5ème J.'!$BH$9:$BK$62,2,0))," ",IF(VLOOKUP(B40,'5ème J.'!$BH$9:$BK$62,2,0)=0,"0",VLOOKUP(B40,'5ème J.'!$BH$9:$BK$62,2,0)))</f>
        <v>0</v>
      </c>
      <c r="T40" s="212" t="str">
        <f>IF(ISNA(VLOOKUP(B40,'5ème J.'!$BH$9:$BK$62,3,0))," ",IF(VLOOKUP(B40,'5ème J.'!$BH$9:$BK$62,3,0)=0,"0",VLOOKUP(B40,'5ème J.'!$BH$9:$BK$62,3,0)))</f>
        <v>0</v>
      </c>
      <c r="U40" s="212" t="str">
        <f>IF(ISNA(VLOOKUP(B40,'5ème J.'!$BH$9:$BK$62,4,0))," ",IF(VLOOKUP(B40,'5ème J.'!$BH$9:$BK$62,4,0)=0,"0",VLOOKUP(B40,'5ème J.'!$BH$9:$BK$62,4,0)))</f>
        <v>0</v>
      </c>
      <c r="V40" s="257"/>
      <c r="W40" s="212">
        <f>IF(ISNA(VLOOKUP(B40,'6ème J.'!$BH$9:$BK$62,2,0))," ",IF(VLOOKUP(B40,'6ème J.'!$BH$9:$BK$62,2,0)=0,"0",VLOOKUP(B40,'6ème J.'!$BH$9:$BK$62,2,0)))</f>
        <v>9</v>
      </c>
      <c r="X40" s="212">
        <f>IF(ISNA(VLOOKUP(B40,'6ème J.'!$BH$9:$BK$62,3,0))," ",IF(VLOOKUP(B40,'6ème J.'!$BH$9:$BK$62,3,0)=0,"0",VLOOKUP(B40,'6ème J.'!$BH$9:$BK$62,3,0)))</f>
        <v>10</v>
      </c>
      <c r="Y40" s="212">
        <f>IF(ISNA(VLOOKUP(B40,'6ème J.'!$BH$9:$BK$62,4,0))," ",IF(VLOOKUP(B40,'6ème J.'!$BH$9:$BK$62,4,0)=0,"0",VLOOKUP(B40,'6ème J.'!$BH$9:$BK$62,4,0)))</f>
        <v>31</v>
      </c>
      <c r="Z40"/>
      <c r="AA40" s="289" t="str">
        <f t="shared" si="9"/>
        <v>B17</v>
      </c>
      <c r="AB40" s="216">
        <f t="shared" si="10"/>
        <v>9</v>
      </c>
      <c r="AC40" s="213">
        <f t="shared" si="6"/>
        <v>10</v>
      </c>
      <c r="AD40" s="290">
        <f t="shared" si="7"/>
        <v>31</v>
      </c>
      <c r="AE40" s="214">
        <f t="shared" si="8"/>
        <v>44.896900399999993</v>
      </c>
      <c r="AF40" s="215">
        <f>IF(AB40="","",SMALL(AE$6:AE$59,ROWS(AB$6:AB40)))</f>
        <v>34.77520037</v>
      </c>
      <c r="AG40" s="215"/>
      <c r="AH40" s="261">
        <f>IF(AF40="","",IF(AND(AJ39=AJ40,AK39=AK40,AL40=AL39),AH39,$AH$6+34))</f>
        <v>35</v>
      </c>
      <c r="AI40" s="216" t="str">
        <f t="shared" si="11"/>
        <v>B14</v>
      </c>
      <c r="AJ40" s="216">
        <f t="shared" si="12"/>
        <v>14</v>
      </c>
      <c r="AK40" s="263">
        <f t="shared" si="13"/>
        <v>22</v>
      </c>
      <c r="AL40" s="266">
        <f t="shared" si="14"/>
        <v>48</v>
      </c>
      <c r="AN40" s="218">
        <v>35</v>
      </c>
    </row>
    <row r="41" spans="1:40" x14ac:dyDescent="0.3">
      <c r="A41" s="296">
        <v>36</v>
      </c>
      <c r="B41" s="293" t="str">
        <f>+Inscrits!D20</f>
        <v>B18</v>
      </c>
      <c r="C41" s="212" t="str">
        <f>IF(ISNA(VLOOKUP(B41,'1ère J.'!$BH$9:$BK$62,2,0))," ",IF(VLOOKUP(B41,'1ère J.'!$BH$9:$BK$62,2,0)=0,"0",VLOOKUP(B41,'1ère J.'!$BH$9:$BK$62,2,0)))</f>
        <v>0</v>
      </c>
      <c r="D41" s="212" t="str">
        <f>IF(ISNA(VLOOKUP(B41,'1ère J.'!$BH$9:$BK$62,3,0))," ",IF(VLOOKUP(B41,'1ère J.'!$BH$9:$BK$62,3,0)=0,"0",VLOOKUP(B41,'1ère J.'!$BH$9:$BK$62,3,0)))</f>
        <v>0</v>
      </c>
      <c r="E41" s="212" t="str">
        <f>IF(ISNA(VLOOKUP(B41,'1ère J.'!$BH$9:$BK$62,4,0))," ",IF(VLOOKUP(B41,'1ère J.'!$BH$9:$BK$62,4,0)=0,"0",VLOOKUP(B41,'1ère J.'!$BH$9:$BK$62,4,0)))</f>
        <v>0</v>
      </c>
      <c r="F41" s="257"/>
      <c r="G41" s="212" t="str">
        <f>IF(ISNA(VLOOKUP(B41,'2ème J.'!$BH$9:$BK$62,2,0))," ",IF(VLOOKUP(B41,'2ème J.'!$BH$9:$BK$62,2,0)=0,"0",VLOOKUP(B41,'2ème J.'!$BH$9:$BK$62,2,0)))</f>
        <v>0</v>
      </c>
      <c r="H41" s="212" t="str">
        <f>IF(ISNA(VLOOKUP(B41,'2ème J.'!$BH$9:$BK$62,3,0))," ",IF(VLOOKUP(B41,'2ème J.'!$BH$9:$BK$62,3,0)=0,"0",VLOOKUP(B41,'2ème J.'!$BH$9:$BK$62,3,0)))</f>
        <v>0</v>
      </c>
      <c r="I41" s="212" t="str">
        <f>IF(ISNA(VLOOKUP(B41,'2ème J.'!$BH$9:$BK$62,4,0))," ",IF(VLOOKUP(B41,'2ème J.'!$BH$9:$BK$62,4,0)=0,"0",VLOOKUP(B41,'2ème J.'!$BH$9:$BK$62,4,0)))</f>
        <v>0</v>
      </c>
      <c r="J41" s="272"/>
      <c r="K41" s="212" t="str">
        <f>IF(ISNA(VLOOKUP(B41,'3ème J.'!$BH$9:$BK$62,2,0))," ",IF(VLOOKUP(B41,'3ème J.'!$BH$9:$BK$62,2,0)=0,"0",VLOOKUP(B41,'3ème J.'!$BH$9:$BK$62,2,0)))</f>
        <v>0</v>
      </c>
      <c r="L41" s="212" t="str">
        <f>IF(ISNA(VLOOKUP(B41,'3ème J.'!$BH$9:$BK$62,3,0))," ",IF(VLOOKUP(B41,'3ème J.'!$BH$9:$BK$62,3,0)=0,"0",VLOOKUP(B41,'3ème J.'!$BH$9:$BK$62,3,0)))</f>
        <v>0</v>
      </c>
      <c r="M41" s="212" t="str">
        <f>IF(ISNA(VLOOKUP(B41,'3ème J.'!$BH$9:$BK$62,4,0))," ",IF(VLOOKUP(B41,'3ème J.'!$BH$9:$BK$62,4,0)=0,"0",VLOOKUP(B41,'3ème J.'!$BH$9:$BK$62,4,0)))</f>
        <v>0</v>
      </c>
      <c r="N41" s="272"/>
      <c r="O41" s="212" t="str">
        <f>IF(ISNA(VLOOKUP(B41,'4ème J.'!$BH$9:$BK$62,2,0))," ",IF(VLOOKUP(B41,'4ème J.'!$BH$9:$BK$62,2,0)=0,"0",VLOOKUP(B41,'4ème J.'!$BH$9:$BK$62,2,0)))</f>
        <v>0</v>
      </c>
      <c r="P41" s="212" t="str">
        <f>IF(ISNA(VLOOKUP(B41,'4ème J.'!$BH$9:$BK$62,3,0))," ",IF(VLOOKUP(B41,'4ème J.'!$BH$9:$BK$62,3,0)=0,"0",VLOOKUP(B41,'4ème J.'!$BH$9:$BK$62,3,0)))</f>
        <v>0</v>
      </c>
      <c r="Q41" s="212" t="str">
        <f>IF(ISNA(VLOOKUP(B41,'4ème J.'!$BH$9:$BK$62,4,0))," ",IF(VLOOKUP(B41,'4ème J.'!$BH$9:$BK$62,4,0)=0,"0",VLOOKUP(B41,'4ème J.'!$BH$9:$BK$62,4,0)))</f>
        <v>0</v>
      </c>
      <c r="R41" s="257"/>
      <c r="S41" s="212" t="str">
        <f>IF(ISNA(VLOOKUP(B41,'5ème J.'!$BH$9:$BK$62,2,0))," ",IF(VLOOKUP(B41,'5ème J.'!$BH$9:$BK$62,2,0)=0,"0",VLOOKUP(B41,'5ème J.'!$BH$9:$BK$62,2,0)))</f>
        <v>0</v>
      </c>
      <c r="T41" s="212" t="str">
        <f>IF(ISNA(VLOOKUP(B41,'5ème J.'!$BH$9:$BK$62,3,0))," ",IF(VLOOKUP(B41,'5ème J.'!$BH$9:$BK$62,3,0)=0,"0",VLOOKUP(B41,'5ème J.'!$BH$9:$BK$62,3,0)))</f>
        <v>0</v>
      </c>
      <c r="U41" s="212" t="str">
        <f>IF(ISNA(VLOOKUP(B41,'5ème J.'!$BH$9:$BK$62,4,0))," ",IF(VLOOKUP(B41,'5ème J.'!$BH$9:$BK$62,4,0)=0,"0",VLOOKUP(B41,'5ème J.'!$BH$9:$BK$62,4,0)))</f>
        <v>0</v>
      </c>
      <c r="V41" s="257"/>
      <c r="W41" s="212">
        <f>IF(ISNA(VLOOKUP(B41,'6ème J.'!$BH$9:$BK$62,2,0))," ",IF(VLOOKUP(B41,'6ème J.'!$BH$9:$BK$62,2,0)=0,"0",VLOOKUP(B41,'6ème J.'!$BH$9:$BK$62,2,0)))</f>
        <v>3</v>
      </c>
      <c r="X41" s="212">
        <f>IF(ISNA(VLOOKUP(B41,'6ème J.'!$BH$9:$BK$62,3,0))," ",IF(VLOOKUP(B41,'6ème J.'!$BH$9:$BK$62,3,0)=0,"0",VLOOKUP(B41,'6ème J.'!$BH$9:$BK$62,3,0)))</f>
        <v>-10</v>
      </c>
      <c r="Y41" s="212">
        <f>IF(ISNA(VLOOKUP(B41,'6ème J.'!$BH$9:$BK$62,4,0))," ",IF(VLOOKUP(B41,'6ème J.'!$BH$9:$BK$62,4,0)=0,"0",VLOOKUP(B41,'6ème J.'!$BH$9:$BK$62,4,0)))</f>
        <v>21</v>
      </c>
      <c r="Z41"/>
      <c r="AA41" s="289" t="str">
        <f t="shared" si="9"/>
        <v>B18</v>
      </c>
      <c r="AB41" s="216">
        <f t="shared" si="10"/>
        <v>3</v>
      </c>
      <c r="AC41" s="213">
        <f t="shared" si="6"/>
        <v>-10</v>
      </c>
      <c r="AD41" s="290">
        <f t="shared" si="7"/>
        <v>21</v>
      </c>
      <c r="AE41" s="214">
        <f t="shared" si="8"/>
        <v>53.097900410000001</v>
      </c>
      <c r="AF41" s="215">
        <f>IF(AB41="","",SMALL(AE$6:AE$59,ROWS(AB$6:AB41)))</f>
        <v>34.854600189999999</v>
      </c>
      <c r="AG41" s="215"/>
      <c r="AH41" s="261">
        <f>IF(AF41="","",IF(AND(AJ40=AJ41,AK40=AK41,AL41=AL40),AH40,$AH$6+35))</f>
        <v>36</v>
      </c>
      <c r="AI41" s="216" t="str">
        <f t="shared" si="11"/>
        <v>A14</v>
      </c>
      <c r="AJ41" s="216">
        <f t="shared" si="12"/>
        <v>14</v>
      </c>
      <c r="AK41" s="263">
        <f t="shared" si="13"/>
        <v>14</v>
      </c>
      <c r="AL41" s="266">
        <f t="shared" si="14"/>
        <v>54</v>
      </c>
      <c r="AN41" s="218">
        <v>36</v>
      </c>
    </row>
    <row r="42" spans="1:40" x14ac:dyDescent="0.3">
      <c r="A42" s="296">
        <v>37</v>
      </c>
      <c r="B42" s="293" t="str">
        <f>+Inscrits!F3</f>
        <v>C1</v>
      </c>
      <c r="C42" s="212">
        <f>IF(ISNA(VLOOKUP(B42,'1ère J.'!$BH$9:$BK$62,2,0))," ",IF(VLOOKUP(B42,'1ère J.'!$BH$9:$BK$62,2,0)=0,"0",VLOOKUP(B42,'1ère J.'!$BH$9:$BK$62,2,0)))</f>
        <v>1</v>
      </c>
      <c r="D42" s="212">
        <f>IF(ISNA(VLOOKUP(B42,'1ère J.'!$BH$9:$BK$62,3,0))," ",IF(VLOOKUP(B42,'1ère J.'!$BH$9:$BK$62,3,0)=0,"0",VLOOKUP(B42,'1ère J.'!$BH$9:$BK$62,3,0)))</f>
        <v>-1</v>
      </c>
      <c r="E42" s="212">
        <f>IF(ISNA(VLOOKUP(B42,'1ère J.'!$BH$9:$BK$62,4,0))," ",IF(VLOOKUP(B42,'1ère J.'!$BH$9:$BK$62,4,0)=0,"0",VLOOKUP(B42,'1ère J.'!$BH$9:$BK$62,4,0)))</f>
        <v>5</v>
      </c>
      <c r="F42" s="257"/>
      <c r="G42" s="212">
        <f>IF(ISNA(VLOOKUP(B42,'2ème J.'!$BH$9:$BK$62,2,0))," ",IF(VLOOKUP(B42,'2ème J.'!$BH$9:$BK$62,2,0)=0,"0",VLOOKUP(B42,'2ème J.'!$BH$9:$BK$62,2,0)))</f>
        <v>4</v>
      </c>
      <c r="H42" s="212">
        <f>IF(ISNA(VLOOKUP(B42,'2ème J.'!$BH$9:$BK$62,3,0))," ",IF(VLOOKUP(B42,'2ème J.'!$BH$9:$BK$62,3,0)=0,"0",VLOOKUP(B42,'2ème J.'!$BH$9:$BK$62,3,0)))</f>
        <v>2</v>
      </c>
      <c r="I42" s="212">
        <f>IF(ISNA(VLOOKUP(B42,'2ème J.'!$BH$9:$BK$62,4,0))," ",IF(VLOOKUP(B42,'2ème J.'!$BH$9:$BK$62,4,0)=0,"0",VLOOKUP(B42,'2ème J.'!$BH$9:$BK$62,4,0)))</f>
        <v>17</v>
      </c>
      <c r="J42" s="272"/>
      <c r="K42" s="212">
        <f>IF(ISNA(VLOOKUP(B42,'3ème J.'!$BH$9:$BK$62,2,0))," ",IF(VLOOKUP(B42,'3ème J.'!$BH$9:$BK$62,2,0)=0,"0",VLOOKUP(B42,'3ème J.'!$BH$9:$BK$62,2,0)))</f>
        <v>5</v>
      </c>
      <c r="L42" s="212">
        <f>IF(ISNA(VLOOKUP(B42,'3ème J.'!$BH$9:$BK$62,3,0))," ",IF(VLOOKUP(B42,'3ème J.'!$BH$9:$BK$62,3,0)=0,"0",VLOOKUP(B42,'3ème J.'!$BH$9:$BK$62,3,0)))</f>
        <v>-9</v>
      </c>
      <c r="M42" s="212">
        <f>IF(ISNA(VLOOKUP(B42,'3ème J.'!$BH$9:$BK$62,4,0))," ",IF(VLOOKUP(B42,'3ème J.'!$BH$9:$BK$62,4,0)=0,"0",VLOOKUP(B42,'3ème J.'!$BH$9:$BK$62,4,0)))</f>
        <v>14</v>
      </c>
      <c r="N42" s="272"/>
      <c r="O42" s="212">
        <f>IF(ISNA(VLOOKUP(B42,'4ème J.'!$BH$9:$BK$62,2,0))," ",IF(VLOOKUP(B42,'4ème J.'!$BH$9:$BK$62,2,0)=0,"0",VLOOKUP(B42,'4ème J.'!$BH$9:$BK$62,2,0)))</f>
        <v>8</v>
      </c>
      <c r="P42" s="212">
        <f>IF(ISNA(VLOOKUP(B42,'4ème J.'!$BH$9:$BK$62,3,0))," ",IF(VLOOKUP(B42,'4ème J.'!$BH$9:$BK$62,3,0)=0,"0",VLOOKUP(B42,'4ème J.'!$BH$9:$BK$62,3,0)))</f>
        <v>2</v>
      </c>
      <c r="Q42" s="212">
        <f>IF(ISNA(VLOOKUP(B42,'4ème J.'!$BH$9:$BK$62,4,0))," ",IF(VLOOKUP(B42,'4ème J.'!$BH$9:$BK$62,4,0)=0,"0",VLOOKUP(B42,'4ème J.'!$BH$9:$BK$62,4,0)))</f>
        <v>8</v>
      </c>
      <c r="R42" s="257"/>
      <c r="S42" s="212">
        <f>IF(ISNA(VLOOKUP(B42,'5ème J.'!$BH$9:$BK$62,2,0))," ",IF(VLOOKUP(B42,'5ème J.'!$BH$9:$BK$62,2,0)=0,"0",VLOOKUP(B42,'5ème J.'!$BH$9:$BK$62,2,0)))</f>
        <v>7</v>
      </c>
      <c r="T42" s="212">
        <f>IF(ISNA(VLOOKUP(B42,'5ème J.'!$BH$9:$BK$62,3,0))," ",IF(VLOOKUP(B42,'5ème J.'!$BH$9:$BK$62,3,0)=0,"0",VLOOKUP(B42,'5ème J.'!$BH$9:$BK$62,3,0)))</f>
        <v>-4</v>
      </c>
      <c r="U42" s="212">
        <f>IF(ISNA(VLOOKUP(B42,'5ème J.'!$BH$9:$BK$62,4,0))," ",IF(VLOOKUP(B42,'5ème J.'!$BH$9:$BK$62,4,0)=0,"0",VLOOKUP(B42,'5ème J.'!$BH$9:$BK$62,4,0)))</f>
        <v>19</v>
      </c>
      <c r="V42" s="257"/>
      <c r="W42" s="212">
        <f>IF(ISNA(VLOOKUP(B42,'6ème J.'!$BH$9:$BK$62,2,0))," ",IF(VLOOKUP(B42,'6ème J.'!$BH$9:$BK$62,2,0)=0,"0",VLOOKUP(B42,'6ème J.'!$BH$9:$BK$62,2,0)))</f>
        <v>5</v>
      </c>
      <c r="X42" s="212">
        <f>IF(ISNA(VLOOKUP(B42,'6ème J.'!$BH$9:$BK$62,3,0))," ",IF(VLOOKUP(B42,'6ème J.'!$BH$9:$BK$62,3,0)=0,"0",VLOOKUP(B42,'6ème J.'!$BH$9:$BK$62,3,0)))</f>
        <v>-1</v>
      </c>
      <c r="Y42" s="212">
        <f>IF(ISNA(VLOOKUP(B42,'6ème J.'!$BH$9:$BK$62,4,0))," ",IF(VLOOKUP(B42,'6ème J.'!$BH$9:$BK$62,4,0)=0,"0",VLOOKUP(B42,'6ème J.'!$BH$9:$BK$62,4,0)))</f>
        <v>24</v>
      </c>
      <c r="Z42"/>
      <c r="AA42" s="289" t="str">
        <f t="shared" si="9"/>
        <v>C1</v>
      </c>
      <c r="AB42" s="216">
        <f t="shared" si="10"/>
        <v>30</v>
      </c>
      <c r="AC42" s="213">
        <f t="shared" si="6"/>
        <v>-11</v>
      </c>
      <c r="AD42" s="290">
        <f t="shared" si="7"/>
        <v>87</v>
      </c>
      <c r="AE42" s="214">
        <f t="shared" si="8"/>
        <v>16.101300419999998</v>
      </c>
      <c r="AF42" s="215">
        <f>IF(AB42="","",SMALL(AE$6:AE$59,ROWS(AB$6:AB42)))</f>
        <v>34.905900549999998</v>
      </c>
      <c r="AG42" s="215"/>
      <c r="AH42" s="261">
        <f>IF(AF42="","",IF(AND(AJ41=AJ42,AK41=AK42,AL42=AL41),AH41,$AH$6+36))</f>
        <v>37</v>
      </c>
      <c r="AI42" s="216" t="str">
        <f t="shared" si="11"/>
        <v>C14</v>
      </c>
      <c r="AJ42" s="216">
        <f t="shared" si="12"/>
        <v>14</v>
      </c>
      <c r="AK42" s="263">
        <f t="shared" si="13"/>
        <v>9</v>
      </c>
      <c r="AL42" s="266">
        <f t="shared" si="14"/>
        <v>41</v>
      </c>
      <c r="AN42" s="218">
        <v>37</v>
      </c>
    </row>
    <row r="43" spans="1:40" x14ac:dyDescent="0.3">
      <c r="A43" s="296">
        <v>38</v>
      </c>
      <c r="B43" s="293" t="str">
        <f>+Inscrits!F4</f>
        <v>C2</v>
      </c>
      <c r="C43" s="212">
        <f>IF(ISNA(VLOOKUP(B43,'1ère J.'!$BH$9:$BK$62,2,0))," ",IF(VLOOKUP(B43,'1ère J.'!$BH$9:$BK$62,2,0)=0,"0",VLOOKUP(B43,'1ère J.'!$BH$9:$BK$62,2,0)))</f>
        <v>3</v>
      </c>
      <c r="D43" s="212">
        <f>IF(ISNA(VLOOKUP(B43,'1ère J.'!$BH$9:$BK$62,3,0))," ",IF(VLOOKUP(B43,'1ère J.'!$BH$9:$BK$62,3,0)=0,"0",VLOOKUP(B43,'1ère J.'!$BH$9:$BK$62,3,0)))</f>
        <v>1</v>
      </c>
      <c r="E43" s="212">
        <f>IF(ISNA(VLOOKUP(B43,'1ère J.'!$BH$9:$BK$62,4,0))," ",IF(VLOOKUP(B43,'1ère J.'!$BH$9:$BK$62,4,0)=0,"0",VLOOKUP(B43,'1ère J.'!$BH$9:$BK$62,4,0)))</f>
        <v>6</v>
      </c>
      <c r="F43" s="257"/>
      <c r="G43" s="212">
        <f>IF(ISNA(VLOOKUP(B43,'2ème J.'!$BH$9:$BK$62,2,0))," ",IF(VLOOKUP(B43,'2ème J.'!$BH$9:$BK$62,2,0)=0,"0",VLOOKUP(B43,'2ème J.'!$BH$9:$BK$62,2,0)))</f>
        <v>7</v>
      </c>
      <c r="H43" s="212">
        <f>IF(ISNA(VLOOKUP(B43,'2ème J.'!$BH$9:$BK$62,3,0))," ",IF(VLOOKUP(B43,'2ème J.'!$BH$9:$BK$62,3,0)=0,"0",VLOOKUP(B43,'2ème J.'!$BH$9:$BK$62,3,0)))</f>
        <v>6</v>
      </c>
      <c r="I43" s="212">
        <f>IF(ISNA(VLOOKUP(B43,'2ème J.'!$BH$9:$BK$62,4,0))," ",IF(VLOOKUP(B43,'2ème J.'!$BH$9:$BK$62,4,0)=0,"0",VLOOKUP(B43,'2ème J.'!$BH$9:$BK$62,4,0)))</f>
        <v>27</v>
      </c>
      <c r="J43" s="272"/>
      <c r="K43" s="212">
        <f>IF(ISNA(VLOOKUP(B43,'3ème J.'!$BH$9:$BK$62,2,0))," ",IF(VLOOKUP(B43,'3ème J.'!$BH$9:$BK$62,2,0)=0,"0",VLOOKUP(B43,'3ème J.'!$BH$9:$BK$62,2,0)))</f>
        <v>7</v>
      </c>
      <c r="L43" s="212">
        <f>IF(ISNA(VLOOKUP(B43,'3ème J.'!$BH$9:$BK$62,3,0))," ",IF(VLOOKUP(B43,'3ème J.'!$BH$9:$BK$62,3,0)=0,"0",VLOOKUP(B43,'3ème J.'!$BH$9:$BK$62,3,0)))</f>
        <v>8</v>
      </c>
      <c r="M43" s="212">
        <f>IF(ISNA(VLOOKUP(B43,'3ème J.'!$BH$9:$BK$62,4,0))," ",IF(VLOOKUP(B43,'3ème J.'!$BH$9:$BK$62,4,0)=0,"0",VLOOKUP(B43,'3ème J.'!$BH$9:$BK$62,4,0)))</f>
        <v>31</v>
      </c>
      <c r="N43" s="272"/>
      <c r="O43" s="212">
        <f>IF(ISNA(VLOOKUP(B43,'4ème J.'!$BH$9:$BK$62,2,0))," ",IF(VLOOKUP(B43,'4ème J.'!$BH$9:$BK$62,2,0)=0,"0",VLOOKUP(B43,'4ème J.'!$BH$9:$BK$62,2,0)))</f>
        <v>6</v>
      </c>
      <c r="P43" s="212">
        <f>IF(ISNA(VLOOKUP(B43,'4ème J.'!$BH$9:$BK$62,3,0))," ",IF(VLOOKUP(B43,'4ème J.'!$BH$9:$BK$62,3,0)=0,"0",VLOOKUP(B43,'4ème J.'!$BH$9:$BK$62,3,0)))</f>
        <v>4</v>
      </c>
      <c r="Q43" s="212">
        <f>IF(ISNA(VLOOKUP(B43,'4ème J.'!$BH$9:$BK$62,4,0))," ",IF(VLOOKUP(B43,'4ème J.'!$BH$9:$BK$62,4,0)=0,"0",VLOOKUP(B43,'4ème J.'!$BH$9:$BK$62,4,0)))</f>
        <v>20</v>
      </c>
      <c r="R43" s="257"/>
      <c r="S43" s="212">
        <f>IF(ISNA(VLOOKUP(B43,'5ème J.'!$BH$9:$BK$62,2,0))," ",IF(VLOOKUP(B43,'5ème J.'!$BH$9:$BK$62,2,0)=0,"0",VLOOKUP(B43,'5ème J.'!$BH$9:$BK$62,2,0)))</f>
        <v>3</v>
      </c>
      <c r="T43" s="212">
        <f>IF(ISNA(VLOOKUP(B43,'5ème J.'!$BH$9:$BK$62,3,0))," ",IF(VLOOKUP(B43,'5ème J.'!$BH$9:$BK$62,3,0)=0,"0",VLOOKUP(B43,'5ème J.'!$BH$9:$BK$62,3,0)))</f>
        <v>-18</v>
      </c>
      <c r="U43" s="212">
        <f>IF(ISNA(VLOOKUP(B43,'5ème J.'!$BH$9:$BK$62,4,0))," ",IF(VLOOKUP(B43,'5ème J.'!$BH$9:$BK$62,4,0)=0,"0",VLOOKUP(B43,'5ème J.'!$BH$9:$BK$62,4,0)))</f>
        <v>12</v>
      </c>
      <c r="V43" s="257"/>
      <c r="W43" s="212">
        <f>IF(ISNA(VLOOKUP(B43,'6ème J.'!$BH$9:$BK$62,2,0))," ",IF(VLOOKUP(B43,'6ème J.'!$BH$9:$BK$62,2,0)=0,"0",VLOOKUP(B43,'6ème J.'!$BH$9:$BK$62,2,0)))</f>
        <v>5</v>
      </c>
      <c r="X43" s="212">
        <f>IF(ISNA(VLOOKUP(B43,'6ème J.'!$BH$9:$BK$62,3,0))," ",IF(VLOOKUP(B43,'6ème J.'!$BH$9:$BK$62,3,0)=0,"0",VLOOKUP(B43,'6ème J.'!$BH$9:$BK$62,3,0)))</f>
        <v>-8</v>
      </c>
      <c r="Y43" s="212">
        <f>IF(ISNA(VLOOKUP(B43,'6ème J.'!$BH$9:$BK$62,4,0))," ",IF(VLOOKUP(B43,'6ème J.'!$BH$9:$BK$62,4,0)=0,"0",VLOOKUP(B43,'6ème J.'!$BH$9:$BK$62,4,0)))</f>
        <v>20</v>
      </c>
      <c r="Z43"/>
      <c r="AA43" s="289" t="str">
        <f t="shared" si="9"/>
        <v>C2</v>
      </c>
      <c r="AB43" s="216">
        <f t="shared" si="10"/>
        <v>31</v>
      </c>
      <c r="AC43" s="213">
        <f t="shared" si="6"/>
        <v>-7</v>
      </c>
      <c r="AD43" s="290">
        <f t="shared" si="7"/>
        <v>116</v>
      </c>
      <c r="AE43" s="214">
        <f t="shared" si="8"/>
        <v>11.058400430000001</v>
      </c>
      <c r="AF43" s="215">
        <f>IF(AB43="","",SMALL(AE$6:AE$59,ROWS(AB$6:AB43)))</f>
        <v>38.246200340000001</v>
      </c>
      <c r="AG43" s="215"/>
      <c r="AH43" s="261">
        <f>IF(AF43="","",IF(AND(AJ42=AJ43,AK42=AK43,AL43=AL42),AH42,$AH$6+37))</f>
        <v>38</v>
      </c>
      <c r="AI43" s="216" t="str">
        <f t="shared" si="11"/>
        <v>B11</v>
      </c>
      <c r="AJ43" s="216">
        <f t="shared" si="12"/>
        <v>13</v>
      </c>
      <c r="AK43" s="263">
        <f t="shared" si="13"/>
        <v>-25</v>
      </c>
      <c r="AL43" s="266">
        <f t="shared" si="14"/>
        <v>38</v>
      </c>
      <c r="AN43" s="218">
        <v>38</v>
      </c>
    </row>
    <row r="44" spans="1:40" x14ac:dyDescent="0.3">
      <c r="A44" s="296">
        <v>39</v>
      </c>
      <c r="B44" s="293" t="str">
        <f>+Inscrits!F5</f>
        <v>C3</v>
      </c>
      <c r="C44" s="212">
        <f>IF(ISNA(VLOOKUP(B44,'1ère J.'!$BH$9:$BK$62,2,0))," ",IF(VLOOKUP(B44,'1ère J.'!$BH$9:$BK$62,2,0)=0,"0",VLOOKUP(B44,'1ère J.'!$BH$9:$BK$62,2,0)))</f>
        <v>3</v>
      </c>
      <c r="D44" s="212">
        <f>IF(ISNA(VLOOKUP(B44,'1ère J.'!$BH$9:$BK$62,3,0))," ",IF(VLOOKUP(B44,'1ère J.'!$BH$9:$BK$62,3,0)=0,"0",VLOOKUP(B44,'1ère J.'!$BH$9:$BK$62,3,0)))</f>
        <v>6</v>
      </c>
      <c r="E44" s="212">
        <f>IF(ISNA(VLOOKUP(B44,'1ère J.'!$BH$9:$BK$62,4,0))," ",IF(VLOOKUP(B44,'1ère J.'!$BH$9:$BK$62,4,0)=0,"0",VLOOKUP(B44,'1ère J.'!$BH$9:$BK$62,4,0)))</f>
        <v>12</v>
      </c>
      <c r="F44" s="257"/>
      <c r="G44" s="212">
        <f>IF(ISNA(VLOOKUP(B44,'2ème J.'!$BH$9:$BK$62,2,0))," ",IF(VLOOKUP(B44,'2ème J.'!$BH$9:$BK$62,2,0)=0,"0",VLOOKUP(B44,'2ème J.'!$BH$9:$BK$62,2,0)))</f>
        <v>2</v>
      </c>
      <c r="H44" s="212">
        <f>IF(ISNA(VLOOKUP(B44,'2ème J.'!$BH$9:$BK$62,3,0))," ",IF(VLOOKUP(B44,'2ème J.'!$BH$9:$BK$62,3,0)=0,"0",VLOOKUP(B44,'2ème J.'!$BH$9:$BK$62,3,0)))</f>
        <v>-7</v>
      </c>
      <c r="I44" s="212">
        <f>IF(ISNA(VLOOKUP(B44,'2ème J.'!$BH$9:$BK$62,4,0))," ",IF(VLOOKUP(B44,'2ème J.'!$BH$9:$BK$62,4,0)=0,"0",VLOOKUP(B44,'2ème J.'!$BH$9:$BK$62,4,0)))</f>
        <v>13</v>
      </c>
      <c r="J44" s="272"/>
      <c r="K44" s="212">
        <f>IF(ISNA(VLOOKUP(B44,'3ème J.'!$BH$9:$BK$62,2,0))," ",IF(VLOOKUP(B44,'3ème J.'!$BH$9:$BK$62,2,0)=0,"0",VLOOKUP(B44,'3ème J.'!$BH$9:$BK$62,2,0)))</f>
        <v>7</v>
      </c>
      <c r="L44" s="212">
        <f>IF(ISNA(VLOOKUP(B44,'3ème J.'!$BH$9:$BK$62,3,0))," ",IF(VLOOKUP(B44,'3ème J.'!$BH$9:$BK$62,3,0)=0,"0",VLOOKUP(B44,'3ème J.'!$BH$9:$BK$62,3,0)))</f>
        <v>5</v>
      </c>
      <c r="M44" s="212">
        <f>IF(ISNA(VLOOKUP(B44,'3ème J.'!$BH$9:$BK$62,4,0))," ",IF(VLOOKUP(B44,'3ème J.'!$BH$9:$BK$62,4,0)=0,"0",VLOOKUP(B44,'3ème J.'!$BH$9:$BK$62,4,0)))</f>
        <v>24</v>
      </c>
      <c r="N44" s="272"/>
      <c r="O44" s="212">
        <f>IF(ISNA(VLOOKUP(B44,'4ème J.'!$BH$9:$BK$62,2,0))," ",IF(VLOOKUP(B44,'4ème J.'!$BH$9:$BK$62,2,0)=0,"0",VLOOKUP(B44,'4ème J.'!$BH$9:$BK$62,2,0)))</f>
        <v>5</v>
      </c>
      <c r="P44" s="212">
        <f>IF(ISNA(VLOOKUP(B44,'4ème J.'!$BH$9:$BK$62,3,0))," ",IF(VLOOKUP(B44,'4ème J.'!$BH$9:$BK$62,3,0)=0,"0",VLOOKUP(B44,'4ème J.'!$BH$9:$BK$62,3,0)))</f>
        <v>-9</v>
      </c>
      <c r="Q44" s="212">
        <f>IF(ISNA(VLOOKUP(B44,'4ème J.'!$BH$9:$BK$62,4,0))," ",IF(VLOOKUP(B44,'4ème J.'!$BH$9:$BK$62,4,0)=0,"0",VLOOKUP(B44,'4ème J.'!$BH$9:$BK$62,4,0)))</f>
        <v>15</v>
      </c>
      <c r="R44" s="257"/>
      <c r="S44" s="212">
        <f>IF(ISNA(VLOOKUP(B44,'5ème J.'!$BH$9:$BK$62,2,0))," ",IF(VLOOKUP(B44,'5ème J.'!$BH$9:$BK$62,2,0)=0,"0",VLOOKUP(B44,'5ème J.'!$BH$9:$BK$62,2,0)))</f>
        <v>7</v>
      </c>
      <c r="T44" s="212">
        <f>IF(ISNA(VLOOKUP(B44,'5ème J.'!$BH$9:$BK$62,3,0))," ",IF(VLOOKUP(B44,'5ème J.'!$BH$9:$BK$62,3,0)=0,"0",VLOOKUP(B44,'5ème J.'!$BH$9:$BK$62,3,0)))</f>
        <v>10</v>
      </c>
      <c r="U44" s="212">
        <f>IF(ISNA(VLOOKUP(B44,'5ème J.'!$BH$9:$BK$62,4,0))," ",IF(VLOOKUP(B44,'5ème J.'!$BH$9:$BK$62,4,0)=0,"0",VLOOKUP(B44,'5ème J.'!$BH$9:$BK$62,4,0)))</f>
        <v>26</v>
      </c>
      <c r="V44" s="257"/>
      <c r="W44" s="212">
        <f>IF(ISNA(VLOOKUP(B44,'6ème J.'!$BH$9:$BK$62,2,0))," ",IF(VLOOKUP(B44,'6ème J.'!$BH$9:$BK$62,2,0)=0,"0",VLOOKUP(B44,'6ème J.'!$BH$9:$BK$62,2,0)))</f>
        <v>7</v>
      </c>
      <c r="X44" s="212">
        <f>IF(ISNA(VLOOKUP(B44,'6ème J.'!$BH$9:$BK$62,3,0))," ",IF(VLOOKUP(B44,'6ème J.'!$BH$9:$BK$62,3,0)=0,"0",VLOOKUP(B44,'6ème J.'!$BH$9:$BK$62,3,0)))</f>
        <v>13</v>
      </c>
      <c r="Y44" s="212">
        <f>IF(ISNA(VLOOKUP(B44,'6ème J.'!$BH$9:$BK$62,4,0))," ",IF(VLOOKUP(B44,'6ème J.'!$BH$9:$BK$62,4,0)=0,"0",VLOOKUP(B44,'6ème J.'!$BH$9:$BK$62,4,0)))</f>
        <v>30</v>
      </c>
      <c r="Z44"/>
      <c r="AA44" s="289" t="str">
        <f t="shared" si="9"/>
        <v>C3</v>
      </c>
      <c r="AB44" s="216">
        <f t="shared" si="10"/>
        <v>31</v>
      </c>
      <c r="AC44" s="213">
        <f t="shared" si="6"/>
        <v>18</v>
      </c>
      <c r="AD44" s="290">
        <f t="shared" si="7"/>
        <v>120</v>
      </c>
      <c r="AE44" s="214">
        <f t="shared" si="8"/>
        <v>10.808000440000001</v>
      </c>
      <c r="AF44" s="215">
        <f>IF(AB44="","",SMALL(AE$6:AE$59,ROWS(AB$6:AB44)))</f>
        <v>38.935700559999994</v>
      </c>
      <c r="AG44" s="215"/>
      <c r="AH44" s="261">
        <f>IF(AF44="","",IF(AND(AJ43=AJ44,AK43=AK44,AL44=AL43),AH43,$AH$6+38))</f>
        <v>39</v>
      </c>
      <c r="AI44" s="216" t="str">
        <f t="shared" si="11"/>
        <v>C15</v>
      </c>
      <c r="AJ44" s="216">
        <f t="shared" si="12"/>
        <v>12</v>
      </c>
      <c r="AK44" s="263">
        <f t="shared" si="13"/>
        <v>6</v>
      </c>
      <c r="AL44" s="266">
        <f t="shared" si="14"/>
        <v>43</v>
      </c>
      <c r="AN44" s="218">
        <v>39</v>
      </c>
    </row>
    <row r="45" spans="1:40" x14ac:dyDescent="0.3">
      <c r="A45" s="296">
        <v>40</v>
      </c>
      <c r="B45" s="293" t="str">
        <f>+Inscrits!F6</f>
        <v>C4</v>
      </c>
      <c r="C45" s="212">
        <f>IF(ISNA(VLOOKUP(B45,'1ère J.'!$BH$9:$BK$62,2,0))," ",IF(VLOOKUP(B45,'1ère J.'!$BH$9:$BK$62,2,0)=0,"0",VLOOKUP(B45,'1ère J.'!$BH$9:$BK$62,2,0)))</f>
        <v>2</v>
      </c>
      <c r="D45" s="212">
        <f>IF(ISNA(VLOOKUP(B45,'1ère J.'!$BH$9:$BK$62,3,0))," ",IF(VLOOKUP(B45,'1ère J.'!$BH$9:$BK$62,3,0)=0,"0",VLOOKUP(B45,'1ère J.'!$BH$9:$BK$62,3,0)))</f>
        <v>-11</v>
      </c>
      <c r="E45" s="212">
        <f>IF(ISNA(VLOOKUP(B45,'1ère J.'!$BH$9:$BK$62,4,0))," ",IF(VLOOKUP(B45,'1ère J.'!$BH$9:$BK$62,4,0)=0,"0",VLOOKUP(B45,'1ère J.'!$BH$9:$BK$62,4,0)))</f>
        <v>11</v>
      </c>
      <c r="F45" s="257"/>
      <c r="G45" s="212">
        <f>IF(ISNA(VLOOKUP(B45,'2ème J.'!$BH$9:$BK$62,2,0))," ",IF(VLOOKUP(B45,'2ème J.'!$BH$9:$BK$62,2,0)=0,"0",VLOOKUP(B45,'2ème J.'!$BH$9:$BK$62,2,0)))</f>
        <v>3</v>
      </c>
      <c r="H45" s="212">
        <f>IF(ISNA(VLOOKUP(B45,'2ème J.'!$BH$9:$BK$62,3,0))," ",IF(VLOOKUP(B45,'2ème J.'!$BH$9:$BK$62,3,0)=0,"0",VLOOKUP(B45,'2ème J.'!$BH$9:$BK$62,3,0)))</f>
        <v>3</v>
      </c>
      <c r="I45" s="212">
        <f>IF(ISNA(VLOOKUP(B45,'2ème J.'!$BH$9:$BK$62,4,0))," ",IF(VLOOKUP(B45,'2ème J.'!$BH$9:$BK$62,4,0)=0,"0",VLOOKUP(B45,'2ème J.'!$BH$9:$BK$62,4,0)))</f>
        <v>11</v>
      </c>
      <c r="J45" s="272"/>
      <c r="K45" s="212">
        <f>IF(ISNA(VLOOKUP(B45,'3ème J.'!$BH$9:$BK$62,2,0))," ",IF(VLOOKUP(B45,'3ème J.'!$BH$9:$BK$62,2,0)=0,"0",VLOOKUP(B45,'3ème J.'!$BH$9:$BK$62,2,0)))</f>
        <v>7</v>
      </c>
      <c r="L45" s="212">
        <f>IF(ISNA(VLOOKUP(B45,'3ème J.'!$BH$9:$BK$62,3,0))," ",IF(VLOOKUP(B45,'3ème J.'!$BH$9:$BK$62,3,0)=0,"0",VLOOKUP(B45,'3ème J.'!$BH$9:$BK$62,3,0)))</f>
        <v>9</v>
      </c>
      <c r="M45" s="212">
        <f>IF(ISNA(VLOOKUP(B45,'3ème J.'!$BH$9:$BK$62,4,0))," ",IF(VLOOKUP(B45,'3ème J.'!$BH$9:$BK$62,4,0)=0,"0",VLOOKUP(B45,'3ème J.'!$BH$9:$BK$62,4,0)))</f>
        <v>25</v>
      </c>
      <c r="N45" s="272"/>
      <c r="O45" s="212">
        <f>IF(ISNA(VLOOKUP(B45,'4ème J.'!$BH$9:$BK$62,2,0))," ",IF(VLOOKUP(B45,'4ème J.'!$BH$9:$BK$62,2,0)=0,"0",VLOOKUP(B45,'4ème J.'!$BH$9:$BK$62,2,0)))</f>
        <v>7</v>
      </c>
      <c r="P45" s="212">
        <f>IF(ISNA(VLOOKUP(B45,'4ème J.'!$BH$9:$BK$62,3,0))," ",IF(VLOOKUP(B45,'4ème J.'!$BH$9:$BK$62,3,0)=0,"0",VLOOKUP(B45,'4ème J.'!$BH$9:$BK$62,3,0)))</f>
        <v>7</v>
      </c>
      <c r="Q45" s="212">
        <f>IF(ISNA(VLOOKUP(B45,'4ème J.'!$BH$9:$BK$62,4,0))," ",IF(VLOOKUP(B45,'4ème J.'!$BH$9:$BK$62,4,0)=0,"0",VLOOKUP(B45,'4ème J.'!$BH$9:$BK$62,4,0)))</f>
        <v>22</v>
      </c>
      <c r="R45" s="257"/>
      <c r="S45" s="212">
        <f>IF(ISNA(VLOOKUP(B45,'5ème J.'!$BH$9:$BK$62,2,0))," ",IF(VLOOKUP(B45,'5ème J.'!$BH$9:$BK$62,2,0)=0,"0",VLOOKUP(B45,'5ème J.'!$BH$9:$BK$62,2,0)))</f>
        <v>5</v>
      </c>
      <c r="T45" s="212">
        <f>IF(ISNA(VLOOKUP(B45,'5ème J.'!$BH$9:$BK$62,3,0))," ",IF(VLOOKUP(B45,'5ème J.'!$BH$9:$BK$62,3,0)=0,"0",VLOOKUP(B45,'5ème J.'!$BH$9:$BK$62,3,0)))</f>
        <v>-8</v>
      </c>
      <c r="U45" s="212">
        <f>IF(ISNA(VLOOKUP(B45,'5ème J.'!$BH$9:$BK$62,4,0))," ",IF(VLOOKUP(B45,'5ème J.'!$BH$9:$BK$62,4,0)=0,"0",VLOOKUP(B45,'5ème J.'!$BH$9:$BK$62,4,0)))</f>
        <v>16</v>
      </c>
      <c r="V45" s="257"/>
      <c r="W45" s="212">
        <f>IF(ISNA(VLOOKUP(B45,'6ème J.'!$BH$9:$BK$62,2,0))," ",IF(VLOOKUP(B45,'6ème J.'!$BH$9:$BK$62,2,0)=0,"0",VLOOKUP(B45,'6ème J.'!$BH$9:$BK$62,2,0)))</f>
        <v>7</v>
      </c>
      <c r="X45" s="212">
        <f>IF(ISNA(VLOOKUP(B45,'6ème J.'!$BH$9:$BK$62,3,0))," ",IF(VLOOKUP(B45,'6ème J.'!$BH$9:$BK$62,3,0)=0,"0",VLOOKUP(B45,'6ème J.'!$BH$9:$BK$62,3,0)))</f>
        <v>-3</v>
      </c>
      <c r="Y45" s="212">
        <f>IF(ISNA(VLOOKUP(B45,'6ème J.'!$BH$9:$BK$62,4,0))," ",IF(VLOOKUP(B45,'6ème J.'!$BH$9:$BK$62,4,0)=0,"0",VLOOKUP(B45,'6ème J.'!$BH$9:$BK$62,4,0)))</f>
        <v>24</v>
      </c>
      <c r="Z45"/>
      <c r="AA45" s="289" t="str">
        <f t="shared" si="9"/>
        <v>C4</v>
      </c>
      <c r="AB45" s="216">
        <f t="shared" si="10"/>
        <v>31</v>
      </c>
      <c r="AC45" s="213">
        <f t="shared" si="6"/>
        <v>-3</v>
      </c>
      <c r="AD45" s="290">
        <f t="shared" si="7"/>
        <v>109</v>
      </c>
      <c r="AE45" s="214">
        <f t="shared" si="8"/>
        <v>11.01910045</v>
      </c>
      <c r="AF45" s="215">
        <f>IF(AB45="","",SMALL(AE$6:AE$59,ROWS(AB$6:AB45)))</f>
        <v>39.005400529999996</v>
      </c>
      <c r="AG45" s="215"/>
      <c r="AH45" s="261">
        <f>IF(AF45="","",IF(AND(AJ44=AJ45,AK44=AK45,AL45=AL44),AH44,$AH$6+39))</f>
        <v>40</v>
      </c>
      <c r="AI45" s="216" t="str">
        <f t="shared" si="11"/>
        <v>C12</v>
      </c>
      <c r="AJ45" s="216">
        <f t="shared" si="12"/>
        <v>12</v>
      </c>
      <c r="AK45" s="263">
        <f t="shared" si="13"/>
        <v>-1</v>
      </c>
      <c r="AL45" s="266">
        <f t="shared" si="14"/>
        <v>46</v>
      </c>
      <c r="AN45" s="218">
        <v>40</v>
      </c>
    </row>
    <row r="46" spans="1:40" x14ac:dyDescent="0.3">
      <c r="A46" s="296">
        <v>41</v>
      </c>
      <c r="B46" s="293" t="str">
        <f>+Inscrits!F7</f>
        <v>C5</v>
      </c>
      <c r="C46" s="212">
        <f>IF(ISNA(VLOOKUP(B46,'1ère J.'!$BH$9:$BK$62,2,0))," ",IF(VLOOKUP(B46,'1ère J.'!$BH$9:$BK$62,2,0)=0,"0",VLOOKUP(B46,'1ère J.'!$BH$9:$BK$62,2,0)))</f>
        <v>3</v>
      </c>
      <c r="D46" s="212">
        <f>IF(ISNA(VLOOKUP(B46,'1ère J.'!$BH$9:$BK$62,3,0))," ",IF(VLOOKUP(B46,'1ère J.'!$BH$9:$BK$62,3,0)=0,"0",VLOOKUP(B46,'1ère J.'!$BH$9:$BK$62,3,0)))</f>
        <v>5</v>
      </c>
      <c r="E46" s="212">
        <f>IF(ISNA(VLOOKUP(B46,'1ère J.'!$BH$9:$BK$62,4,0))," ",IF(VLOOKUP(B46,'1ère J.'!$BH$9:$BK$62,4,0)=0,"0",VLOOKUP(B46,'1ère J.'!$BH$9:$BK$62,4,0)))</f>
        <v>10</v>
      </c>
      <c r="F46" s="257"/>
      <c r="G46" s="212">
        <f>IF(ISNA(VLOOKUP(B46,'2ème J.'!$BH$9:$BK$62,2,0))," ",IF(VLOOKUP(B46,'2ème J.'!$BH$9:$BK$62,2,0)=0,"0",VLOOKUP(B46,'2ème J.'!$BH$9:$BK$62,2,0)))</f>
        <v>9</v>
      </c>
      <c r="H46" s="212">
        <f>IF(ISNA(VLOOKUP(B46,'2ème J.'!$BH$9:$BK$62,3,0))," ",IF(VLOOKUP(B46,'2ème J.'!$BH$9:$BK$62,3,0)=0,"0",VLOOKUP(B46,'2ème J.'!$BH$9:$BK$62,3,0)))</f>
        <v>25</v>
      </c>
      <c r="I46" s="212">
        <f>IF(ISNA(VLOOKUP(B46,'2ème J.'!$BH$9:$BK$62,4,0))," ",IF(VLOOKUP(B46,'2ème J.'!$BH$9:$BK$62,4,0)=0,"0",VLOOKUP(B46,'2ème J.'!$BH$9:$BK$62,4,0)))</f>
        <v>32</v>
      </c>
      <c r="J46" s="272"/>
      <c r="K46" s="212">
        <f>IF(ISNA(VLOOKUP(B46,'3ème J.'!$BH$9:$BK$62,2,0))," ",IF(VLOOKUP(B46,'3ème J.'!$BH$9:$BK$62,2,0)=0,"0",VLOOKUP(B46,'3ème J.'!$BH$9:$BK$62,2,0)))</f>
        <v>5</v>
      </c>
      <c r="L46" s="212">
        <f>IF(ISNA(VLOOKUP(B46,'3ème J.'!$BH$9:$BK$62,3,0))," ",IF(VLOOKUP(B46,'3ème J.'!$BH$9:$BK$62,3,0)=0,"0",VLOOKUP(B46,'3ème J.'!$BH$9:$BK$62,3,0)))</f>
        <v>-13</v>
      </c>
      <c r="M46" s="212">
        <f>IF(ISNA(VLOOKUP(B46,'3ème J.'!$BH$9:$BK$62,4,0))," ",IF(VLOOKUP(B46,'3ème J.'!$BH$9:$BK$62,4,0)=0,"0",VLOOKUP(B46,'3ème J.'!$BH$9:$BK$62,4,0)))</f>
        <v>18</v>
      </c>
      <c r="N46" s="272"/>
      <c r="O46" s="212">
        <f>IF(ISNA(VLOOKUP(B46,'4ème J.'!$BH$9:$BK$62,2,0))," ",IF(VLOOKUP(B46,'4ème J.'!$BH$9:$BK$62,2,0)=0,"0",VLOOKUP(B46,'4ème J.'!$BH$9:$BK$62,2,0)))</f>
        <v>7</v>
      </c>
      <c r="P46" s="212" t="str">
        <f>IF(ISNA(VLOOKUP(B46,'4ème J.'!$BH$9:$BK$62,3,0))," ",IF(VLOOKUP(B46,'4ème J.'!$BH$9:$BK$62,3,0)=0,"0",VLOOKUP(B46,'4ème J.'!$BH$9:$BK$62,3,0)))</f>
        <v>0</v>
      </c>
      <c r="Q46" s="212">
        <f>IF(ISNA(VLOOKUP(B46,'4ème J.'!$BH$9:$BK$62,4,0))," ",IF(VLOOKUP(B46,'4ème J.'!$BH$9:$BK$62,4,0)=0,"0",VLOOKUP(B46,'4ème J.'!$BH$9:$BK$62,4,0)))</f>
        <v>21</v>
      </c>
      <c r="R46" s="257"/>
      <c r="S46" s="212">
        <f>IF(ISNA(VLOOKUP(B46,'5ème J.'!$BH$9:$BK$62,2,0))," ",IF(VLOOKUP(B46,'5ème J.'!$BH$9:$BK$62,2,0)=0,"0",VLOOKUP(B46,'5ème J.'!$BH$9:$BK$62,2,0)))</f>
        <v>7</v>
      </c>
      <c r="T46" s="212">
        <f>IF(ISNA(VLOOKUP(B46,'5ème J.'!$BH$9:$BK$62,3,0))," ",IF(VLOOKUP(B46,'5ème J.'!$BH$9:$BK$62,3,0)=0,"0",VLOOKUP(B46,'5ème J.'!$BH$9:$BK$62,3,0)))</f>
        <v>9</v>
      </c>
      <c r="U46" s="212">
        <f>IF(ISNA(VLOOKUP(B46,'5ème J.'!$BH$9:$BK$62,4,0))," ",IF(VLOOKUP(B46,'5ème J.'!$BH$9:$BK$62,4,0)=0,"0",VLOOKUP(B46,'5ème J.'!$BH$9:$BK$62,4,0)))</f>
        <v>25</v>
      </c>
      <c r="V46" s="257"/>
      <c r="W46" s="212">
        <f>IF(ISNA(VLOOKUP(B46,'6ème J.'!$BH$9:$BK$62,2,0))," ",IF(VLOOKUP(B46,'6ème J.'!$BH$9:$BK$62,2,0)=0,"0",VLOOKUP(B46,'6ème J.'!$BH$9:$BK$62,2,0)))</f>
        <v>7</v>
      </c>
      <c r="X46" s="212">
        <f>IF(ISNA(VLOOKUP(B46,'6ème J.'!$BH$9:$BK$62,3,0))," ",IF(VLOOKUP(B46,'6ème J.'!$BH$9:$BK$62,3,0)=0,"0",VLOOKUP(B46,'6ème J.'!$BH$9:$BK$62,3,0)))</f>
        <v>9</v>
      </c>
      <c r="Y46" s="212">
        <f>IF(ISNA(VLOOKUP(B46,'6ème J.'!$BH$9:$BK$62,4,0))," ",IF(VLOOKUP(B46,'6ème J.'!$BH$9:$BK$62,4,0)=0,"0",VLOOKUP(B46,'6ème J.'!$BH$9:$BK$62,4,0)))</f>
        <v>36</v>
      </c>
      <c r="Z46"/>
      <c r="AA46" s="289" t="str">
        <f t="shared" si="9"/>
        <v>C5</v>
      </c>
      <c r="AB46" s="216">
        <f t="shared" si="10"/>
        <v>38</v>
      </c>
      <c r="AC46" s="213">
        <f t="shared" si="6"/>
        <v>35</v>
      </c>
      <c r="AD46" s="290">
        <f t="shared" si="7"/>
        <v>142</v>
      </c>
      <c r="AE46" s="214">
        <f t="shared" si="8"/>
        <v>2.6358004599999996</v>
      </c>
      <c r="AF46" s="215">
        <f>IF(AB46="","",SMALL(AE$6:AE$59,ROWS(AB$6:AB46)))</f>
        <v>39.065600200000006</v>
      </c>
      <c r="AG46" s="215"/>
      <c r="AH46" s="261">
        <f>IF(AF46="","",IF(AND(AJ45=AJ46,AK45=AK46,AL46=AL45),AH45,$AH$6+40))</f>
        <v>41</v>
      </c>
      <c r="AI46" s="216" t="str">
        <f t="shared" si="11"/>
        <v>A15</v>
      </c>
      <c r="AJ46" s="216">
        <f t="shared" si="12"/>
        <v>12</v>
      </c>
      <c r="AK46" s="263">
        <f t="shared" si="13"/>
        <v>-7</v>
      </c>
      <c r="AL46" s="266">
        <f t="shared" si="14"/>
        <v>44</v>
      </c>
      <c r="AN46" s="218">
        <v>41</v>
      </c>
    </row>
    <row r="47" spans="1:40" x14ac:dyDescent="0.3">
      <c r="A47" s="296">
        <v>42</v>
      </c>
      <c r="B47" s="293" t="str">
        <f>+Inscrits!F8</f>
        <v>C6</v>
      </c>
      <c r="C47" s="212">
        <f>IF(ISNA(VLOOKUP(B47,'1ère J.'!$BH$9:$BK$62,2,0))," ",IF(VLOOKUP(B47,'1ère J.'!$BH$9:$BK$62,2,0)=0,"0",VLOOKUP(B47,'1ère J.'!$BH$9:$BK$62,2,0)))</f>
        <v>1</v>
      </c>
      <c r="D47" s="212" t="str">
        <f>IF(ISNA(VLOOKUP(B47,'1ère J.'!$BH$9:$BK$62,3,0))," ",IF(VLOOKUP(B47,'1ère J.'!$BH$9:$BK$62,3,0)," ",VLOOKUP(B47,'1ère J.'!$BH$9:$BK$62,3,0)))</f>
        <v xml:space="preserve"> </v>
      </c>
      <c r="E47" s="212">
        <f>IF(ISNA(VLOOKUP(B47,'1ère J.'!$BH$9:$BK$62,4,0))," ",IF(VLOOKUP(B47,'1ère J.'!$BH$9:$BK$62,4,0)=0,"0",VLOOKUP(B47,'1ère J.'!$BH$9:$BK$62,4,0)))</f>
        <v>5</v>
      </c>
      <c r="F47" s="257"/>
      <c r="G47" s="212">
        <f>IF(ISNA(VLOOKUP(B47,'2ème J.'!$BH$9:$BK$62,2,0))," ",IF(VLOOKUP(B47,'2ème J.'!$BH$9:$BK$62,2,0)=0,"0",VLOOKUP(B47,'2ème J.'!$BH$9:$BK$62,2,0)))</f>
        <v>3</v>
      </c>
      <c r="H47" s="212">
        <f>IF(ISNA(VLOOKUP(B47,'2ème J.'!$BH$9:$BK$62,3,0))," ",IF(VLOOKUP(B47,'2ème J.'!$BH$9:$BK$62,3,0)=0,"0",VLOOKUP(B47,'2ème J.'!$BH$9:$BK$62,3,0)))</f>
        <v>-25</v>
      </c>
      <c r="I47" s="212">
        <f>IF(ISNA(VLOOKUP(B47,'2ème J.'!$BH$9:$BK$62,4,0))," ",IF(VLOOKUP(B47,'2ème J.'!$BH$9:$BK$62,4,0)=0,"0",VLOOKUP(B47,'2ème J.'!$BH$9:$BK$62,4,0)))</f>
        <v>7</v>
      </c>
      <c r="J47" s="272"/>
      <c r="K47" s="212">
        <f>IF(ISNA(VLOOKUP(B47,'3ème J.'!$BH$9:$BK$62,2,0))," ",IF(VLOOKUP(B47,'3ème J.'!$BH$9:$BK$62,2,0)=0,"0",VLOOKUP(B47,'3ème J.'!$BH$9:$BK$62,2,0)))</f>
        <v>7</v>
      </c>
      <c r="L47" s="212">
        <f>IF(ISNA(VLOOKUP(B47,'3ème J.'!$BH$9:$BK$62,3,0))," ",IF(VLOOKUP(B47,'3ème J.'!$BH$9:$BK$62,3,0)=0,"0",VLOOKUP(B47,'3ème J.'!$BH$9:$BK$62,3,0)))</f>
        <v>13</v>
      </c>
      <c r="M47" s="212">
        <f>IF(ISNA(VLOOKUP(B47,'3ème J.'!$BH$9:$BK$62,4,0))," ",IF(VLOOKUP(B47,'3ème J.'!$BH$9:$BK$62,4,0)=0,"0",VLOOKUP(B47,'3ème J.'!$BH$9:$BK$62,4,0)))</f>
        <v>31</v>
      </c>
      <c r="N47" s="272"/>
      <c r="O47" s="212">
        <f>IF(ISNA(VLOOKUP(B47,'4ème J.'!$BH$9:$BK$62,2,0))," ",IF(VLOOKUP(B47,'4ème J.'!$BH$9:$BK$62,2,0)=0,"0",VLOOKUP(B47,'4ème J.'!$BH$9:$BK$62,2,0)))</f>
        <v>5</v>
      </c>
      <c r="P47" s="212">
        <f>IF(ISNA(VLOOKUP(B47,'4ème J.'!$BH$9:$BK$62,3,0))," ",IF(VLOOKUP(B47,'4ème J.'!$BH$9:$BK$62,3,0)=0,"0",VLOOKUP(B47,'4ème J.'!$BH$9:$BK$62,3,0)))</f>
        <v>-6</v>
      </c>
      <c r="Q47" s="212">
        <f>IF(ISNA(VLOOKUP(B47,'4ème J.'!$BH$9:$BK$62,4,0))," ",IF(VLOOKUP(B47,'4ème J.'!$BH$9:$BK$62,4,0)=0,"0",VLOOKUP(B47,'4ème J.'!$BH$9:$BK$62,4,0)))</f>
        <v>1</v>
      </c>
      <c r="R47" s="257"/>
      <c r="S47" s="212">
        <f>IF(ISNA(VLOOKUP(B47,'5ème J.'!$BH$9:$BK$62,2,0))," ",IF(VLOOKUP(B47,'5ème J.'!$BH$9:$BK$62,2,0)=0,"0",VLOOKUP(B47,'5ème J.'!$BH$9:$BK$62,2,0)))</f>
        <v>5</v>
      </c>
      <c r="T47" s="212">
        <f>IF(ISNA(VLOOKUP(B47,'5ème J.'!$BH$9:$BK$62,3,0))," ",IF(VLOOKUP(B47,'5ème J.'!$BH$9:$BK$62,3,0)=0,"0",VLOOKUP(B47,'5ème J.'!$BH$9:$BK$62,3,0)))</f>
        <v>-11</v>
      </c>
      <c r="U47" s="212">
        <f>IF(ISNA(VLOOKUP(B47,'5ème J.'!$BH$9:$BK$62,4,0))," ",IF(VLOOKUP(B47,'5ème J.'!$BH$9:$BK$62,4,0)=0,"0",VLOOKUP(B47,'5ème J.'!$BH$9:$BK$62,4,0)))</f>
        <v>16</v>
      </c>
      <c r="V47" s="257"/>
      <c r="W47" s="212">
        <f>IF(ISNA(VLOOKUP(B47,'6ème J.'!$BH$9:$BK$62,2,0))," ",IF(VLOOKUP(B47,'6ème J.'!$BH$9:$BK$62,2,0)=0,"0",VLOOKUP(B47,'6ème J.'!$BH$9:$BK$62,2,0)))</f>
        <v>3</v>
      </c>
      <c r="X47" s="212">
        <f>IF(ISNA(VLOOKUP(B47,'6ème J.'!$BH$9:$BK$62,3,0))," ",IF(VLOOKUP(B47,'6ème J.'!$BH$9:$BK$62,3,0)=0,"0",VLOOKUP(B47,'6ème J.'!$BH$9:$BK$62,3,0)))</f>
        <v>-14</v>
      </c>
      <c r="Y47" s="212">
        <f>IF(ISNA(VLOOKUP(B47,'6ème J.'!$BH$9:$BK$62,4,0))," ",IF(VLOOKUP(B47,'6ème J.'!$BH$9:$BK$62,4,0)=0,"0",VLOOKUP(B47,'6ème J.'!$BH$9:$BK$62,4,0)))</f>
        <v>21</v>
      </c>
      <c r="Z47"/>
      <c r="AA47" s="289" t="str">
        <f t="shared" si="9"/>
        <v>C6</v>
      </c>
      <c r="AB47" s="216">
        <f t="shared" si="10"/>
        <v>24</v>
      </c>
      <c r="AC47" s="213">
        <f t="shared" si="6"/>
        <v>-43</v>
      </c>
      <c r="AD47" s="290">
        <f t="shared" si="7"/>
        <v>81</v>
      </c>
      <c r="AE47" s="214">
        <f t="shared" si="8"/>
        <v>25.421900470000001</v>
      </c>
      <c r="AF47" s="215">
        <f>IF(AB47="","",SMALL(AE$6:AE$59,ROWS(AB$6:AB47)))</f>
        <v>41.964700380000004</v>
      </c>
      <c r="AG47" s="215"/>
      <c r="AH47" s="261">
        <f>IF(AF47="","",IF(AND(AJ46=AJ47,AK46=AK47,AL47=AL46),AH46,$AH$6+41))</f>
        <v>42</v>
      </c>
      <c r="AI47" s="216" t="str">
        <f t="shared" si="11"/>
        <v>B15</v>
      </c>
      <c r="AJ47" s="216">
        <f t="shared" si="12"/>
        <v>10</v>
      </c>
      <c r="AK47" s="263">
        <f t="shared" si="13"/>
        <v>3</v>
      </c>
      <c r="AL47" s="266">
        <f t="shared" si="14"/>
        <v>53</v>
      </c>
      <c r="AN47" s="218">
        <v>42</v>
      </c>
    </row>
    <row r="48" spans="1:40" x14ac:dyDescent="0.3">
      <c r="A48" s="296">
        <v>43</v>
      </c>
      <c r="B48" s="293" t="str">
        <f>+Inscrits!F9</f>
        <v>C7</v>
      </c>
      <c r="C48" s="212">
        <f>IF(ISNA(VLOOKUP(B48,'1ère J.'!$BH$9:$BK$62,2,0))," ",IF(VLOOKUP(B48,'1ère J.'!$BH$9:$BK$62,2,0)=0,"0",VLOOKUP(B48,'1ère J.'!$BH$9:$BK$62,2,0)))</f>
        <v>4</v>
      </c>
      <c r="D48" s="212">
        <f>IF(ISNA(VLOOKUP(B48,'1ère J.'!$BH$9:$BK$62,3,0))," ",IF(VLOOKUP(B48,'1ère J.'!$BH$9:$BK$62,3,0)=0,"0",VLOOKUP(B48,'1ère J.'!$BH$9:$BK$62,3,0)))</f>
        <v>6</v>
      </c>
      <c r="E48" s="212">
        <f>IF(ISNA(VLOOKUP(B48,'1ère J.'!$BH$9:$BK$62,4,0))," ",IF(VLOOKUP(B48,'1ère J.'!$BH$9:$BK$62,4,0)=0,"0",VLOOKUP(B48,'1ère J.'!$BH$9:$BK$62,4,0)))</f>
        <v>16</v>
      </c>
      <c r="F48" s="257"/>
      <c r="G48" s="212">
        <f>IF(ISNA(VLOOKUP(B48,'2ème J.'!$BH$9:$BK$62,2,0))," ",IF(VLOOKUP(B48,'2ème J.'!$BH$9:$BK$62,2,0)=0,"0",VLOOKUP(B48,'2ème J.'!$BH$9:$BK$62,2,0)))</f>
        <v>4</v>
      </c>
      <c r="H48" s="212">
        <f>IF(ISNA(VLOOKUP(B48,'2ème J.'!$BH$9:$BK$62,3,0))," ",IF(VLOOKUP(B48,'2ème J.'!$BH$9:$BK$62,3,0)=0,"0",VLOOKUP(B48,'2ème J.'!$BH$9:$BK$62,3,0)))</f>
        <v>-4</v>
      </c>
      <c r="I48" s="212">
        <f>IF(ISNA(VLOOKUP(B48,'2ème J.'!$BH$9:$BK$62,4,0))," ",IF(VLOOKUP(B48,'2ème J.'!$BH$9:$BK$62,4,0)=0,"0",VLOOKUP(B48,'2ème J.'!$BH$9:$BK$62,4,0)))</f>
        <v>13</v>
      </c>
      <c r="J48" s="272"/>
      <c r="K48" s="212">
        <f>IF(ISNA(VLOOKUP(B48,'3ème J.'!$BH$9:$BK$62,2,0))," ",IF(VLOOKUP(B48,'3ème J.'!$BH$9:$BK$62,2,0)=0,"0",VLOOKUP(B48,'3ème J.'!$BH$9:$BK$62,2,0)))</f>
        <v>7</v>
      </c>
      <c r="L48" s="212">
        <f>IF(ISNA(VLOOKUP(B48,'3ème J.'!$BH$9:$BK$62,3,0))," ",IF(VLOOKUP(B48,'3ème J.'!$BH$9:$BK$62,3,0)=0,"0",VLOOKUP(B48,'3ème J.'!$BH$9:$BK$62,3,0)))</f>
        <v>2</v>
      </c>
      <c r="M48" s="212">
        <f>IF(ISNA(VLOOKUP(B48,'3ème J.'!$BH$9:$BK$62,4,0))," ",IF(VLOOKUP(B48,'3ème J.'!$BH$9:$BK$62,4,0)=0,"0",VLOOKUP(B48,'3ème J.'!$BH$9:$BK$62,4,0)))</f>
        <v>28</v>
      </c>
      <c r="N48" s="272"/>
      <c r="O48" s="212">
        <f>IF(ISNA(VLOOKUP(B48,'4ème J.'!$BH$9:$BK$62,2,0))," ",IF(VLOOKUP(B48,'4ème J.'!$BH$9:$BK$62,2,0)=0,"0",VLOOKUP(B48,'4ème J.'!$BH$9:$BK$62,2,0)))</f>
        <v>7</v>
      </c>
      <c r="P48" s="212">
        <f>IF(ISNA(VLOOKUP(B48,'4ème J.'!$BH$9:$BK$62,3,0))," ",IF(VLOOKUP(B48,'4ème J.'!$BH$9:$BK$62,3,0)=0,"0",VLOOKUP(B48,'4ème J.'!$BH$9:$BK$62,3,0)))</f>
        <v>1</v>
      </c>
      <c r="Q48" s="212">
        <f>IF(ISNA(VLOOKUP(B48,'4ème J.'!$BH$9:$BK$62,4,0))," ",IF(VLOOKUP(B48,'4ème J.'!$BH$9:$BK$62,4,0)=0,"0",VLOOKUP(B48,'4ème J.'!$BH$9:$BK$62,4,0)))</f>
        <v>15</v>
      </c>
      <c r="R48" s="257"/>
      <c r="S48" s="212">
        <f>IF(ISNA(VLOOKUP(B48,'5ème J.'!$BH$9:$BK$62,2,0))," ",IF(VLOOKUP(B48,'5ème J.'!$BH$9:$BK$62,2,0)=0,"0",VLOOKUP(B48,'5ème J.'!$BH$9:$BK$62,2,0)))</f>
        <v>5</v>
      </c>
      <c r="T48" s="212">
        <f>IF(ISNA(VLOOKUP(B48,'5ème J.'!$BH$9:$BK$62,3,0))," ",IF(VLOOKUP(B48,'5ème J.'!$BH$9:$BK$62,3,0)=0,"0",VLOOKUP(B48,'5ème J.'!$BH$9:$BK$62,3,0)))</f>
        <v>-5</v>
      </c>
      <c r="U48" s="212">
        <f>IF(ISNA(VLOOKUP(B48,'5ème J.'!$BH$9:$BK$62,4,0))," ",IF(VLOOKUP(B48,'5ème J.'!$BH$9:$BK$62,4,0)=0,"0",VLOOKUP(B48,'5ème J.'!$BH$9:$BK$62,4,0)))</f>
        <v>17</v>
      </c>
      <c r="V48" s="257"/>
      <c r="W48" s="212">
        <f>IF(ISNA(VLOOKUP(B48,'6ème J.'!$BH$9:$BK$62,2,0))," ",IF(VLOOKUP(B48,'6ème J.'!$BH$9:$BK$62,2,0)=0,"0",VLOOKUP(B48,'6ème J.'!$BH$9:$BK$62,2,0)))</f>
        <v>9</v>
      </c>
      <c r="X48" s="212">
        <f>IF(ISNA(VLOOKUP(B48,'6ème J.'!$BH$9:$BK$62,3,0))," ",IF(VLOOKUP(B48,'6ème J.'!$BH$9:$BK$62,3,0)=0,"0",VLOOKUP(B48,'6ème J.'!$BH$9:$BK$62,3,0)))</f>
        <v>15</v>
      </c>
      <c r="Y48" s="212">
        <f>IF(ISNA(VLOOKUP(B48,'6ème J.'!$BH$9:$BK$62,4,0))," ",IF(VLOOKUP(B48,'6ème J.'!$BH$9:$BK$62,4,0)=0,"0",VLOOKUP(B48,'6ème J.'!$BH$9:$BK$62,4,0)))</f>
        <v>30</v>
      </c>
      <c r="Z48"/>
      <c r="AA48" s="289" t="str">
        <f t="shared" si="9"/>
        <v>C7</v>
      </c>
      <c r="AB48" s="216">
        <f t="shared" si="10"/>
        <v>36</v>
      </c>
      <c r="AC48" s="213">
        <f t="shared" si="6"/>
        <v>15</v>
      </c>
      <c r="AD48" s="290">
        <f t="shared" si="7"/>
        <v>119</v>
      </c>
      <c r="AE48" s="214">
        <f t="shared" si="8"/>
        <v>5.8381004799999996</v>
      </c>
      <c r="AF48" s="215">
        <f>IF(AB48="","",SMALL(AE$6:AE$59,ROWS(AB$6:AB48)))</f>
        <v>42.21720054</v>
      </c>
      <c r="AG48" s="215"/>
      <c r="AH48" s="261">
        <f>IF(AF48="","",IF(AND(AJ47=AJ48,AK47=AK48,AL48=AL47),AH47,$AH$6+42))</f>
        <v>43</v>
      </c>
      <c r="AI48" s="216" t="str">
        <f t="shared" si="11"/>
        <v>C13</v>
      </c>
      <c r="AJ48" s="216">
        <f t="shared" si="12"/>
        <v>10</v>
      </c>
      <c r="AK48" s="263">
        <f t="shared" si="13"/>
        <v>-22</v>
      </c>
      <c r="AL48" s="266">
        <f t="shared" si="14"/>
        <v>28</v>
      </c>
      <c r="AN48" s="218">
        <v>43</v>
      </c>
    </row>
    <row r="49" spans="1:40" x14ac:dyDescent="0.3">
      <c r="A49" s="296">
        <v>44</v>
      </c>
      <c r="B49" s="293" t="str">
        <f>+Inscrits!F10</f>
        <v>C8</v>
      </c>
      <c r="C49" s="212">
        <f>IF(ISNA(VLOOKUP(B49,'1ère J.'!$BH$9:$BK$62,2,0))," ",IF(VLOOKUP(B49,'1ère J.'!$BH$9:$BK$62,2,0)=0,"0",VLOOKUP(B49,'1ère J.'!$BH$9:$BK$62,2,0)))</f>
        <v>3</v>
      </c>
      <c r="D49" s="212">
        <f>IF(ISNA(VLOOKUP(B49,'1ère J.'!$BH$9:$BK$62,3,0))," ",IF(VLOOKUP(B49,'1ère J.'!$BH$9:$BK$62,3,0)=0,"0",VLOOKUP(B49,'1ère J.'!$BH$9:$BK$62,3,0)))</f>
        <v>1</v>
      </c>
      <c r="E49" s="212">
        <f>IF(ISNA(VLOOKUP(B49,'1ère J.'!$BH$9:$BK$62,4,0))," ",IF(VLOOKUP(B49,'1ère J.'!$BH$9:$BK$62,4,0)=0,"0",VLOOKUP(B49,'1ère J.'!$BH$9:$BK$62,4,0)))</f>
        <v>5</v>
      </c>
      <c r="F49" s="257"/>
      <c r="G49" s="212">
        <f>IF(ISNA(VLOOKUP(B49,'2ème J.'!$BH$9:$BK$62,2,0))," ",IF(VLOOKUP(B49,'2ème J.'!$BH$9:$BK$62,2,0)=0,"0",VLOOKUP(B49,'2ème J.'!$BH$9:$BK$62,2,0)))</f>
        <v>1</v>
      </c>
      <c r="H49" s="212">
        <f>IF(ISNA(VLOOKUP(B49,'2ème J.'!$BH$9:$BK$62,3,0))," ",IF(VLOOKUP(B49,'2ème J.'!$BH$9:$BK$62,3,0)=0,"0",VLOOKUP(B49,'2ème J.'!$BH$9:$BK$62,3,0)))</f>
        <v>-3</v>
      </c>
      <c r="I49" s="212">
        <f>IF(ISNA(VLOOKUP(B49,'2ème J.'!$BH$9:$BK$62,4,0))," ",IF(VLOOKUP(B49,'2ème J.'!$BH$9:$BK$62,4,0)=0,"0",VLOOKUP(B49,'2ème J.'!$BH$9:$BK$62,4,0)))</f>
        <v>6</v>
      </c>
      <c r="J49" s="272"/>
      <c r="K49" s="212">
        <f>IF(ISNA(VLOOKUP(B49,'3ème J.'!$BH$9:$BK$62,2,0))," ",IF(VLOOKUP(B49,'3ème J.'!$BH$9:$BK$62,2,0)=0,"0",VLOOKUP(B49,'3ème J.'!$BH$9:$BK$62,2,0)))</f>
        <v>5</v>
      </c>
      <c r="L49" s="212">
        <f>IF(ISNA(VLOOKUP(B49,'3ème J.'!$BH$9:$BK$62,3,0))," ",IF(VLOOKUP(B49,'3ème J.'!$BH$9:$BK$62,3,0)=0,"0",VLOOKUP(B49,'3ème J.'!$BH$9:$BK$62,3,0)))</f>
        <v>-12</v>
      </c>
      <c r="M49" s="212">
        <f>IF(ISNA(VLOOKUP(B49,'3ème J.'!$BH$9:$BK$62,4,0))," ",IF(VLOOKUP(B49,'3ème J.'!$BH$9:$BK$62,4,0)=0,"0",VLOOKUP(B49,'3ème J.'!$BH$9:$BK$62,4,0)))</f>
        <v>17</v>
      </c>
      <c r="N49" s="272"/>
      <c r="O49" s="212">
        <f>IF(ISNA(VLOOKUP(B49,'4ème J.'!$BH$9:$BK$62,2,0))," ",IF(VLOOKUP(B49,'4ème J.'!$BH$9:$BK$62,2,0)=0,"0",VLOOKUP(B49,'4ème J.'!$BH$9:$BK$62,2,0)))</f>
        <v>3</v>
      </c>
      <c r="P49" s="212">
        <f>IF(ISNA(VLOOKUP(B49,'4ème J.'!$BH$9:$BK$62,3,0))," ",IF(VLOOKUP(B49,'4ème J.'!$BH$9:$BK$62,3,0)=0,"0",VLOOKUP(B49,'4ème J.'!$BH$9:$BK$62,3,0)))</f>
        <v>-3</v>
      </c>
      <c r="Q49" s="212" t="str">
        <f>IF(ISNA(VLOOKUP(B49,'4ème J.'!$BH$9:$BK$62,4,0))," ",IF(VLOOKUP(B49,'4ème J.'!$BH$9:$BK$62,4,0)=0,"0",VLOOKUP(B49,'4ème J.'!$BH$9:$BK$62,4,0)))</f>
        <v>0</v>
      </c>
      <c r="R49" s="257"/>
      <c r="S49" s="212">
        <f>IF(ISNA(VLOOKUP(B49,'5ème J.'!$BH$9:$BK$62,2,0))," ",IF(VLOOKUP(B49,'5ème J.'!$BH$9:$BK$62,2,0)=0,"0",VLOOKUP(B49,'5ème J.'!$BH$9:$BK$62,2,0)))</f>
        <v>9</v>
      </c>
      <c r="T49" s="212">
        <f>IF(ISNA(VLOOKUP(B49,'5ème J.'!$BH$9:$BK$62,3,0))," ",IF(VLOOKUP(B49,'5ème J.'!$BH$9:$BK$62,3,0)=0,"0",VLOOKUP(B49,'5ème J.'!$BH$9:$BK$62,3,0)))</f>
        <v>20</v>
      </c>
      <c r="U49" s="212">
        <f>IF(ISNA(VLOOKUP(B49,'5ème J.'!$BH$9:$BK$62,4,0))," ",IF(VLOOKUP(B49,'5ème J.'!$BH$9:$BK$62,4,0)=0,"0",VLOOKUP(B49,'5ème J.'!$BH$9:$BK$62,4,0)))</f>
        <v>26</v>
      </c>
      <c r="V49" s="257"/>
      <c r="W49" s="212">
        <f>IF(ISNA(VLOOKUP(B49,'6ème J.'!$BH$9:$BK$62,2,0))," ",IF(VLOOKUP(B49,'6ème J.'!$BH$9:$BK$62,2,0)=0,"0",VLOOKUP(B49,'6ème J.'!$BH$9:$BK$62,2,0)))</f>
        <v>5</v>
      </c>
      <c r="X49" s="212">
        <f>IF(ISNA(VLOOKUP(B49,'6ème J.'!$BH$9:$BK$62,3,0))," ",IF(VLOOKUP(B49,'6ème J.'!$BH$9:$BK$62,3,0)=0,"0",VLOOKUP(B49,'6ème J.'!$BH$9:$BK$62,3,0)))</f>
        <v>-1</v>
      </c>
      <c r="Y49" s="212">
        <f>IF(ISNA(VLOOKUP(B49,'6ème J.'!$BH$9:$BK$62,4,0))," ",IF(VLOOKUP(B49,'6ème J.'!$BH$9:$BK$62,4,0)=0,"0",VLOOKUP(B49,'6ème J.'!$BH$9:$BK$62,4,0)))</f>
        <v>22</v>
      </c>
      <c r="Z49"/>
      <c r="AA49" s="289" t="str">
        <f t="shared" si="9"/>
        <v>C8</v>
      </c>
      <c r="AB49" s="216">
        <f t="shared" si="10"/>
        <v>26</v>
      </c>
      <c r="AC49" s="213">
        <f t="shared" si="6"/>
        <v>2</v>
      </c>
      <c r="AD49" s="290">
        <f t="shared" si="7"/>
        <v>76</v>
      </c>
      <c r="AE49" s="214">
        <f t="shared" si="8"/>
        <v>21.972400490000002</v>
      </c>
      <c r="AF49" s="215">
        <f>IF(AB49="","",SMALL(AE$6:AE$59,ROWS(AB$6:AB49)))</f>
        <v>42.217400359999999</v>
      </c>
      <c r="AG49" s="215"/>
      <c r="AH49" s="261">
        <f>IF(AF49="","",IF(AND(AJ48=AJ49,AK48=AK49,AL49=AL48),AH48,$AH$6+43))</f>
        <v>44</v>
      </c>
      <c r="AI49" s="216" t="str">
        <f t="shared" si="11"/>
        <v>B13</v>
      </c>
      <c r="AJ49" s="216">
        <f t="shared" si="12"/>
        <v>10</v>
      </c>
      <c r="AK49" s="263">
        <f t="shared" si="13"/>
        <v>-22</v>
      </c>
      <c r="AL49" s="266">
        <f t="shared" si="14"/>
        <v>26</v>
      </c>
      <c r="AN49" s="218">
        <v>44</v>
      </c>
    </row>
    <row r="50" spans="1:40" x14ac:dyDescent="0.3">
      <c r="A50" s="296">
        <v>45</v>
      </c>
      <c r="B50" s="293" t="str">
        <f>+Inscrits!F11</f>
        <v>C9</v>
      </c>
      <c r="C50" s="212">
        <f>IF(ISNA(VLOOKUP(B50,'1ère J.'!$BH$9:$BK$62,2,0))," ",IF(VLOOKUP(B50,'1ère J.'!$BH$9:$BK$62,2,0)=0,"0",VLOOKUP(B50,'1ère J.'!$BH$9:$BK$62,2,0)))</f>
        <v>3</v>
      </c>
      <c r="D50" s="212">
        <f>IF(ISNA(VLOOKUP(B50,'1ère J.'!$BH$9:$BK$62,3,0))," ",IF(VLOOKUP(B50,'1ère J.'!$BH$9:$BK$62,3,0)=0,"0",VLOOKUP(B50,'1ère J.'!$BH$9:$BK$62,3,0)))</f>
        <v>5</v>
      </c>
      <c r="E50" s="212">
        <f>IF(ISNA(VLOOKUP(B50,'1ère J.'!$BH$9:$BK$62,4,0))," ",IF(VLOOKUP(B50,'1ère J.'!$BH$9:$BK$62,4,0)=0,"0",VLOOKUP(B50,'1ère J.'!$BH$9:$BK$62,4,0)))</f>
        <v>14</v>
      </c>
      <c r="F50" s="257"/>
      <c r="G50" s="212">
        <f>IF(ISNA(VLOOKUP(B50,'2ème J.'!$BH$9:$BK$62,2,0))," ",IF(VLOOKUP(B50,'2ème J.'!$BH$9:$BK$62,2,0)=0,"0",VLOOKUP(B50,'2ème J.'!$BH$9:$BK$62,2,0)))</f>
        <v>3</v>
      </c>
      <c r="H50" s="212">
        <f>IF(ISNA(VLOOKUP(B50,'2ème J.'!$BH$9:$BK$62,3,0))," ",IF(VLOOKUP(B50,'2ème J.'!$BH$9:$BK$62,3,0)=0,"0",VLOOKUP(B50,'2ème J.'!$BH$9:$BK$62,3,0)))</f>
        <v>3</v>
      </c>
      <c r="I50" s="212">
        <f>IF(ISNA(VLOOKUP(B50,'2ème J.'!$BH$9:$BK$62,4,0))," ",IF(VLOOKUP(B50,'2ème J.'!$BH$9:$BK$62,4,0)=0,"0",VLOOKUP(B50,'2ème J.'!$BH$9:$BK$62,4,0)))</f>
        <v>9</v>
      </c>
      <c r="J50" s="272"/>
      <c r="K50" s="212">
        <f>IF(ISNA(VLOOKUP(B50,'3ème J.'!$BH$9:$BK$62,2,0))," ",IF(VLOOKUP(B50,'3ème J.'!$BH$9:$BK$62,2,0)=0,"0",VLOOKUP(B50,'3ème J.'!$BH$9:$BK$62,2,0)))</f>
        <v>7</v>
      </c>
      <c r="L50" s="212">
        <f>IF(ISNA(VLOOKUP(B50,'3ème J.'!$BH$9:$BK$62,3,0))," ",IF(VLOOKUP(B50,'3ème J.'!$BH$9:$BK$62,3,0)=0,"0",VLOOKUP(B50,'3ème J.'!$BH$9:$BK$62,3,0)))</f>
        <v>8</v>
      </c>
      <c r="M50" s="212">
        <f>IF(ISNA(VLOOKUP(B50,'3ème J.'!$BH$9:$BK$62,4,0))," ",IF(VLOOKUP(B50,'3ème J.'!$BH$9:$BK$62,4,0)=0,"0",VLOOKUP(B50,'3ème J.'!$BH$9:$BK$62,4,0)))</f>
        <v>20</v>
      </c>
      <c r="N50" s="272"/>
      <c r="O50" s="212">
        <f>IF(ISNA(VLOOKUP(B50,'4ème J.'!$BH$9:$BK$62,2,0))," ",IF(VLOOKUP(B50,'4ème J.'!$BH$9:$BK$62,2,0)=0,"0",VLOOKUP(B50,'4ème J.'!$BH$9:$BK$62,2,0)))</f>
        <v>5</v>
      </c>
      <c r="P50" s="212">
        <f>IF(ISNA(VLOOKUP(B50,'4ème J.'!$BH$9:$BK$62,3,0))," ",IF(VLOOKUP(B50,'4ème J.'!$BH$9:$BK$62,3,0)=0,"0",VLOOKUP(B50,'4ème J.'!$BH$9:$BK$62,3,0)))</f>
        <v>-1</v>
      </c>
      <c r="Q50" s="212">
        <f>IF(ISNA(VLOOKUP(B50,'4ème J.'!$BH$9:$BK$62,4,0))," ",IF(VLOOKUP(B50,'4ème J.'!$BH$9:$BK$62,4,0)=0,"0",VLOOKUP(B50,'4ème J.'!$BH$9:$BK$62,4,0)))</f>
        <v>1</v>
      </c>
      <c r="R50" s="257"/>
      <c r="S50" s="212">
        <f>IF(ISNA(VLOOKUP(B50,'5ème J.'!$BH$9:$BK$62,2,0))," ",IF(VLOOKUP(B50,'5ème J.'!$BH$9:$BK$62,2,0)=0,"0",VLOOKUP(B50,'5ème J.'!$BH$9:$BK$62,2,0)))</f>
        <v>7</v>
      </c>
      <c r="T50" s="212">
        <f>IF(ISNA(VLOOKUP(B50,'5ème J.'!$BH$9:$BK$62,3,0))," ",IF(VLOOKUP(B50,'5ème J.'!$BH$9:$BK$62,3,0)=0,"0",VLOOKUP(B50,'5ème J.'!$BH$9:$BK$62,3,0)))</f>
        <v>-2</v>
      </c>
      <c r="U50" s="212">
        <f>IF(ISNA(VLOOKUP(B50,'5ème J.'!$BH$9:$BK$62,4,0))," ",IF(VLOOKUP(B50,'5ème J.'!$BH$9:$BK$62,4,0)=0,"0",VLOOKUP(B50,'5ème J.'!$BH$9:$BK$62,4,0)))</f>
        <v>24</v>
      </c>
      <c r="V50" s="257"/>
      <c r="W50" s="212">
        <f>IF(ISNA(VLOOKUP(B50,'6ème J.'!$BH$9:$BK$62,2,0))," ",IF(VLOOKUP(B50,'6ème J.'!$BH$9:$BK$62,2,0)=0,"0",VLOOKUP(B50,'6ème J.'!$BH$9:$BK$62,2,0)))</f>
        <v>5</v>
      </c>
      <c r="X50" s="212">
        <f>IF(ISNA(VLOOKUP(B50,'6ème J.'!$BH$9:$BK$62,3,0))," ",IF(VLOOKUP(B50,'6ème J.'!$BH$9:$BK$62,3,0)=0,"0",VLOOKUP(B50,'6ème J.'!$BH$9:$BK$62,3,0)))</f>
        <v>-8</v>
      </c>
      <c r="Y50" s="212">
        <f>IF(ISNA(VLOOKUP(B50,'6ème J.'!$BH$9:$BK$62,4,0))," ",IF(VLOOKUP(B50,'6ème J.'!$BH$9:$BK$62,4,0)=0,"0",VLOOKUP(B50,'6ème J.'!$BH$9:$BK$62,4,0)))</f>
        <v>19</v>
      </c>
      <c r="Z50"/>
      <c r="AA50" s="289" t="str">
        <f t="shared" si="9"/>
        <v>C9</v>
      </c>
      <c r="AB50" s="216">
        <f t="shared" si="10"/>
        <v>30</v>
      </c>
      <c r="AC50" s="213">
        <f t="shared" si="6"/>
        <v>5</v>
      </c>
      <c r="AD50" s="290">
        <f t="shared" si="7"/>
        <v>87</v>
      </c>
      <c r="AE50" s="214">
        <f t="shared" si="8"/>
        <v>15.941300500000001</v>
      </c>
      <c r="AF50" s="215">
        <f>IF(AB50="","",SMALL(AE$6:AE$59,ROWS(AB$6:AB50)))</f>
        <v>44.896900399999993</v>
      </c>
      <c r="AG50" s="215"/>
      <c r="AH50" s="261">
        <f>IF(AF50="","",IF(AND(AJ49=AJ50,AK49=AK50,AL50=AL49),AH49,$AH$6+44))</f>
        <v>45</v>
      </c>
      <c r="AI50" s="216" t="str">
        <f t="shared" si="11"/>
        <v>B17</v>
      </c>
      <c r="AJ50" s="216">
        <f t="shared" si="12"/>
        <v>9</v>
      </c>
      <c r="AK50" s="263">
        <f t="shared" si="13"/>
        <v>10</v>
      </c>
      <c r="AL50" s="266">
        <f t="shared" si="14"/>
        <v>31</v>
      </c>
      <c r="AN50" s="218">
        <v>45</v>
      </c>
    </row>
    <row r="51" spans="1:40" x14ac:dyDescent="0.3">
      <c r="A51" s="296">
        <v>46</v>
      </c>
      <c r="B51" s="293" t="str">
        <f>+Inscrits!F12</f>
        <v>C10</v>
      </c>
      <c r="C51" s="212">
        <f>IF(ISNA(VLOOKUP(B51,'1ère J.'!$BH$9:$BK$62,2,0))," ",IF(VLOOKUP(B51,'1ère J.'!$BH$9:$BK$62,2,0)=0,"0",VLOOKUP(B51,'1ère J.'!$BH$9:$BK$62,2,0)))</f>
        <v>1</v>
      </c>
      <c r="D51" s="212">
        <f>IF(ISNA(VLOOKUP(B51,'1ère J.'!$BH$9:$BK$62,3,0))," ",IF(VLOOKUP(B51,'1ère J.'!$BH$9:$BK$62,3,0)=0,"0",VLOOKUP(B51,'1ère J.'!$BH$9:$BK$62,3,0)))</f>
        <v>-5</v>
      </c>
      <c r="E51" s="212">
        <f>IF(ISNA(VLOOKUP(B51,'1ère J.'!$BH$9:$BK$62,4,0))," ",IF(VLOOKUP(B51,'1ère J.'!$BH$9:$BK$62,4,0)=0,"0",VLOOKUP(B51,'1ère J.'!$BH$9:$BK$62,4,0)))</f>
        <v>9</v>
      </c>
      <c r="F51" s="257"/>
      <c r="G51" s="212" t="str">
        <f>IF(ISNA(VLOOKUP(B51,'2ème J.'!$BH$9:$BK$62,2,0))," ",IF(VLOOKUP(B51,'2ème J.'!$BH$9:$BK$62,2,0)=0,"0",VLOOKUP(B51,'2ème J.'!$BH$9:$BK$62,2,0)))</f>
        <v>0</v>
      </c>
      <c r="H51" s="212" t="str">
        <f>IF(ISNA(VLOOKUP(B51,'2ème J.'!$BH$9:$BK$62,3,0))," ",IF(VLOOKUP(B51,'2ème J.'!$BH$9:$BK$62,3,0)=0,"0",VLOOKUP(B51,'2ème J.'!$BH$9:$BK$62,3,0)))</f>
        <v>0</v>
      </c>
      <c r="I51" s="212" t="str">
        <f>IF(ISNA(VLOOKUP(B51,'2ème J.'!$BH$9:$BK$62,4,0))," ",IF(VLOOKUP(B51,'2ème J.'!$BH$9:$BK$62,4,0)=0,"0",VLOOKUP(B51,'2ème J.'!$BH$9:$BK$62,4,0)))</f>
        <v>0</v>
      </c>
      <c r="J51" s="272"/>
      <c r="K51" s="212">
        <f>IF(ISNA(VLOOKUP(B51,'3ème J.'!$BH$9:$BK$62,2,0))," ",IF(VLOOKUP(B51,'3ème J.'!$BH$9:$BK$62,2,0)=0,"0",VLOOKUP(B51,'3ème J.'!$BH$9:$BK$62,2,0)))</f>
        <v>3</v>
      </c>
      <c r="L51" s="212">
        <f>IF(ISNA(VLOOKUP(B51,'3ème J.'!$BH$9:$BK$62,3,0))," ",IF(VLOOKUP(B51,'3ème J.'!$BH$9:$BK$62,3,0)=0,"0",VLOOKUP(B51,'3ème J.'!$BH$9:$BK$62,3,0)))</f>
        <v>-11</v>
      </c>
      <c r="M51" s="212">
        <f>IF(ISNA(VLOOKUP(B51,'3ème J.'!$BH$9:$BK$62,4,0))," ",IF(VLOOKUP(B51,'3ème J.'!$BH$9:$BK$62,4,0)=0,"0",VLOOKUP(B51,'3ème J.'!$BH$9:$BK$62,4,0)))</f>
        <v>14</v>
      </c>
      <c r="N51" s="272"/>
      <c r="O51" s="212">
        <f>IF(ISNA(VLOOKUP(B51,'4ème J.'!$BH$9:$BK$62,2,0))," ",IF(VLOOKUP(B51,'4ème J.'!$BH$9:$BK$62,2,0)=0,"0",VLOOKUP(B51,'4ème J.'!$BH$9:$BK$62,2,0)))</f>
        <v>3</v>
      </c>
      <c r="P51" s="212">
        <f>IF(ISNA(VLOOKUP(B51,'4ème J.'!$BH$9:$BK$62,3,0))," ",IF(VLOOKUP(B51,'4ème J.'!$BH$9:$BK$62,3,0)=0,"0",VLOOKUP(B51,'4ème J.'!$BH$9:$BK$62,3,0)))</f>
        <v>-3</v>
      </c>
      <c r="Q51" s="212" t="str">
        <f>IF(ISNA(VLOOKUP(B51,'4ème J.'!$BH$9:$BK$62,4,0))," ",IF(VLOOKUP(B51,'4ème J.'!$BH$9:$BK$62,4,0)=0,"0",VLOOKUP(B51,'4ème J.'!$BH$9:$BK$62,4,0)))</f>
        <v>0</v>
      </c>
      <c r="R51" s="257"/>
      <c r="S51" s="212">
        <f>IF(ISNA(VLOOKUP(B51,'5ème J.'!$BH$9:$BK$62,2,0))," ",IF(VLOOKUP(B51,'5ème J.'!$BH$9:$BK$62,2,0)=0,"0",VLOOKUP(B51,'5ème J.'!$BH$9:$BK$62,2,0)))</f>
        <v>5</v>
      </c>
      <c r="T51" s="212">
        <f>IF(ISNA(VLOOKUP(B51,'5ème J.'!$BH$9:$BK$62,3,0))," ",IF(VLOOKUP(B51,'5ème J.'!$BH$9:$BK$62,3,0)=0,"0",VLOOKUP(B51,'5ème J.'!$BH$9:$BK$62,3,0)))</f>
        <v>3</v>
      </c>
      <c r="U51" s="212">
        <f>IF(ISNA(VLOOKUP(B51,'5ème J.'!$BH$9:$BK$62,4,0))," ",IF(VLOOKUP(B51,'5ème J.'!$BH$9:$BK$62,4,0)=0,"0",VLOOKUP(B51,'5ème J.'!$BH$9:$BK$62,4,0)))</f>
        <v>30</v>
      </c>
      <c r="V51" s="257"/>
      <c r="W51" s="212">
        <f>IF(ISNA(VLOOKUP(B51,'6ème J.'!$BH$9:$BK$62,2,0))," ",IF(VLOOKUP(B51,'6ème J.'!$BH$9:$BK$62,2,0)=0,"0",VLOOKUP(B51,'6ème J.'!$BH$9:$BK$62,2,0)))</f>
        <v>5</v>
      </c>
      <c r="X51" s="212">
        <f>IF(ISNA(VLOOKUP(B51,'6ème J.'!$BH$9:$BK$62,3,0))," ",IF(VLOOKUP(B51,'6ème J.'!$BH$9:$BK$62,3,0)=0,"0",VLOOKUP(B51,'6ème J.'!$BH$9:$BK$62,3,0)))</f>
        <v>-7</v>
      </c>
      <c r="Y51" s="212">
        <f>IF(ISNA(VLOOKUP(B51,'6ème J.'!$BH$9:$BK$62,4,0))," ",IF(VLOOKUP(B51,'6ème J.'!$BH$9:$BK$62,4,0)=0,"0",VLOOKUP(B51,'6ème J.'!$BH$9:$BK$62,4,0)))</f>
        <v>19</v>
      </c>
      <c r="Z51"/>
      <c r="AA51" s="289" t="str">
        <f t="shared" si="9"/>
        <v>C10</v>
      </c>
      <c r="AB51" s="216">
        <f t="shared" si="10"/>
        <v>17</v>
      </c>
      <c r="AC51" s="213">
        <f t="shared" si="6"/>
        <v>-23</v>
      </c>
      <c r="AD51" s="290">
        <f t="shared" si="7"/>
        <v>72</v>
      </c>
      <c r="AE51" s="214">
        <f t="shared" si="8"/>
        <v>33.222800509999999</v>
      </c>
      <c r="AF51" s="215">
        <f>IF(AB51="","",SMALL(AE$6:AE$59,ROWS(AB$6:AB51)))</f>
        <v>44.916500389999996</v>
      </c>
      <c r="AG51" s="215"/>
      <c r="AH51" s="261">
        <f>IF(AF51="","",IF(AND(AJ50=AJ51,AK50=AK51,AL51=AL50),AH50,$AH$6+45))</f>
        <v>46</v>
      </c>
      <c r="AI51" s="216" t="str">
        <f t="shared" si="11"/>
        <v>B16</v>
      </c>
      <c r="AJ51" s="216">
        <f t="shared" si="12"/>
        <v>9</v>
      </c>
      <c r="AK51" s="263">
        <f t="shared" si="13"/>
        <v>8</v>
      </c>
      <c r="AL51" s="266">
        <f t="shared" si="14"/>
        <v>35</v>
      </c>
      <c r="AN51" s="218">
        <v>46</v>
      </c>
    </row>
    <row r="52" spans="1:40" x14ac:dyDescent="0.3">
      <c r="A52" s="296">
        <v>47</v>
      </c>
      <c r="B52" s="293" t="str">
        <f>+Inscrits!F13</f>
        <v>C11</v>
      </c>
      <c r="C52" s="212" t="str">
        <f>IF(ISNA(VLOOKUP(B52,'1ère J.'!$BH$9:$BK$62,2,0))," ",IF(VLOOKUP(B52,'1ère J.'!$BH$9:$BK$62,2,0)=0,"0",VLOOKUP(B52,'1ère J.'!$BH$9:$BK$62,2,0)))</f>
        <v>0</v>
      </c>
      <c r="D52" s="212" t="str">
        <f>IF(ISNA(VLOOKUP(B52,'1ère J.'!$BH$9:$BK$62,3,0))," ",IF(VLOOKUP(B52,'1ère J.'!$BH$9:$BK$62,3,0)=0,"0",VLOOKUP(B52,'1ère J.'!$BH$9:$BK$62,3,0)))</f>
        <v>0</v>
      </c>
      <c r="E52" s="212" t="str">
        <f>IF(ISNA(VLOOKUP(B52,'1ère J.'!$BH$9:$BK$62,4,0))," ",IF(VLOOKUP(B52,'1ère J.'!$BH$9:$BK$62,4,0)=0,"0",VLOOKUP(B52,'1ère J.'!$BH$9:$BK$62,4,0)))</f>
        <v>0</v>
      </c>
      <c r="F52" s="257"/>
      <c r="G52" s="212" t="str">
        <f>IF(ISNA(VLOOKUP(B52,'2ème J.'!$BH$9:$BK$62,2,0))," ",IF(VLOOKUP(B52,'2ème J.'!$BH$9:$BK$62,2,0)=0,"0",VLOOKUP(B52,'2ème J.'!$BH$9:$BK$62,2,0)))</f>
        <v>0</v>
      </c>
      <c r="H52" s="212" t="str">
        <f>IF(ISNA(VLOOKUP(B52,'2ème J.'!$BH$9:$BK$62,3,0))," ",IF(VLOOKUP(B52,'2ème J.'!$BH$9:$BK$62,3,0)=0,"0",VLOOKUP(B52,'2ème J.'!$BH$9:$BK$62,3,0)))</f>
        <v>0</v>
      </c>
      <c r="I52" s="212" t="str">
        <f>IF(ISNA(VLOOKUP(B52,'2ème J.'!$BH$9:$BK$62,4,0))," ",IF(VLOOKUP(B52,'2ème J.'!$BH$9:$BK$62,4,0)=0,"0",VLOOKUP(B52,'2ème J.'!$BH$9:$BK$62,4,0)))</f>
        <v>0</v>
      </c>
      <c r="J52" s="272"/>
      <c r="K52" s="212" t="str">
        <f>IF(ISNA(VLOOKUP(B52,'3ème J.'!$BH$9:$BK$62,2,0))," ",IF(VLOOKUP(B52,'3ème J.'!$BH$9:$BK$62,2,0)=0,"0",VLOOKUP(B52,'3ème J.'!$BH$9:$BK$62,2,0)))</f>
        <v>0</v>
      </c>
      <c r="L52" s="212" t="str">
        <f>IF(ISNA(VLOOKUP(B52,'3ème J.'!$BH$9:$BK$62,3,0))," ",IF(VLOOKUP(B52,'3ème J.'!$BH$9:$BK$62,3,0)=0,"0",VLOOKUP(B52,'3ème J.'!$BH$9:$BK$62,3,0)))</f>
        <v>0</v>
      </c>
      <c r="M52" s="212" t="str">
        <f>IF(ISNA(VLOOKUP(B52,'3ème J.'!$BH$9:$BK$62,4,0))," ",IF(VLOOKUP(B52,'3ème J.'!$BH$9:$BK$62,4,0)=0,"0",VLOOKUP(B52,'3ème J.'!$BH$9:$BK$62,4,0)))</f>
        <v>0</v>
      </c>
      <c r="N52" s="272"/>
      <c r="O52" s="212">
        <f>IF(ISNA(VLOOKUP(B52,'4ème J.'!$BH$9:$BK$62,2,0))," ",IF(VLOOKUP(B52,'4ème J.'!$BH$9:$BK$62,2,0)=0,"0",VLOOKUP(B52,'4ème J.'!$BH$9:$BK$62,2,0)))</f>
        <v>7</v>
      </c>
      <c r="P52" s="212">
        <f>IF(ISNA(VLOOKUP(B52,'4ème J.'!$BH$9:$BK$62,3,0))," ",IF(VLOOKUP(B52,'4ème J.'!$BH$9:$BK$62,3,0)=0,"0",VLOOKUP(B52,'4ème J.'!$BH$9:$BK$62,3,0)))</f>
        <v>5</v>
      </c>
      <c r="Q52" s="212">
        <f>IF(ISNA(VLOOKUP(B52,'4ème J.'!$BH$9:$BK$62,4,0))," ",IF(VLOOKUP(B52,'4ème J.'!$BH$9:$BK$62,4,0)=0,"0",VLOOKUP(B52,'4ème J.'!$BH$9:$BK$62,4,0)))</f>
        <v>6</v>
      </c>
      <c r="R52" s="257"/>
      <c r="S52" s="212">
        <f>IF(ISNA(VLOOKUP(B52,'5ème J.'!$BH$9:$BK$62,2,0))," ",IF(VLOOKUP(B52,'5ème J.'!$BH$9:$BK$62,2,0)=0,"0",VLOOKUP(B52,'5ème J.'!$BH$9:$BK$62,2,0)))</f>
        <v>3</v>
      </c>
      <c r="T52" s="212">
        <f>IF(ISNA(VLOOKUP(B52,'5ème J.'!$BH$9:$BK$62,3,0))," ",IF(VLOOKUP(B52,'5ème J.'!$BH$9:$BK$62,3,0)=0,"0",VLOOKUP(B52,'5ème J.'!$BH$9:$BK$62,3,0)))</f>
        <v>-19</v>
      </c>
      <c r="U52" s="212">
        <f>IF(ISNA(VLOOKUP(B52,'5ème J.'!$BH$9:$BK$62,4,0))," ",IF(VLOOKUP(B52,'5ème J.'!$BH$9:$BK$62,4,0)=0,"0",VLOOKUP(B52,'5ème J.'!$BH$9:$BK$62,4,0)))</f>
        <v>10</v>
      </c>
      <c r="V52" s="257"/>
      <c r="W52" s="212">
        <f>IF(ISNA(VLOOKUP(B52,'6ème J.'!$BH$9:$BK$62,2,0))," ",IF(VLOOKUP(B52,'6ème J.'!$BH$9:$BK$62,2,0)=0,"0",VLOOKUP(B52,'6ème J.'!$BH$9:$BK$62,2,0)))</f>
        <v>7</v>
      </c>
      <c r="X52" s="212">
        <f>IF(ISNA(VLOOKUP(B52,'6ème J.'!$BH$9:$BK$62,3,0))," ",IF(VLOOKUP(B52,'6ème J.'!$BH$9:$BK$62,3,0)=0,"0",VLOOKUP(B52,'6ème J.'!$BH$9:$BK$62,3,0)))</f>
        <v>8</v>
      </c>
      <c r="Y52" s="212">
        <f>IF(ISNA(VLOOKUP(B52,'6ème J.'!$BH$9:$BK$62,4,0))," ",IF(VLOOKUP(B52,'6ème J.'!$BH$9:$BK$62,4,0)=0,"0",VLOOKUP(B52,'6ème J.'!$BH$9:$BK$62,4,0)))</f>
        <v>32</v>
      </c>
      <c r="Z52"/>
      <c r="AA52" s="289" t="str">
        <f t="shared" si="9"/>
        <v>C11</v>
      </c>
      <c r="AB52" s="216">
        <f t="shared" si="10"/>
        <v>17</v>
      </c>
      <c r="AC52" s="213">
        <f t="shared" si="6"/>
        <v>-6</v>
      </c>
      <c r="AD52" s="290">
        <f t="shared" si="7"/>
        <v>48</v>
      </c>
      <c r="AE52" s="214">
        <f t="shared" si="8"/>
        <v>33.05520052</v>
      </c>
      <c r="AF52" s="215">
        <f>IF(AB52="","",SMALL(AE$6:AE$59,ROWS(AB$6:AB52)))</f>
        <v>47.24720018</v>
      </c>
      <c r="AG52" s="215"/>
      <c r="AH52" s="261">
        <f>IF(AF52="","",IF(AND(AJ51=AJ52,AK51=AK52,AL52=AL51),AH51,$AH$6+46))</f>
        <v>47</v>
      </c>
      <c r="AI52" s="216" t="str">
        <f t="shared" si="11"/>
        <v>A13</v>
      </c>
      <c r="AJ52" s="216">
        <f t="shared" si="12"/>
        <v>8</v>
      </c>
      <c r="AK52" s="263">
        <f t="shared" si="13"/>
        <v>-25</v>
      </c>
      <c r="AL52" s="266">
        <f t="shared" si="14"/>
        <v>28</v>
      </c>
      <c r="AN52" s="218">
        <v>47</v>
      </c>
    </row>
    <row r="53" spans="1:40" x14ac:dyDescent="0.3">
      <c r="A53" s="296">
        <v>48</v>
      </c>
      <c r="B53" s="293" t="str">
        <f>+Inscrits!F14</f>
        <v>C12</v>
      </c>
      <c r="C53" s="212" t="str">
        <f>IF(ISNA(VLOOKUP(B53,'1ère J.'!$BH$9:$BK$62,2,0))," ",IF(VLOOKUP(B53,'1ère J.'!$BH$9:$BK$62,2,0)=0,"0",VLOOKUP(B53,'1ère J.'!$BH$9:$BK$62,2,0)))</f>
        <v>0</v>
      </c>
      <c r="D53" s="212" t="str">
        <f>IF(ISNA(VLOOKUP(B53,'1ère J.'!$BH$9:$BK$62,3,0))," ",IF(VLOOKUP(B53,'1ère J.'!$BH$9:$BK$62,3,0)=0,"0",VLOOKUP(B53,'1ère J.'!$BH$9:$BK$62,3,0)))</f>
        <v>0</v>
      </c>
      <c r="E53" s="212" t="str">
        <f>IF(ISNA(VLOOKUP(B53,'1ère J.'!$BH$9:$BK$62,4,0))," ",IF(VLOOKUP(B53,'1ère J.'!$BH$9:$BK$62,4,0)=0,"0",VLOOKUP(B53,'1ère J.'!$BH$9:$BK$62,4,0)))</f>
        <v>0</v>
      </c>
      <c r="F53" s="257"/>
      <c r="G53" s="212" t="str">
        <f>IF(ISNA(VLOOKUP(B53,'2ème J.'!$BH$9:$BK$62,2,0))," ",IF(VLOOKUP(B53,'2ème J.'!$BH$9:$BK$62,2,0)=0,"0",VLOOKUP(B53,'2ème J.'!$BH$9:$BK$62,2,0)))</f>
        <v>0</v>
      </c>
      <c r="H53" s="212" t="str">
        <f>IF(ISNA(VLOOKUP(B53,'2ème J.'!$BH$9:$BK$62,3,0))," ",IF(VLOOKUP(B53,'2ème J.'!$BH$9:$BK$62,3,0)=0,"0",VLOOKUP(B53,'2ème J.'!$BH$9:$BK$62,3,0)))</f>
        <v>0</v>
      </c>
      <c r="I53" s="212" t="str">
        <f>IF(ISNA(VLOOKUP(B53,'2ème J.'!$BH$9:$BK$62,4,0))," ",IF(VLOOKUP(B53,'2ème J.'!$BH$9:$BK$62,4,0)=0,"0",VLOOKUP(B53,'2ème J.'!$BH$9:$BK$62,4,0)))</f>
        <v>0</v>
      </c>
      <c r="J53" s="272"/>
      <c r="K53" s="212" t="str">
        <f>IF(ISNA(VLOOKUP(B53,'3ème J.'!$BH$9:$BK$62,2,0))," ",IF(VLOOKUP(B53,'3ème J.'!$BH$9:$BK$62,2,0)=0,"0",VLOOKUP(B53,'3ème J.'!$BH$9:$BK$62,2,0)))</f>
        <v>0</v>
      </c>
      <c r="L53" s="212" t="str">
        <f>IF(ISNA(VLOOKUP(B53,'3ème J.'!$BH$9:$BK$62,3,0))," ",IF(VLOOKUP(B53,'3ème J.'!$BH$9:$BK$62,3,0)=0,"0",VLOOKUP(B53,'3ème J.'!$BH$9:$BK$62,3,0)))</f>
        <v>0</v>
      </c>
      <c r="M53" s="212" t="str">
        <f>IF(ISNA(VLOOKUP(B53,'3ème J.'!$BH$9:$BK$62,4,0))," ",IF(VLOOKUP(B53,'3ème J.'!$BH$9:$BK$62,4,0)=0,"0",VLOOKUP(B53,'3ème J.'!$BH$9:$BK$62,4,0)))</f>
        <v>0</v>
      </c>
      <c r="N53" s="272"/>
      <c r="O53" s="212" t="str">
        <f>IF(ISNA(VLOOKUP(B53,'4ème J.'!$BH$9:$BK$62,2,0))," ",IF(VLOOKUP(B53,'4ème J.'!$BH$9:$BK$62,2,0)=0,"0",VLOOKUP(B53,'4ème J.'!$BH$9:$BK$62,2,0)))</f>
        <v>0</v>
      </c>
      <c r="P53" s="212" t="str">
        <f>IF(ISNA(VLOOKUP(B53,'4ème J.'!$BH$9:$BK$62,3,0))," ",IF(VLOOKUP(B53,'4ème J.'!$BH$9:$BK$62,3,0)=0,"0",VLOOKUP(B53,'4ème J.'!$BH$9:$BK$62,3,0)))</f>
        <v>0</v>
      </c>
      <c r="Q53" s="212" t="str">
        <f>IF(ISNA(VLOOKUP(B53,'4ème J.'!$BH$9:$BK$62,4,0))," ",IF(VLOOKUP(B53,'4ème J.'!$BH$9:$BK$62,4,0)=0,"0",VLOOKUP(B53,'4ème J.'!$BH$9:$BK$62,4,0)))</f>
        <v>0</v>
      </c>
      <c r="R53" s="257"/>
      <c r="S53" s="212">
        <f>IF(ISNA(VLOOKUP(B53,'5ème J.'!$BH$9:$BK$62,2,0))," ",IF(VLOOKUP(B53,'5ème J.'!$BH$9:$BK$62,2,0)=0,"0",VLOOKUP(B53,'5ème J.'!$BH$9:$BK$62,2,0)))</f>
        <v>7</v>
      </c>
      <c r="T53" s="212">
        <f>IF(ISNA(VLOOKUP(B53,'5ème J.'!$BH$9:$BK$62,3,0))," ",IF(VLOOKUP(B53,'5ème J.'!$BH$9:$BK$62,3,0)=0,"0",VLOOKUP(B53,'5ème J.'!$BH$9:$BK$62,3,0)))</f>
        <v>6</v>
      </c>
      <c r="U53" s="212">
        <f>IF(ISNA(VLOOKUP(B53,'5ème J.'!$BH$9:$BK$62,4,0))," ",IF(VLOOKUP(B53,'5ème J.'!$BH$9:$BK$62,4,0)=0,"0",VLOOKUP(B53,'5ème J.'!$BH$9:$BK$62,4,0)))</f>
        <v>22</v>
      </c>
      <c r="V53" s="257"/>
      <c r="W53" s="212">
        <f>IF(ISNA(VLOOKUP(B53,'6ème J.'!$BH$9:$BK$62,2,0))," ",IF(VLOOKUP(B53,'6ème J.'!$BH$9:$BK$62,2,0)=0,"0",VLOOKUP(B53,'6ème J.'!$BH$9:$BK$62,2,0)))</f>
        <v>5</v>
      </c>
      <c r="X53" s="212">
        <f>IF(ISNA(VLOOKUP(B53,'6ème J.'!$BH$9:$BK$62,3,0))," ",IF(VLOOKUP(B53,'6ème J.'!$BH$9:$BK$62,3,0)=0,"0",VLOOKUP(B53,'6ème J.'!$BH$9:$BK$62,3,0)))</f>
        <v>-7</v>
      </c>
      <c r="Y53" s="212">
        <f>IF(ISNA(VLOOKUP(B53,'6ème J.'!$BH$9:$BK$62,4,0))," ",IF(VLOOKUP(B53,'6ème J.'!$BH$9:$BK$62,4,0)=0,"0",VLOOKUP(B53,'6ème J.'!$BH$9:$BK$62,4,0)))</f>
        <v>24</v>
      </c>
      <c r="Z53"/>
      <c r="AA53" s="289" t="str">
        <f t="shared" si="9"/>
        <v>C12</v>
      </c>
      <c r="AB53" s="216">
        <f t="shared" si="10"/>
        <v>12</v>
      </c>
      <c r="AC53" s="213">
        <f t="shared" si="6"/>
        <v>-1</v>
      </c>
      <c r="AD53" s="290">
        <f t="shared" si="7"/>
        <v>46</v>
      </c>
      <c r="AE53" s="214">
        <f t="shared" si="8"/>
        <v>39.005400529999996</v>
      </c>
      <c r="AF53" s="215">
        <f>IF(AB53="","",SMALL(AE$6:AE$59,ROWS(AB$6:AB53)))</f>
        <v>47.826700219999992</v>
      </c>
      <c r="AG53" s="215"/>
      <c r="AH53" s="261">
        <f>IF(AF53="","",IF(AND(AJ52=AJ53,AK52=AK53,AL53=AL52),AH52,$AH$6+47))</f>
        <v>48</v>
      </c>
      <c r="AI53" s="216" t="str">
        <f t="shared" si="11"/>
        <v>A17</v>
      </c>
      <c r="AJ53" s="216">
        <f t="shared" si="12"/>
        <v>7</v>
      </c>
      <c r="AK53" s="263">
        <f t="shared" si="13"/>
        <v>17</v>
      </c>
      <c r="AL53" s="266">
        <f t="shared" si="14"/>
        <v>33</v>
      </c>
      <c r="AN53" s="218">
        <v>48</v>
      </c>
    </row>
    <row r="54" spans="1:40" x14ac:dyDescent="0.3">
      <c r="A54" s="296">
        <v>49</v>
      </c>
      <c r="B54" s="293" t="str">
        <f>+Inscrits!F15</f>
        <v>C13</v>
      </c>
      <c r="C54" s="212" t="str">
        <f>IF(ISNA(VLOOKUP(B54,'1ère J.'!$BH$9:$BK$62,2,0))," ",IF(VLOOKUP(B54,'1ère J.'!$BH$9:$BK$62,2,0)=0,"0",VLOOKUP(B54,'1ère J.'!$BH$9:$BK$62,2,0)))</f>
        <v>0</v>
      </c>
      <c r="D54" s="212" t="str">
        <f>IF(ISNA(VLOOKUP(B54,'1ère J.'!$BH$9:$BK$62,3,0))," ",IF(VLOOKUP(B54,'1ère J.'!$BH$9:$BK$62,3,0)=0,"0",VLOOKUP(B54,'1ère J.'!$BH$9:$BK$62,3,0)))</f>
        <v>0</v>
      </c>
      <c r="E54" s="212" t="str">
        <f>IF(ISNA(VLOOKUP(B54,'1ère J.'!$BH$9:$BK$62,4,0))," ",IF(VLOOKUP(B54,'1ère J.'!$BH$9:$BK$62,4,0)=0,"0",VLOOKUP(B54,'1ère J.'!$BH$9:$BK$62,4,0)))</f>
        <v>0</v>
      </c>
      <c r="F54" s="257"/>
      <c r="G54" s="212" t="str">
        <f>IF(ISNA(VLOOKUP(B54,'2ème J.'!$BH$9:$BK$62,2,0))," ",IF(VLOOKUP(B54,'2ème J.'!$BH$9:$BK$62,2,0)=0,"0",VLOOKUP(B54,'2ème J.'!$BH$9:$BK$62,2,0)))</f>
        <v>0</v>
      </c>
      <c r="H54" s="212" t="str">
        <f>IF(ISNA(VLOOKUP(B54,'2ème J.'!$BH$9:$BK$62,3,0))," ",IF(VLOOKUP(B54,'2ème J.'!$BH$9:$BK$62,3,0)=0,"0",VLOOKUP(B54,'2ème J.'!$BH$9:$BK$62,3,0)))</f>
        <v>0</v>
      </c>
      <c r="I54" s="212" t="str">
        <f>IF(ISNA(VLOOKUP(B54,'2ème J.'!$BH$9:$BK$62,4,0))," ",IF(VLOOKUP(B54,'2ème J.'!$BH$9:$BK$62,4,0)=0,"0",VLOOKUP(B54,'2ème J.'!$BH$9:$BK$62,4,0)))</f>
        <v>0</v>
      </c>
      <c r="J54" s="272"/>
      <c r="K54" s="212" t="str">
        <f>IF(ISNA(VLOOKUP(B54,'3ème J.'!$BH$9:$BK$62,2,0))," ",IF(VLOOKUP(B54,'3ème J.'!$BH$9:$BK$62,2,0)=0,"0",VLOOKUP(B54,'3ème J.'!$BH$9:$BK$62,2,0)))</f>
        <v>0</v>
      </c>
      <c r="L54" s="212" t="str">
        <f>IF(ISNA(VLOOKUP(B54,'3ème J.'!$BH$9:$BK$62,3,0))," ",IF(VLOOKUP(B54,'3ème J.'!$BH$9:$BK$62,3,0)=0,"0",VLOOKUP(B54,'3ème J.'!$BH$9:$BK$62,3,0)))</f>
        <v>0</v>
      </c>
      <c r="M54" s="212" t="str">
        <f>IF(ISNA(VLOOKUP(B54,'3ème J.'!$BH$9:$BK$62,4,0))," ",IF(VLOOKUP(B54,'3ème J.'!$BH$9:$BK$62,4,0)=0,"0",VLOOKUP(B54,'3ème J.'!$BH$9:$BK$62,4,0)))</f>
        <v>0</v>
      </c>
      <c r="N54" s="272"/>
      <c r="O54" s="212" t="str">
        <f>IF(ISNA(VLOOKUP(B54,'4ème J.'!$BH$9:$BK$62,2,0))," ",IF(VLOOKUP(B54,'4ème J.'!$BH$9:$BK$62,2,0)=0,"0",VLOOKUP(B54,'4ème J.'!$BH$9:$BK$62,2,0)))</f>
        <v>0</v>
      </c>
      <c r="P54" s="212" t="str">
        <f>IF(ISNA(VLOOKUP(B54,'4ème J.'!$BH$9:$BK$62,3,0))," ",IF(VLOOKUP(B54,'4ème J.'!$BH$9:$BK$62,3,0)=0,"0",VLOOKUP(B54,'4ème J.'!$BH$9:$BK$62,3,0)))</f>
        <v>0</v>
      </c>
      <c r="Q54" s="212" t="str">
        <f>IF(ISNA(VLOOKUP(B54,'4ème J.'!$BH$9:$BK$62,4,0))," ",IF(VLOOKUP(B54,'4ème J.'!$BH$9:$BK$62,4,0)=0,"0",VLOOKUP(B54,'4ème J.'!$BH$9:$BK$62,4,0)))</f>
        <v>0</v>
      </c>
      <c r="R54" s="257"/>
      <c r="S54" s="212">
        <f>IF(ISNA(VLOOKUP(B54,'5ème J.'!$BH$9:$BK$62,2,0))," ",IF(VLOOKUP(B54,'5ème J.'!$BH$9:$BK$62,2,0)=0,"0",VLOOKUP(B54,'5ème J.'!$BH$9:$BK$62,2,0)))</f>
        <v>5</v>
      </c>
      <c r="T54" s="212">
        <f>IF(ISNA(VLOOKUP(B54,'5ème J.'!$BH$9:$BK$62,3,0))," ",IF(VLOOKUP(B54,'5ème J.'!$BH$9:$BK$62,3,0)=0,"0",VLOOKUP(B54,'5ème J.'!$BH$9:$BK$62,3,0)))</f>
        <v>-13</v>
      </c>
      <c r="U54" s="212">
        <f>IF(ISNA(VLOOKUP(B54,'5ème J.'!$BH$9:$BK$62,4,0))," ",IF(VLOOKUP(B54,'5ème J.'!$BH$9:$BK$62,4,0)=0,"0",VLOOKUP(B54,'5ème J.'!$BH$9:$BK$62,4,0)))</f>
        <v>12</v>
      </c>
      <c r="V54" s="257"/>
      <c r="W54" s="212">
        <f>IF(ISNA(VLOOKUP(B54,'6ème J.'!$BH$9:$BK$62,2,0))," ",IF(VLOOKUP(B54,'6ème J.'!$BH$9:$BK$62,2,0)=0,"0",VLOOKUP(B54,'6ème J.'!$BH$9:$BK$62,2,0)))</f>
        <v>5</v>
      </c>
      <c r="X54" s="212">
        <f>IF(ISNA(VLOOKUP(B54,'6ème J.'!$BH$9:$BK$62,3,0))," ",IF(VLOOKUP(B54,'6ème J.'!$BH$9:$BK$62,3,0)=0,"0",VLOOKUP(B54,'6ème J.'!$BH$9:$BK$62,3,0)))</f>
        <v>-9</v>
      </c>
      <c r="Y54" s="212">
        <f>IF(ISNA(VLOOKUP(B54,'6ème J.'!$BH$9:$BK$62,4,0))," ",IF(VLOOKUP(B54,'6ème J.'!$BH$9:$BK$62,4,0)=0,"0",VLOOKUP(B54,'6ème J.'!$BH$9:$BK$62,4,0)))</f>
        <v>16</v>
      </c>
      <c r="Z54"/>
      <c r="AA54" s="289" t="str">
        <f t="shared" si="9"/>
        <v>C13</v>
      </c>
      <c r="AB54" s="216">
        <f t="shared" si="10"/>
        <v>10</v>
      </c>
      <c r="AC54" s="213">
        <f t="shared" si="6"/>
        <v>-22</v>
      </c>
      <c r="AD54" s="290">
        <f t="shared" si="7"/>
        <v>28</v>
      </c>
      <c r="AE54" s="214">
        <f t="shared" si="8"/>
        <v>42.21720054</v>
      </c>
      <c r="AF54" s="215">
        <f>IF(AB54="","",SMALL(AE$6:AE$59,ROWS(AB$6:AB54)))</f>
        <v>47.956900579999996</v>
      </c>
      <c r="AG54" s="215"/>
      <c r="AH54" s="261">
        <f>IF(AF54="","",IF(AND(AJ53=AJ54,AK53=AK54,AL54=AL53),AH53,$AH$6+48))</f>
        <v>49</v>
      </c>
      <c r="AI54" s="216" t="str">
        <f t="shared" si="11"/>
        <v>C17</v>
      </c>
      <c r="AJ54" s="216">
        <f t="shared" si="12"/>
        <v>7</v>
      </c>
      <c r="AK54" s="263">
        <f t="shared" si="13"/>
        <v>4</v>
      </c>
      <c r="AL54" s="266">
        <f t="shared" si="14"/>
        <v>31</v>
      </c>
      <c r="AN54" s="218">
        <v>49</v>
      </c>
    </row>
    <row r="55" spans="1:40" x14ac:dyDescent="0.3">
      <c r="A55" s="296">
        <v>50</v>
      </c>
      <c r="B55" s="293" t="str">
        <f>+Inscrits!F16</f>
        <v>C14</v>
      </c>
      <c r="C55" s="212" t="str">
        <f>IF(ISNA(VLOOKUP(B55,'1ère J.'!$BH$9:$BK$62,2,0))," ",IF(VLOOKUP(B55,'1ère J.'!$BH$9:$BK$62,2,0)=0,"0",VLOOKUP(B55,'1ère J.'!$BH$9:$BK$62,2,0)))</f>
        <v>0</v>
      </c>
      <c r="D55" s="212" t="str">
        <f>IF(ISNA(VLOOKUP(B55,'1ère J.'!$BH$9:$BK$62,3,0))," ",IF(VLOOKUP(B55,'1ère J.'!$BH$9:$BK$62,3,0)=0,"0",VLOOKUP(B55,'1ère J.'!$BH$9:$BK$62,3,0)))</f>
        <v>0</v>
      </c>
      <c r="E55" s="212" t="str">
        <f>IF(ISNA(VLOOKUP(B55,'1ère J.'!$BH$9:$BK$62,4,0))," ",IF(VLOOKUP(B55,'1ère J.'!$BH$9:$BK$62,4,0)=0,"0",VLOOKUP(B55,'1ère J.'!$BH$9:$BK$62,4,0)))</f>
        <v>0</v>
      </c>
      <c r="F55" s="257"/>
      <c r="G55" s="212" t="str">
        <f>IF(ISNA(VLOOKUP(B55,'2ème J.'!$BH$9:$BK$62,2,0))," ",IF(VLOOKUP(B55,'2ème J.'!$BH$9:$BK$62,2,0)=0,"0",VLOOKUP(B55,'2ème J.'!$BH$9:$BK$62,2,0)))</f>
        <v>0</v>
      </c>
      <c r="H55" s="212" t="str">
        <f>IF(ISNA(VLOOKUP(B55,'2ème J.'!$BH$9:$BK$62,3,0))," ",IF(VLOOKUP(B55,'2ème J.'!$BH$9:$BK$62,3,0)=0,"0",VLOOKUP(B55,'2ème J.'!$BH$9:$BK$62,3,0)))</f>
        <v>0</v>
      </c>
      <c r="I55" s="212" t="str">
        <f>IF(ISNA(VLOOKUP(B55,'2ème J.'!$BH$9:$BK$62,4,0))," ",IF(VLOOKUP(B55,'2ème J.'!$BH$9:$BK$62,4,0)=0,"0",VLOOKUP(B55,'2ème J.'!$BH$9:$BK$62,4,0)))</f>
        <v>0</v>
      </c>
      <c r="J55" s="272"/>
      <c r="K55" s="212" t="str">
        <f>IF(ISNA(VLOOKUP(B55,'3ème J.'!$BH$9:$BK$62,2,0))," ",IF(VLOOKUP(B55,'3ème J.'!$BH$9:$BK$62,2,0)=0,"0",VLOOKUP(B55,'3ème J.'!$BH$9:$BK$62,2,0)))</f>
        <v>0</v>
      </c>
      <c r="L55" s="212" t="str">
        <f>IF(ISNA(VLOOKUP(B55,'3ème J.'!$BH$9:$BK$62,3,0))," ",IF(VLOOKUP(B55,'3ème J.'!$BH$9:$BK$62,3,0)=0,"0",VLOOKUP(B55,'3ème J.'!$BH$9:$BK$62,3,0)))</f>
        <v>0</v>
      </c>
      <c r="M55" s="212" t="str">
        <f>IF(ISNA(VLOOKUP(B55,'3ème J.'!$BH$9:$BK$62,4,0))," ",IF(VLOOKUP(B55,'3ème J.'!$BH$9:$BK$62,4,0)=0,"0",VLOOKUP(B55,'3ème J.'!$BH$9:$BK$62,4,0)))</f>
        <v>0</v>
      </c>
      <c r="N55" s="272"/>
      <c r="O55" s="212" t="str">
        <f>IF(ISNA(VLOOKUP(B55,'4ème J.'!$BH$9:$BK$62,2,0))," ",IF(VLOOKUP(B55,'4ème J.'!$BH$9:$BK$62,2,0)=0,"0",VLOOKUP(B55,'4ème J.'!$BH$9:$BK$62,2,0)))</f>
        <v>0</v>
      </c>
      <c r="P55" s="212" t="str">
        <f>IF(ISNA(VLOOKUP(B55,'4ème J.'!$BH$9:$BK$62,3,0))," ",IF(VLOOKUP(B55,'4ème J.'!$BH$9:$BK$62,3,0)=0,"0",VLOOKUP(B55,'4ème J.'!$BH$9:$BK$62,3,0)))</f>
        <v>0</v>
      </c>
      <c r="Q55" s="212" t="str">
        <f>IF(ISNA(VLOOKUP(B55,'4ème J.'!$BH$9:$BK$62,4,0))," ",IF(VLOOKUP(B55,'4ème J.'!$BH$9:$BK$62,4,0)=0,"0",VLOOKUP(B55,'4ème J.'!$BH$9:$BK$62,4,0)))</f>
        <v>0</v>
      </c>
      <c r="R55" s="257"/>
      <c r="S55" s="212">
        <f>IF(ISNA(VLOOKUP(B55,'5ème J.'!$BH$9:$BK$62,2,0))," ",IF(VLOOKUP(B55,'5ème J.'!$BH$9:$BK$62,2,0)=0,"0",VLOOKUP(B55,'5ème J.'!$BH$9:$BK$62,2,0)))</f>
        <v>5</v>
      </c>
      <c r="T55" s="212">
        <f>IF(ISNA(VLOOKUP(B55,'5ème J.'!$BH$9:$BK$62,3,0))," ",IF(VLOOKUP(B55,'5ème J.'!$BH$9:$BK$62,3,0)=0,"0",VLOOKUP(B55,'5ème J.'!$BH$9:$BK$62,3,0)))</f>
        <v>-8</v>
      </c>
      <c r="U55" s="212">
        <f>IF(ISNA(VLOOKUP(B55,'5ème J.'!$BH$9:$BK$62,4,0))," ",IF(VLOOKUP(B55,'5ème J.'!$BH$9:$BK$62,4,0)=0,"0",VLOOKUP(B55,'5ème J.'!$BH$9:$BK$62,4,0)))</f>
        <v>11</v>
      </c>
      <c r="V55" s="257"/>
      <c r="W55" s="212">
        <f>IF(ISNA(VLOOKUP(B55,'6ème J.'!$BH$9:$BK$62,2,0))," ",IF(VLOOKUP(B55,'6ème J.'!$BH$9:$BK$62,2,0)=0,"0",VLOOKUP(B55,'6ème J.'!$BH$9:$BK$62,2,0)))</f>
        <v>9</v>
      </c>
      <c r="X55" s="212">
        <f>IF(ISNA(VLOOKUP(B55,'6ème J.'!$BH$9:$BK$62,3,0))," ",IF(VLOOKUP(B55,'6ème J.'!$BH$9:$BK$62,3,0)=0,"0",VLOOKUP(B55,'6ème J.'!$BH$9:$BK$62,3,0)))</f>
        <v>17</v>
      </c>
      <c r="Y55" s="212">
        <f>IF(ISNA(VLOOKUP(B55,'6ème J.'!$BH$9:$BK$62,4,0))," ",IF(VLOOKUP(B55,'6ème J.'!$BH$9:$BK$62,4,0)=0,"0",VLOOKUP(B55,'6ème J.'!$BH$9:$BK$62,4,0)))</f>
        <v>30</v>
      </c>
      <c r="Z55"/>
      <c r="AA55" s="289" t="str">
        <f t="shared" si="9"/>
        <v>C14</v>
      </c>
      <c r="AB55" s="216">
        <f t="shared" si="10"/>
        <v>14</v>
      </c>
      <c r="AC55" s="213">
        <f t="shared" si="6"/>
        <v>9</v>
      </c>
      <c r="AD55" s="290">
        <f t="shared" si="7"/>
        <v>41</v>
      </c>
      <c r="AE55" s="214">
        <f t="shared" si="8"/>
        <v>34.905900549999998</v>
      </c>
      <c r="AF55" s="215">
        <f>IF(AB55="","",SMALL(AE$6:AE$59,ROWS(AB$6:AB55)))</f>
        <v>47.977100210000003</v>
      </c>
      <c r="AG55" s="215"/>
      <c r="AH55" s="261">
        <f>IF(AF55="","",IF(AND(AJ54=AJ55,AK54=AK55,AL55=AL54),AH54,$AH$6+49))</f>
        <v>50</v>
      </c>
      <c r="AI55" s="216" t="str">
        <f t="shared" si="11"/>
        <v>A16</v>
      </c>
      <c r="AJ55" s="216">
        <f t="shared" si="12"/>
        <v>7</v>
      </c>
      <c r="AK55" s="263">
        <f t="shared" si="13"/>
        <v>2</v>
      </c>
      <c r="AL55" s="266">
        <f t="shared" si="14"/>
        <v>29</v>
      </c>
      <c r="AN55" s="218">
        <v>50</v>
      </c>
    </row>
    <row r="56" spans="1:40" x14ac:dyDescent="0.3">
      <c r="A56" s="296">
        <v>51</v>
      </c>
      <c r="B56" s="293" t="str">
        <f>+Inscrits!F17</f>
        <v>C15</v>
      </c>
      <c r="C56" s="212" t="str">
        <f>IF(ISNA(VLOOKUP(B56,'1ère J.'!$BH$9:$BK$62,2,0))," ",IF(VLOOKUP(B56,'1ère J.'!$BH$9:$BK$62,2,0)=0,"0",VLOOKUP(B56,'1ère J.'!$BH$9:$BK$62,2,0)))</f>
        <v>0</v>
      </c>
      <c r="D56" s="212" t="str">
        <f>IF(ISNA(VLOOKUP(B56,'1ère J.'!$BH$9:$BK$62,3,0))," ",IF(VLOOKUP(B56,'1ère J.'!$BH$9:$BK$62,3,0)=0,"0",VLOOKUP(B56,'1ère J.'!$BH$9:$BK$62,3,0)))</f>
        <v>0</v>
      </c>
      <c r="E56" s="212" t="str">
        <f>IF(ISNA(VLOOKUP(B56,'1ère J.'!$BH$9:$BK$62,4,0))," ",IF(VLOOKUP(B56,'1ère J.'!$BH$9:$BK$62,4,0)=0,"0",VLOOKUP(B56,'1ère J.'!$BH$9:$BK$62,4,0)))</f>
        <v>0</v>
      </c>
      <c r="F56" s="257"/>
      <c r="G56" s="212" t="str">
        <f>IF(ISNA(VLOOKUP(B56,'2ème J.'!$BH$9:$BK$62,2,0))," ",IF(VLOOKUP(B56,'2ème J.'!$BH$9:$BK$62,2,0)=0,"0",VLOOKUP(B56,'2ème J.'!$BH$9:$BK$62,2,0)))</f>
        <v>0</v>
      </c>
      <c r="H56" s="212" t="str">
        <f>IF(ISNA(VLOOKUP(B56,'2ème J.'!$BH$9:$BK$62,3,0))," ",IF(VLOOKUP(B56,'2ème J.'!$BH$9:$BK$62,3,0)=0,"0",VLOOKUP(B56,'2ème J.'!$BH$9:$BK$62,3,0)))</f>
        <v>0</v>
      </c>
      <c r="I56" s="212" t="str">
        <f>IF(ISNA(VLOOKUP(B56,'2ème J.'!$BH$9:$BK$62,4,0))," ",IF(VLOOKUP(B56,'2ème J.'!$BH$9:$BK$62,4,0)=0,"0",VLOOKUP(B56,'2ème J.'!$BH$9:$BK$62,4,0)))</f>
        <v>0</v>
      </c>
      <c r="J56" s="272"/>
      <c r="K56" s="212" t="str">
        <f>IF(ISNA(VLOOKUP(B56,'3ème J.'!$BH$9:$BK$62,2,0))," ",IF(VLOOKUP(B56,'3ème J.'!$BH$9:$BK$62,2,0)=0,"0",VLOOKUP(B56,'3ème J.'!$BH$9:$BK$62,2,0)))</f>
        <v>0</v>
      </c>
      <c r="L56" s="212" t="str">
        <f>IF(ISNA(VLOOKUP(B56,'3ème J.'!$BH$9:$BK$62,3,0))," ",IF(VLOOKUP(B56,'3ème J.'!$BH$9:$BK$62,3,0)=0,"0",VLOOKUP(B56,'3ème J.'!$BH$9:$BK$62,3,0)))</f>
        <v>0</v>
      </c>
      <c r="M56" s="212" t="str">
        <f>IF(ISNA(VLOOKUP(B56,'3ème J.'!$BH$9:$BK$62,4,0))," ",IF(VLOOKUP(B56,'3ème J.'!$BH$9:$BK$62,4,0)=0,"0",VLOOKUP(B56,'3ème J.'!$BH$9:$BK$62,4,0)))</f>
        <v>0</v>
      </c>
      <c r="N56" s="272"/>
      <c r="O56" s="212" t="str">
        <f>IF(ISNA(VLOOKUP(B56,'4ème J.'!$BH$9:$BK$62,2,0))," ",IF(VLOOKUP(B56,'4ème J.'!$BH$9:$BK$62,2,0)=0,"0",VLOOKUP(B56,'4ème J.'!$BH$9:$BK$62,2,0)))</f>
        <v>0</v>
      </c>
      <c r="P56" s="212" t="str">
        <f>IF(ISNA(VLOOKUP(B56,'4ème J.'!$BH$9:$BK$62,3,0))," ",IF(VLOOKUP(B56,'4ème J.'!$BH$9:$BK$62,3,0)=0,"0",VLOOKUP(B56,'4ème J.'!$BH$9:$BK$62,3,0)))</f>
        <v>0</v>
      </c>
      <c r="Q56" s="212" t="str">
        <f>IF(ISNA(VLOOKUP(B56,'4ème J.'!$BH$9:$BK$62,4,0))," ",IF(VLOOKUP(B56,'4ème J.'!$BH$9:$BK$62,4,0)=0,"0",VLOOKUP(B56,'4ème J.'!$BH$9:$BK$62,4,0)))</f>
        <v>0</v>
      </c>
      <c r="R56" s="257"/>
      <c r="S56" s="212">
        <f>IF(ISNA(VLOOKUP(B56,'5ème J.'!$BH$9:$BK$62,2,0))," ",IF(VLOOKUP(B56,'5ème J.'!$BH$9:$BK$62,2,0)=0,"0",VLOOKUP(B56,'5ème J.'!$BH$9:$BK$62,2,0)))</f>
        <v>7</v>
      </c>
      <c r="T56" s="212">
        <f>IF(ISNA(VLOOKUP(B56,'5ème J.'!$BH$9:$BK$62,3,0))," ",IF(VLOOKUP(B56,'5ème J.'!$BH$9:$BK$62,3,0)=0,"0",VLOOKUP(B56,'5ème J.'!$BH$9:$BK$62,3,0)))</f>
        <v>12</v>
      </c>
      <c r="U56" s="212">
        <f>IF(ISNA(VLOOKUP(B56,'5ème J.'!$BH$9:$BK$62,4,0))," ",IF(VLOOKUP(B56,'5ème J.'!$BH$9:$BK$62,4,0)=0,"0",VLOOKUP(B56,'5ème J.'!$BH$9:$BK$62,4,0)))</f>
        <v>23</v>
      </c>
      <c r="V56" s="257"/>
      <c r="W56" s="212">
        <f>IF(ISNA(VLOOKUP(B56,'6ème J.'!$BH$9:$BK$62,2,0))," ",IF(VLOOKUP(B56,'6ème J.'!$BH$9:$BK$62,2,0)=0,"0",VLOOKUP(B56,'6ème J.'!$BH$9:$BK$62,2,0)))</f>
        <v>5</v>
      </c>
      <c r="X56" s="212">
        <f>IF(ISNA(VLOOKUP(B56,'6ème J.'!$BH$9:$BK$62,3,0))," ",IF(VLOOKUP(B56,'6ème J.'!$BH$9:$BK$62,3,0)=0,"0",VLOOKUP(B56,'6ème J.'!$BH$9:$BK$62,3,0)))</f>
        <v>-6</v>
      </c>
      <c r="Y56" s="212">
        <f>IF(ISNA(VLOOKUP(B56,'6ème J.'!$BH$9:$BK$62,4,0))," ",IF(VLOOKUP(B56,'6ème J.'!$BH$9:$BK$62,4,0)=0,"0",VLOOKUP(B56,'6ème J.'!$BH$9:$BK$62,4,0)))</f>
        <v>20</v>
      </c>
      <c r="Z56"/>
      <c r="AA56" s="289" t="str">
        <f t="shared" si="9"/>
        <v>C15</v>
      </c>
      <c r="AB56" s="216">
        <f t="shared" si="10"/>
        <v>12</v>
      </c>
      <c r="AC56" s="213">
        <f t="shared" si="6"/>
        <v>6</v>
      </c>
      <c r="AD56" s="290">
        <f t="shared" si="7"/>
        <v>43</v>
      </c>
      <c r="AE56" s="214">
        <f t="shared" si="8"/>
        <v>38.935700559999994</v>
      </c>
      <c r="AF56" s="215">
        <f>IF(AB56="","",SMALL(AE$6:AE$59,ROWS(AB$6:AB56)))</f>
        <v>48.017400590000001</v>
      </c>
      <c r="AG56" s="215"/>
      <c r="AH56" s="261">
        <f>IF(AF56="","",IF(AND(AJ55=AJ56,AK55=AK56,AL56=AL55),AH55,$AH$6+50))</f>
        <v>51</v>
      </c>
      <c r="AI56" s="216" t="str">
        <f t="shared" si="11"/>
        <v>C18</v>
      </c>
      <c r="AJ56" s="216">
        <f t="shared" si="12"/>
        <v>7</v>
      </c>
      <c r="AK56" s="263">
        <f t="shared" si="13"/>
        <v>-2</v>
      </c>
      <c r="AL56" s="266">
        <f t="shared" si="14"/>
        <v>26</v>
      </c>
      <c r="AN56" s="218">
        <v>51</v>
      </c>
    </row>
    <row r="57" spans="1:40" x14ac:dyDescent="0.3">
      <c r="A57" s="296">
        <v>52</v>
      </c>
      <c r="B57" s="293" t="str">
        <f>+Inscrits!F18</f>
        <v>C16</v>
      </c>
      <c r="C57" s="212" t="str">
        <f>IF(ISNA(VLOOKUP(B57,'1ère J.'!$BH$9:$BK$62,2,0))," ",IF(VLOOKUP(B57,'1ère J.'!$BH$9:$BK$62,2,0)=0,"0",VLOOKUP(B57,'1ère J.'!$BH$9:$BK$62,2,0)))</f>
        <v>0</v>
      </c>
      <c r="D57" s="212" t="str">
        <f>IF(ISNA(VLOOKUP(B57,'1ère J.'!$BH$9:$BK$62,3,0))," ",IF(VLOOKUP(B57,'1ère J.'!$BH$9:$BK$62,3,0)=0,"0",VLOOKUP(B57,'1ère J.'!$BH$9:$BK$62,3,0)))</f>
        <v>0</v>
      </c>
      <c r="E57" s="212" t="str">
        <f>IF(ISNA(VLOOKUP(B57,'1ère J.'!$BH$9:$BK$62,4,0))," ",IF(VLOOKUP(B57,'1ère J.'!$BH$9:$BK$62,4,0)=0,"0",VLOOKUP(B57,'1ère J.'!$BH$9:$BK$62,4,0)))</f>
        <v>0</v>
      </c>
      <c r="F57" s="257"/>
      <c r="G57" s="212" t="str">
        <f>IF(ISNA(VLOOKUP(B57,'2ème J.'!$BH$9:$BK$62,2,0))," ",IF(VLOOKUP(B57,'2ème J.'!$BH$9:$BK$62,2,0)=0,"0",VLOOKUP(B57,'2ème J.'!$BH$9:$BK$62,2,0)))</f>
        <v>0</v>
      </c>
      <c r="H57" s="212" t="str">
        <f>IF(ISNA(VLOOKUP(B57,'2ème J.'!$BH$9:$BK$62,3,0))," ",IF(VLOOKUP(B57,'2ème J.'!$BH$9:$BK$62,3,0)=0,"0",VLOOKUP(B57,'2ème J.'!$BH$9:$BK$62,3,0)))</f>
        <v>0</v>
      </c>
      <c r="I57" s="212" t="str">
        <f>IF(ISNA(VLOOKUP(B57,'2ème J.'!$BH$9:$BK$62,4,0))," ",IF(VLOOKUP(B57,'2ème J.'!$BH$9:$BK$62,4,0)=0,"0",VLOOKUP(B57,'2ème J.'!$BH$9:$BK$62,4,0)))</f>
        <v>0</v>
      </c>
      <c r="J57" s="272"/>
      <c r="K57" s="212" t="str">
        <f>IF(ISNA(VLOOKUP(B57,'3ème J.'!$BH$9:$BK$62,2,0))," ",IF(VLOOKUP(B57,'3ème J.'!$BH$9:$BK$62,2,0)=0,"0",VLOOKUP(B57,'3ème J.'!$BH$9:$BK$62,2,0)))</f>
        <v>0</v>
      </c>
      <c r="L57" s="212" t="str">
        <f>IF(ISNA(VLOOKUP(B57,'3ème J.'!$BH$9:$BK$62,3,0))," ",IF(VLOOKUP(B57,'3ème J.'!$BH$9:$BK$62,3,0)=0,"0",VLOOKUP(B57,'3ème J.'!$BH$9:$BK$62,3,0)))</f>
        <v>0</v>
      </c>
      <c r="M57" s="212" t="str">
        <f>IF(ISNA(VLOOKUP(B57,'3ème J.'!$BH$9:$BK$62,4,0))," ",IF(VLOOKUP(B57,'3ème J.'!$BH$9:$BK$62,4,0)=0,"0",VLOOKUP(B57,'3ème J.'!$BH$9:$BK$62,4,0)))</f>
        <v>0</v>
      </c>
      <c r="N57" s="272"/>
      <c r="O57" s="212" t="str">
        <f>IF(ISNA(VLOOKUP(B57,'4ème J.'!$BH$9:$BK$62,2,0))," ",IF(VLOOKUP(B57,'4ème J.'!$BH$9:$BK$62,2,0)=0,"0",VLOOKUP(B57,'4ème J.'!$BH$9:$BK$62,2,0)))</f>
        <v>0</v>
      </c>
      <c r="P57" s="212" t="str">
        <f>IF(ISNA(VLOOKUP(B57,'4ème J.'!$BH$9:$BK$62,3,0))," ",IF(VLOOKUP(B57,'4ème J.'!$BH$9:$BK$62,3,0)=0,"0",VLOOKUP(B57,'4ème J.'!$BH$9:$BK$62,3,0)))</f>
        <v>0</v>
      </c>
      <c r="Q57" s="212" t="str">
        <f>IF(ISNA(VLOOKUP(B57,'4ème J.'!$BH$9:$BK$62,4,0))," ",IF(VLOOKUP(B57,'4ème J.'!$BH$9:$BK$62,4,0)=0,"0",VLOOKUP(B57,'4ème J.'!$BH$9:$BK$62,4,0)))</f>
        <v>0</v>
      </c>
      <c r="R57" s="257"/>
      <c r="S57" s="212" t="str">
        <f>IF(ISNA(VLOOKUP(B57,'5ème J.'!$BH$9:$BK$62,2,0))," ",IF(VLOOKUP(B57,'5ème J.'!$BH$9:$BK$62,2,0)=0,"0",VLOOKUP(B57,'5ème J.'!$BH$9:$BK$62,2,0)))</f>
        <v>0</v>
      </c>
      <c r="T57" s="212" t="str">
        <f>IF(ISNA(VLOOKUP(B57,'5ème J.'!$BH$9:$BK$62,3,0))," ",IF(VLOOKUP(B57,'5ème J.'!$BH$9:$BK$62,3,0)=0,"0",VLOOKUP(B57,'5ème J.'!$BH$9:$BK$62,3,0)))</f>
        <v>0</v>
      </c>
      <c r="U57" s="212" t="str">
        <f>IF(ISNA(VLOOKUP(B57,'5ème J.'!$BH$9:$BK$62,4,0))," ",IF(VLOOKUP(B57,'5ème J.'!$BH$9:$BK$62,4,0)=0,"0",VLOOKUP(B57,'5ème J.'!$BH$9:$BK$62,4,0)))</f>
        <v>0</v>
      </c>
      <c r="V57" s="257"/>
      <c r="W57" s="212">
        <f>IF(ISNA(VLOOKUP(B57,'6ème J.'!$BH$9:$BK$62,2,0))," ",IF(VLOOKUP(B57,'6ème J.'!$BH$9:$BK$62,2,0)=0,"0",VLOOKUP(B57,'6ème J.'!$BH$9:$BK$62,2,0)))</f>
        <v>5</v>
      </c>
      <c r="X57" s="212" t="str">
        <f>IF(ISNA(VLOOKUP(B57,'6ème J.'!$BH$9:$BK$62,3,0))," ",IF(VLOOKUP(B57,'6ème J.'!$BH$9:$BK$62,3,0)=0,"0",VLOOKUP(B57,'6ème J.'!$BH$9:$BK$62,3,0)))</f>
        <v>0</v>
      </c>
      <c r="Y57" s="212">
        <f>IF(ISNA(VLOOKUP(B57,'6ème J.'!$BH$9:$BK$62,4,0))," ",IF(VLOOKUP(B57,'6ème J.'!$BH$9:$BK$62,4,0)=0,"0",VLOOKUP(B57,'6ème J.'!$BH$9:$BK$62,4,0)))</f>
        <v>27</v>
      </c>
      <c r="Z57"/>
      <c r="AA57" s="289" t="str">
        <f t="shared" si="9"/>
        <v>C16</v>
      </c>
      <c r="AB57" s="216">
        <f t="shared" si="10"/>
        <v>5</v>
      </c>
      <c r="AC57" s="213">
        <f t="shared" si="6"/>
        <v>0</v>
      </c>
      <c r="AD57" s="290">
        <f t="shared" si="7"/>
        <v>27</v>
      </c>
      <c r="AE57" s="214">
        <f t="shared" si="8"/>
        <v>51.99730057</v>
      </c>
      <c r="AF57" s="215">
        <f>IF(AB57="","",SMALL(AE$6:AE$59,ROWS(AB$6:AB57)))</f>
        <v>51.99730057</v>
      </c>
      <c r="AG57" s="215"/>
      <c r="AH57" s="261">
        <f>IF(AF57="","",IF(AND(AJ56=AJ57,AK56=AK57,AL57=AL56),AH56,$AH$6+51))</f>
        <v>52</v>
      </c>
      <c r="AI57" s="216" t="str">
        <f t="shared" si="11"/>
        <v>C16</v>
      </c>
      <c r="AJ57" s="216">
        <f t="shared" si="12"/>
        <v>5</v>
      </c>
      <c r="AK57" s="263">
        <f t="shared" si="13"/>
        <v>0</v>
      </c>
      <c r="AL57" s="266">
        <f t="shared" si="14"/>
        <v>27</v>
      </c>
      <c r="AN57" s="218">
        <v>52</v>
      </c>
    </row>
    <row r="58" spans="1:40" x14ac:dyDescent="0.3">
      <c r="A58" s="296">
        <v>53</v>
      </c>
      <c r="B58" s="293" t="str">
        <f>+Inscrits!F19</f>
        <v>C17</v>
      </c>
      <c r="C58" s="212" t="str">
        <f>IF(ISNA(VLOOKUP(B58,'1ère J.'!$BH$9:$BK$62,2,0))," ",IF(VLOOKUP(B58,'1ère J.'!$BH$9:$BK$62,2,0)=0,"0",VLOOKUP(B58,'1ère J.'!$BH$9:$BK$62,2,0)))</f>
        <v>0</v>
      </c>
      <c r="D58" s="212" t="str">
        <f>IF(ISNA(VLOOKUP(B58,'1ère J.'!$BH$9:$BK$62,3,0))," ",IF(VLOOKUP(B58,'1ère J.'!$BH$9:$BK$62,3,0)=0,"0",VLOOKUP(B58,'1ère J.'!$BH$9:$BK$62,3,0)))</f>
        <v>0</v>
      </c>
      <c r="E58" s="212" t="str">
        <f>IF(ISNA(VLOOKUP(B58,'1ère J.'!$BH$9:$BK$62,4,0))," ",IF(VLOOKUP(B58,'1ère J.'!$BH$9:$BK$62,4,0)=0,"0",VLOOKUP(B58,'1ère J.'!$BH$9:$BK$62,4,0)))</f>
        <v>0</v>
      </c>
      <c r="F58" s="257"/>
      <c r="G58" s="212" t="str">
        <f>IF(ISNA(VLOOKUP(B58,'2ème J.'!$BH$9:$BK$62,2,0))," ",IF(VLOOKUP(B58,'2ème J.'!$BH$9:$BK$62,2,0)=0,"0",VLOOKUP(B58,'2ème J.'!$BH$9:$BK$62,2,0)))</f>
        <v>0</v>
      </c>
      <c r="H58" s="212" t="str">
        <f>IF(ISNA(VLOOKUP(B58,'2ème J.'!$BH$9:$BK$62,3,0))," ",IF(VLOOKUP(B58,'2ème J.'!$BH$9:$BK$62,3,0)=0,"0",VLOOKUP(B58,'2ème J.'!$BH$9:$BK$62,3,0)))</f>
        <v>0</v>
      </c>
      <c r="I58" s="212" t="str">
        <f>IF(ISNA(VLOOKUP(B58,'2ème J.'!$BH$9:$BK$62,4,0))," ",IF(VLOOKUP(B58,'2ème J.'!$BH$9:$BK$62,4,0)=0,"0",VLOOKUP(B58,'2ème J.'!$BH$9:$BK$62,4,0)))</f>
        <v>0</v>
      </c>
      <c r="J58" s="272"/>
      <c r="K58" s="212" t="str">
        <f>IF(ISNA(VLOOKUP(B58,'3ème J.'!$BH$9:$BK$62,2,0))," ",IF(VLOOKUP(B58,'3ème J.'!$BH$9:$BK$62,2,0)=0,"0",VLOOKUP(B58,'3ème J.'!$BH$9:$BK$62,2,0)))</f>
        <v>0</v>
      </c>
      <c r="L58" s="212" t="str">
        <f>IF(ISNA(VLOOKUP(B58,'3ème J.'!$BH$9:$BK$62,3,0))," ",IF(VLOOKUP(B58,'3ème J.'!$BH$9:$BK$62,3,0)=0,"0",VLOOKUP(B58,'3ème J.'!$BH$9:$BK$62,3,0)))</f>
        <v>0</v>
      </c>
      <c r="M58" s="212" t="str">
        <f>IF(ISNA(VLOOKUP(B58,'3ème J.'!$BH$9:$BK$62,4,0))," ",IF(VLOOKUP(B58,'3ème J.'!$BH$9:$BK$62,4,0)=0,"0",VLOOKUP(B58,'3ème J.'!$BH$9:$BK$62,4,0)))</f>
        <v>0</v>
      </c>
      <c r="N58" s="272"/>
      <c r="O58" s="212" t="str">
        <f>IF(ISNA(VLOOKUP(B58,'4ème J.'!$BH$9:$BK$62,2,0))," ",IF(VLOOKUP(B58,'4ème J.'!$BH$9:$BK$62,2,0)=0,"0",VLOOKUP(B58,'4ème J.'!$BH$9:$BK$62,2,0)))</f>
        <v>0</v>
      </c>
      <c r="P58" s="212" t="str">
        <f>IF(ISNA(VLOOKUP(B58,'4ème J.'!$BH$9:$BK$62,3,0))," ",IF(VLOOKUP(B58,'4ème J.'!$BH$9:$BK$62,3,0)=0,"0",VLOOKUP(B58,'4ème J.'!$BH$9:$BK$62,3,0)))</f>
        <v>0</v>
      </c>
      <c r="Q58" s="212" t="str">
        <f>IF(ISNA(VLOOKUP(B58,'4ème J.'!$BH$9:$BK$62,4,0))," ",IF(VLOOKUP(B58,'4ème J.'!$BH$9:$BK$62,4,0)=0,"0",VLOOKUP(B58,'4ème J.'!$BH$9:$BK$62,4,0)))</f>
        <v>0</v>
      </c>
      <c r="R58" s="257"/>
      <c r="S58" s="212" t="str">
        <f>IF(ISNA(VLOOKUP(B58,'5ème J.'!$BH$9:$BK$62,2,0))," ",IF(VLOOKUP(B58,'5ème J.'!$BH$9:$BK$62,2,0)=0,"0",VLOOKUP(B58,'5ème J.'!$BH$9:$BK$62,2,0)))</f>
        <v>0</v>
      </c>
      <c r="T58" s="212" t="str">
        <f>IF(ISNA(VLOOKUP(B58,'5ème J.'!$BH$9:$BK$62,3,0))," ",IF(VLOOKUP(B58,'5ème J.'!$BH$9:$BK$62,3,0)=0,"0",VLOOKUP(B58,'5ème J.'!$BH$9:$BK$62,3,0)))</f>
        <v>0</v>
      </c>
      <c r="U58" s="212" t="str">
        <f>IF(ISNA(VLOOKUP(B58,'5ème J.'!$BH$9:$BK$62,4,0))," ",IF(VLOOKUP(B58,'5ème J.'!$BH$9:$BK$62,4,0)=0,"0",VLOOKUP(B58,'5ème J.'!$BH$9:$BK$62,4,0)))</f>
        <v>0</v>
      </c>
      <c r="V58" s="257"/>
      <c r="W58" s="212">
        <f>IF(ISNA(VLOOKUP(B58,'6ème J.'!$BH$9:$BK$62,2,0))," ",IF(VLOOKUP(B58,'6ème J.'!$BH$9:$BK$62,2,0)=0,"0",VLOOKUP(B58,'6ème J.'!$BH$9:$BK$62,2,0)))</f>
        <v>7</v>
      </c>
      <c r="X58" s="212">
        <f>IF(ISNA(VLOOKUP(B58,'6ème J.'!$BH$9:$BK$62,3,0))," ",IF(VLOOKUP(B58,'6ème J.'!$BH$9:$BK$62,3,0)=0,"0",VLOOKUP(B58,'6ème J.'!$BH$9:$BK$62,3,0)))</f>
        <v>4</v>
      </c>
      <c r="Y58" s="212">
        <f>IF(ISNA(VLOOKUP(B58,'6ème J.'!$BH$9:$BK$62,4,0))," ",IF(VLOOKUP(B58,'6ème J.'!$BH$9:$BK$62,4,0)=0,"0",VLOOKUP(B58,'6ème J.'!$BH$9:$BK$62,4,0)))</f>
        <v>31</v>
      </c>
      <c r="Z58"/>
      <c r="AA58" s="289" t="str">
        <f t="shared" si="9"/>
        <v>C17</v>
      </c>
      <c r="AB58" s="216">
        <f t="shared" si="10"/>
        <v>7</v>
      </c>
      <c r="AC58" s="213">
        <f t="shared" si="6"/>
        <v>4</v>
      </c>
      <c r="AD58" s="290">
        <f t="shared" si="7"/>
        <v>31</v>
      </c>
      <c r="AE58" s="214">
        <f t="shared" si="8"/>
        <v>47.956900579999996</v>
      </c>
      <c r="AF58" s="215">
        <f>IF(AB58="","",SMALL(AE$6:AE$59,ROWS(AB$6:AB58)))</f>
        <v>53.097900410000001</v>
      </c>
      <c r="AG58" s="215"/>
      <c r="AH58" s="261">
        <f>IF(AF58="","",IF(AND(AJ57=AJ58,AK57=AK58,AL58=AL57),AH57,$AH$6+52))</f>
        <v>53</v>
      </c>
      <c r="AI58" s="216" t="str">
        <f t="shared" si="11"/>
        <v>B18</v>
      </c>
      <c r="AJ58" s="216">
        <f t="shared" si="12"/>
        <v>3</v>
      </c>
      <c r="AK58" s="263">
        <f t="shared" si="13"/>
        <v>-10</v>
      </c>
      <c r="AL58" s="266">
        <f t="shared" si="14"/>
        <v>21</v>
      </c>
      <c r="AN58" s="218">
        <v>53</v>
      </c>
    </row>
    <row r="59" spans="1:40" ht="18.600000000000001" thickBot="1" x14ac:dyDescent="0.35">
      <c r="A59" s="297">
        <v>54</v>
      </c>
      <c r="B59" s="294" t="str">
        <f>+Inscrits!F20</f>
        <v>C18</v>
      </c>
      <c r="C59" s="284" t="str">
        <f>IF(ISNA(VLOOKUP(B59,'1ère J.'!$BH$9:$BK$62,2,0))," ",IF(VLOOKUP(B59,'1ère J.'!$BH$9:$BK$62,2,0)=0,"0",VLOOKUP(B59,'1ère J.'!$BH$9:$BK$62,2,0)))</f>
        <v>0</v>
      </c>
      <c r="D59" s="284" t="str">
        <f>IF(ISNA(VLOOKUP(B59,'1ère J.'!$BH$9:$BK$62,3,0))," ",IF(VLOOKUP(B59,'1ère J.'!$BH$9:$BK$62,3,0)=0,"0",VLOOKUP(B59,'1ère J.'!$BH$9:$BK$62,3,0)))</f>
        <v>0</v>
      </c>
      <c r="E59" s="284" t="str">
        <f>IF(ISNA(VLOOKUP(B59,'1ère J.'!$BH$9:$BK$62,4,0))," ",IF(VLOOKUP(B59,'1ère J.'!$BH$9:$BK$62,4,0)=0,"0",VLOOKUP(B59,'1ère J.'!$BH$9:$BK$62,4,0)))</f>
        <v>0</v>
      </c>
      <c r="F59" s="257"/>
      <c r="G59" s="284" t="str">
        <f>IF(ISNA(VLOOKUP(B59,'2ème J.'!$BH$9:$BK$62,2,0))," ",IF(VLOOKUP(B59,'2ème J.'!$BH$9:$BK$62,2,0)=0,"0",VLOOKUP(B59,'2ème J.'!$BH$9:$BK$62,2,0)))</f>
        <v>0</v>
      </c>
      <c r="H59" s="284" t="str">
        <f>IF(ISNA(VLOOKUP(B59,'2ème J.'!$BH$9:$BK$62,3,0))," ",IF(VLOOKUP(B59,'2ème J.'!$BH$9:$BK$62,3,0)=0,"0",VLOOKUP(B59,'2ème J.'!$BH$9:$BK$62,3,0)))</f>
        <v>0</v>
      </c>
      <c r="I59" s="284" t="str">
        <f>IF(ISNA(VLOOKUP(B59,'2ème J.'!$BH$9:$BK$62,4,0))," ",IF(VLOOKUP(B59,'2ème J.'!$BH$9:$BK$62,4,0)=0,"0",VLOOKUP(B59,'2ème J.'!$BH$9:$BK$62,4,0)))</f>
        <v>0</v>
      </c>
      <c r="J59" s="272"/>
      <c r="K59" s="284" t="str">
        <f>IF(ISNA(VLOOKUP(B59,'3ème J.'!$BH$9:$BK$62,2,0))," ",IF(VLOOKUP(B59,'3ème J.'!$BH$9:$BK$62,2,0)=0,"0",VLOOKUP(B59,'3ème J.'!$BH$9:$BK$62,2,0)))</f>
        <v>0</v>
      </c>
      <c r="L59" s="284" t="str">
        <f>IF(ISNA(VLOOKUP(B59,'3ème J.'!$BH$9:$BK$62,3,0))," ",IF(VLOOKUP(B59,'3ème J.'!$BH$9:$BK$62,3,0)=0,"0",VLOOKUP(B59,'3ème J.'!$BH$9:$BK$62,3,0)))</f>
        <v>0</v>
      </c>
      <c r="M59" s="284" t="str">
        <f>IF(ISNA(VLOOKUP(B59,'3ème J.'!$BH$9:$BK$62,4,0))," ",IF(VLOOKUP(B59,'3ème J.'!$BH$9:$BK$62,4,0)=0,"0",VLOOKUP(B59,'3ème J.'!$BH$9:$BK$62,4,0)))</f>
        <v>0</v>
      </c>
      <c r="N59" s="272"/>
      <c r="O59" s="284" t="str">
        <f>IF(ISNA(VLOOKUP(B59,'4ème J.'!$BH$9:$BK$62,2,0))," ",IF(VLOOKUP(B59,'4ème J.'!$BH$9:$BK$62,2,0)=0,"0",VLOOKUP(B59,'4ème J.'!$BH$9:$BK$62,2,0)))</f>
        <v>0</v>
      </c>
      <c r="P59" s="284" t="str">
        <f>IF(ISNA(VLOOKUP(B59,'4ème J.'!$BH$9:$BK$62,3,0))," ",IF(VLOOKUP(B59,'4ème J.'!$BH$9:$BK$62,3,0)=0,"0",VLOOKUP(B59,'4ème J.'!$BH$9:$BK$62,3,0)))</f>
        <v>0</v>
      </c>
      <c r="Q59" s="284" t="str">
        <f>IF(ISNA(VLOOKUP(B59,'4ème J.'!$BH$9:$BK$62,4,0))," ",IF(VLOOKUP(B59,'4ème J.'!$BH$9:$BK$62,4,0)=0,"0",VLOOKUP(B59,'4ème J.'!$BH$9:$BK$62,4,0)))</f>
        <v>0</v>
      </c>
      <c r="R59" s="257"/>
      <c r="S59" s="284" t="str">
        <f>IF(ISNA(VLOOKUP(B59,'5ème J.'!$BH$9:$BK$62,2,0))," ",IF(VLOOKUP(B59,'5ème J.'!$BH$9:$BK$62,2,0)=0,"0",VLOOKUP(B59,'5ème J.'!$BH$9:$BK$62,2,0)))</f>
        <v>0</v>
      </c>
      <c r="T59" s="284" t="str">
        <f>IF(ISNA(VLOOKUP(B59,'5ème J.'!$BH$9:$BK$62,3,0))," ",IF(VLOOKUP(B59,'5ème J.'!$BH$9:$BK$62,3,0)=0,"0",VLOOKUP(B59,'5ème J.'!$BH$9:$BK$62,3,0)))</f>
        <v>0</v>
      </c>
      <c r="U59" s="284" t="str">
        <f>IF(ISNA(VLOOKUP(B59,'5ème J.'!$BH$9:$BK$62,4,0))," ",IF(VLOOKUP(B59,'5ème J.'!$BH$9:$BK$62,4,0)=0,"0",VLOOKUP(B59,'5ème J.'!$BH$9:$BK$62,4,0)))</f>
        <v>0</v>
      </c>
      <c r="V59" s="257"/>
      <c r="W59" s="284">
        <f>IF(ISNA(VLOOKUP(B59,'6ème J.'!$BH$9:$BK$62,2,0))," ",IF(VLOOKUP(B59,'6ème J.'!$BH$9:$BK$62,2,0)=0,"0",VLOOKUP(B59,'6ème J.'!$BH$9:$BK$62,2,0)))</f>
        <v>7</v>
      </c>
      <c r="X59" s="284">
        <f>IF(ISNA(VLOOKUP(B59,'6ème J.'!$BH$9:$BK$62,3,0))," ",IF(VLOOKUP(B59,'6ème J.'!$BH$9:$BK$62,3,0)=0,"0",VLOOKUP(B59,'6ème J.'!$BH$9:$BK$62,3,0)))</f>
        <v>-2</v>
      </c>
      <c r="Y59" s="284">
        <f>IF(ISNA(VLOOKUP(B59,'6ème J.'!$BH$9:$BK$62,4,0))," ",IF(VLOOKUP(B59,'6ème J.'!$BH$9:$BK$62,4,0)=0,"0",VLOOKUP(B59,'6ème J.'!$BH$9:$BK$62,4,0)))</f>
        <v>26</v>
      </c>
      <c r="Z59"/>
      <c r="AA59" s="291" t="str">
        <f t="shared" si="9"/>
        <v>C18</v>
      </c>
      <c r="AB59" s="262">
        <f t="shared" si="10"/>
        <v>7</v>
      </c>
      <c r="AC59" s="262">
        <f t="shared" si="6"/>
        <v>-2</v>
      </c>
      <c r="AD59" s="292">
        <f t="shared" si="7"/>
        <v>26</v>
      </c>
      <c r="AE59" s="214">
        <f t="shared" si="8"/>
        <v>48.017400590000001</v>
      </c>
      <c r="AF59" s="215">
        <f>IF(AB59="","",SMALL(AE$6:AE$59,ROWS(AB$6:AB59)))</f>
        <v>53.258900229999995</v>
      </c>
      <c r="AG59" s="215"/>
      <c r="AH59" s="285">
        <f>IF(AF59="","",IF(AND(AJ58=AJ59,AK58=AK59,AL59=AL58),AH58,$AH$6+53))</f>
        <v>54</v>
      </c>
      <c r="AI59" s="262" t="str">
        <f t="shared" si="11"/>
        <v>A18</v>
      </c>
      <c r="AJ59" s="262">
        <f t="shared" si="12"/>
        <v>3</v>
      </c>
      <c r="AK59" s="264">
        <f t="shared" si="13"/>
        <v>-26</v>
      </c>
      <c r="AL59" s="267">
        <f t="shared" si="14"/>
        <v>11</v>
      </c>
      <c r="AN59" s="218">
        <v>54</v>
      </c>
    </row>
    <row r="60" spans="1:40" ht="18.600000000000001" thickBot="1" x14ac:dyDescent="0.4">
      <c r="B60"/>
      <c r="C60"/>
      <c r="D60"/>
      <c r="E60"/>
      <c r="F60" s="273"/>
      <c r="G60"/>
      <c r="H60"/>
      <c r="I60"/>
      <c r="J60" s="273"/>
      <c r="K60"/>
      <c r="L60"/>
      <c r="M60"/>
      <c r="N60" s="273"/>
      <c r="O60"/>
      <c r="P60"/>
      <c r="Q60"/>
      <c r="R60" s="273"/>
      <c r="S60"/>
      <c r="T60"/>
      <c r="U60"/>
      <c r="V60" s="273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N60" s="60"/>
    </row>
    <row r="61" spans="1:40" ht="18.600000000000001" thickBot="1" x14ac:dyDescent="0.4">
      <c r="B61"/>
      <c r="C61" s="219">
        <f>SUMIF(C6:C59,"&lt;&gt;#N/A")</f>
        <v>72</v>
      </c>
      <c r="D61" s="219">
        <f>SUMIF(D6:D59,"&lt;&gt;#N/A")</f>
        <v>7</v>
      </c>
      <c r="E61" s="219">
        <f>SUMIF(E6:E59,"&lt;&gt;#N/A")</f>
        <v>284</v>
      </c>
      <c r="F61" s="273"/>
      <c r="G61" s="219">
        <f>SUMIF(G6:G59,"&lt;&gt;#N/A")</f>
        <v>108</v>
      </c>
      <c r="H61" s="219">
        <f>SUMIF(H6:H59,"&lt;&gt;#N/A")</f>
        <v>0</v>
      </c>
      <c r="I61" s="219">
        <f>SUMIF(I6:I59,"&lt;&gt;#N/A")</f>
        <v>405</v>
      </c>
      <c r="J61" s="273"/>
      <c r="K61" s="219">
        <f>SUMIF(K6:K59,"&lt;&gt;#N/A")</f>
        <v>180</v>
      </c>
      <c r="L61" s="219">
        <f>SUMIF(L6:L59,"&lt;&gt;#N/A")</f>
        <v>0</v>
      </c>
      <c r="M61" s="219">
        <f>SUMIF(M6:M59,"&lt;&gt;#N/A")</f>
        <v>666</v>
      </c>
      <c r="N61" s="273"/>
      <c r="O61" s="219">
        <f>SUMIF(O6:O59,"&lt;&gt;#N/A")</f>
        <v>204</v>
      </c>
      <c r="P61" s="219">
        <f>SUMIF(P6:P59,"&lt;&gt;#N/A")</f>
        <v>0</v>
      </c>
      <c r="Q61" s="219">
        <f>SUMIF(Q6:Q59,"&lt;&gt;#N/A")</f>
        <v>333</v>
      </c>
      <c r="R61" s="273"/>
      <c r="S61" s="219">
        <f>SUMIF(S6:S59,"&lt;&gt;#N/A")</f>
        <v>267</v>
      </c>
      <c r="T61" s="219">
        <f>SUMIF(T6:T59,"&lt;&gt;#N/A")</f>
        <v>-28</v>
      </c>
      <c r="U61" s="219">
        <f>SUMIF(U6:U59,"&lt;&gt;#N/A")</f>
        <v>888</v>
      </c>
      <c r="V61" s="273"/>
      <c r="W61" s="219">
        <f>SUMIF(W6:W59,"&lt;&gt;#N/A")</f>
        <v>324</v>
      </c>
      <c r="X61" s="219">
        <f>SUMIF(X6:X59,"&lt;&gt;#N/A")</f>
        <v>0</v>
      </c>
      <c r="Y61" s="219">
        <f>SUMIF(Y6:Y59,"&lt;&gt;#N/A")</f>
        <v>1353</v>
      </c>
      <c r="Z61"/>
      <c r="AA61"/>
      <c r="AB61" s="219">
        <f>SUMIF(AB6:AB59,"&lt;&gt;#N/A")</f>
        <v>1155</v>
      </c>
      <c r="AC61" s="219">
        <f>SUMIF(AC6:AC59,"&lt;&gt;#N/A")</f>
        <v>-21</v>
      </c>
      <c r="AD61" s="219">
        <f>SUMIF(AD6:AD59,"&lt;&gt;#N/A")</f>
        <v>3929</v>
      </c>
      <c r="AE61"/>
      <c r="AF61"/>
      <c r="AG61"/>
      <c r="AH61"/>
      <c r="AI61"/>
      <c r="AJ61" s="219">
        <f>SUMIF(AJ6:AJ59,"&lt;&gt;#N/A")</f>
        <v>1155</v>
      </c>
      <c r="AK61" s="219">
        <f>SUMIF(AK6:AK59,"&lt;&gt;#N/A")</f>
        <v>-21</v>
      </c>
      <c r="AL61" s="219">
        <f>SUMIF(AL6:AL59,"&lt;&gt;#N/A")</f>
        <v>3929</v>
      </c>
      <c r="AN61" s="60"/>
    </row>
    <row r="62" spans="1:40" ht="18.600000000000001" thickBot="1" x14ac:dyDescent="0.4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N62" s="60"/>
    </row>
    <row r="63" spans="1:40" ht="18.600000000000001" thickBot="1" x14ac:dyDescent="0.4">
      <c r="W63" s="66">
        <f>SUM(C61+G61+K61+O61+S61+W61)</f>
        <v>1155</v>
      </c>
      <c r="X63" s="66">
        <f>SUM(D61+H61+L61+P61+T61+X61)</f>
        <v>-21</v>
      </c>
      <c r="Y63" s="66">
        <f>SUM(E61+I61+M61+Q61+U61+Y61)</f>
        <v>3929</v>
      </c>
    </row>
    <row r="66" spans="14:40" x14ac:dyDescent="0.3">
      <c r="N66" s="203"/>
      <c r="O66" s="206"/>
      <c r="P66" s="206"/>
      <c r="Q66" s="206"/>
      <c r="R66" s="203"/>
      <c r="S66" s="206"/>
      <c r="T66" s="206"/>
      <c r="U66" s="206"/>
      <c r="V66" s="206"/>
      <c r="W66" s="206"/>
      <c r="X66" s="206"/>
      <c r="Y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N66" s="34"/>
    </row>
    <row r="67" spans="14:40" x14ac:dyDescent="0.3">
      <c r="N67" s="203"/>
      <c r="O67" s="206"/>
      <c r="P67" s="206"/>
      <c r="Q67" s="206"/>
      <c r="R67" s="203"/>
      <c r="S67" s="206"/>
      <c r="T67" s="206"/>
      <c r="U67" s="206"/>
      <c r="V67" s="206"/>
      <c r="W67" s="206"/>
      <c r="X67" s="206"/>
      <c r="Y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N67" s="34"/>
    </row>
    <row r="68" spans="14:40" x14ac:dyDescent="0.3">
      <c r="N68" s="203"/>
      <c r="O68" s="206"/>
      <c r="P68" s="206"/>
      <c r="Q68" s="206"/>
      <c r="R68" s="203"/>
      <c r="S68" s="206"/>
      <c r="T68" s="206"/>
      <c r="U68" s="206"/>
      <c r="V68" s="206"/>
      <c r="W68" s="206"/>
      <c r="X68" s="206"/>
      <c r="Y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N68" s="34"/>
    </row>
    <row r="69" spans="14:40" x14ac:dyDescent="0.3">
      <c r="N69" s="203"/>
      <c r="O69" s="206"/>
      <c r="P69" s="206"/>
      <c r="Q69" s="206"/>
      <c r="R69" s="203"/>
      <c r="S69" s="206"/>
      <c r="T69" s="206"/>
      <c r="U69" s="206"/>
      <c r="V69" s="206"/>
      <c r="W69" s="206"/>
      <c r="X69" s="206"/>
      <c r="Y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N69" s="34"/>
    </row>
    <row r="70" spans="14:40" x14ac:dyDescent="0.3">
      <c r="N70" s="203"/>
      <c r="O70" s="206"/>
      <c r="P70" s="206"/>
      <c r="Q70" s="206"/>
      <c r="R70" s="203"/>
      <c r="S70" s="206"/>
      <c r="T70" s="206"/>
      <c r="U70" s="206"/>
      <c r="V70" s="206"/>
      <c r="W70" s="206"/>
      <c r="X70" s="206"/>
      <c r="Y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N70" s="34"/>
    </row>
    <row r="71" spans="14:40" x14ac:dyDescent="0.3">
      <c r="N71" s="203"/>
      <c r="O71" s="206"/>
      <c r="P71" s="206"/>
      <c r="Q71" s="206"/>
      <c r="R71" s="203"/>
      <c r="S71" s="206"/>
      <c r="T71" s="206"/>
      <c r="U71" s="206"/>
      <c r="V71" s="206"/>
      <c r="W71" s="206"/>
      <c r="X71" s="206"/>
      <c r="Y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N71" s="34"/>
    </row>
  </sheetData>
  <sheetProtection sheet="1" objects="1" scenarios="1" formatCells="0" formatColumns="0" formatRows="0" insertColumns="0" insertRows="0" insertHyperlinks="0" deleteColumns="0" deleteRows="0" sort="0"/>
  <mergeCells count="8">
    <mergeCell ref="C3:E3"/>
    <mergeCell ref="AH3:AL3"/>
    <mergeCell ref="W3:Y3"/>
    <mergeCell ref="AB3:AD3"/>
    <mergeCell ref="G3:I3"/>
    <mergeCell ref="K3:M3"/>
    <mergeCell ref="O3:Q3"/>
    <mergeCell ref="S3:U3"/>
  </mergeCells>
  <conditionalFormatting sqref="AH6:AH59">
    <cfRule type="duplicateValues" dxfId="0" priority="5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</vt:i4>
      </vt:variant>
    </vt:vector>
  </HeadingPairs>
  <TitlesOfParts>
    <vt:vector size="13" baseType="lpstr">
      <vt:lpstr>Méthode</vt:lpstr>
      <vt:lpstr>Inscrits</vt:lpstr>
      <vt:lpstr>1ère J.</vt:lpstr>
      <vt:lpstr>2ème J.</vt:lpstr>
      <vt:lpstr>3ème J.</vt:lpstr>
      <vt:lpstr>4ème J.</vt:lpstr>
      <vt:lpstr>5ème J.</vt:lpstr>
      <vt:lpstr>6ème J.</vt:lpstr>
      <vt:lpstr>Class. 1J.</vt:lpstr>
      <vt:lpstr>Résultats</vt:lpstr>
      <vt:lpstr>Class. Final1</vt:lpstr>
      <vt:lpstr>'1ère J.'!Zone_d_impression</vt:lpstr>
      <vt:lpstr>'Class. 1J.'!Zone_d_impression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 Besson</cp:lastModifiedBy>
  <cp:lastPrinted>2016-01-26T10:38:10Z</cp:lastPrinted>
  <dcterms:created xsi:type="dcterms:W3CDTF">2009-10-17T15:31:04Z</dcterms:created>
  <dcterms:modified xsi:type="dcterms:W3CDTF">2025-04-04T16:57:00Z</dcterms:modified>
</cp:coreProperties>
</file>